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</sheets>
  <externalReferences>
    <externalReference r:id="rId20"/>
  </externalReferences>
  <definedNames>
    <definedName name="_C111">TH!$Q$10:$Q$2948</definedName>
    <definedName name="_C112">TH!$T$10:$T$2948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BTGT!$A$339:$AA$580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TH!$A$9:$AB$2834</definedName>
    <definedName name="_xlnm._FilterDatabase" localSheetId="15" hidden="1">TK!$A$1:$J$1</definedName>
    <definedName name="_M">TH!$B$10:$B$2948</definedName>
    <definedName name="_N111">TH!$P$10:$P$2948</definedName>
    <definedName name="_N112">TH!$S$10:$S$2948</definedName>
    <definedName name="_TM1">IF('IN-TC'!$S$4=1,1,IF('IN-TC'!$S$4=2,4,IF('IN-TC'!$S$4=3,7,10)))</definedName>
    <definedName name="_TM2">IF('IN-TC'!$S$4=1,3,IF('IN-TC'!$S$4=2,6,IF('IN-TC'!$S$4=3,9,12)))</definedName>
    <definedName name="DG">TH!$J$10:$J$2948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'131'!$B$6:$B$21</definedName>
    <definedName name="DSKH">'331'!$B$6:$B$15</definedName>
    <definedName name="DSTK">CDPS!$A$10:$D$50</definedName>
    <definedName name="DSTS1">'SO-TS'!$D$14:$D$17</definedName>
    <definedName name="KH">TH!$H$10:$H$2948</definedName>
    <definedName name="KHC">TH!$M$10:$M$2948</definedName>
    <definedName name="KHN">TH!$L$10:$L$2948</definedName>
    <definedName name="Loai">OFFSET(TH!$N$5,,,COUNTA(TH!$N$5:$N$41258))</definedName>
    <definedName name="Loai1">OFFSET(TH!$O$5,,,COUNTA(TH!$O$5:$O$41258))</definedName>
    <definedName name="Loai2">OFFSET(TH!$R$5,,,COUNTA(TH!$R$5:$R$41258))</definedName>
    <definedName name="Loai3">OFFSET('SO-TS'!$P$14,,,COUNTA('SO-TS'!$P$14:$P$3889))</definedName>
    <definedName name="Loai4">OFFSET(TH!#REF!,,,COUNTA(TH!#REF!))</definedName>
    <definedName name="Loai5">OFFSET(TH!$U$5,,,COUNTA(TH!$U$5:$U$41258))</definedName>
    <definedName name="Loai6">OFFSET(TH!$Y$5,,,COUNTA(TH!$Y$5:$Y$41258))</definedName>
    <definedName name="Loai7">OFFSET(TH!$V$5,,,COUNTA(TH!$V$5:$V$41258))</definedName>
    <definedName name="Loai8">OFFSET(TH!$W$5,,,COUNTA(TH!$W$5:$W$41258))</definedName>
    <definedName name="Loai9">OFFSET(TH!$X$5,,,COUNTA(TH!$X$5:$X$41258))</definedName>
    <definedName name="MH">TH!$F$10:$F$2948</definedName>
    <definedName name="NXT">NXT!$A$10:$A$806</definedName>
    <definedName name="_xlnm.Print_Area" localSheetId="4">'111'!$A$1:$J$71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BTGT!$A$2:$L$170</definedName>
    <definedName name="_xlnm.Print_Area" localSheetId="0">CDPS!$A$1:$H$51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TH!$I$10:$I$2948</definedName>
    <definedName name="TH">TH!$K$10:$K$2948</definedName>
    <definedName name="TM">TH!$A$10:$M$2948</definedName>
  </definedNames>
  <calcPr calcId="144525" concurrentCalc="0"/>
</workbook>
</file>

<file path=xl/calcChain.xml><?xml version="1.0" encoding="utf-8"?>
<calcChain xmlns="http://schemas.openxmlformats.org/spreadsheetml/2006/main">
  <c r="N15" i="34" l="1"/>
  <c r="C15" i="34"/>
  <c r="B15" i="34"/>
  <c r="O15" i="34"/>
  <c r="P15" i="34"/>
  <c r="Q15" i="34"/>
  <c r="R15" i="34"/>
  <c r="S15" i="34"/>
  <c r="T15" i="34"/>
  <c r="U15" i="34"/>
  <c r="V15" i="34"/>
  <c r="W15" i="34"/>
  <c r="X15" i="34"/>
  <c r="Y15" i="34"/>
  <c r="N16" i="34"/>
  <c r="C16" i="34"/>
  <c r="B16" i="34"/>
  <c r="O16" i="34"/>
  <c r="P16" i="34"/>
  <c r="Q16" i="34"/>
  <c r="R16" i="34"/>
  <c r="S16" i="34"/>
  <c r="T16" i="34"/>
  <c r="U16" i="34"/>
  <c r="V16" i="34"/>
  <c r="W16" i="34"/>
  <c r="X16" i="34"/>
  <c r="Y16" i="34"/>
  <c r="N17" i="34"/>
  <c r="C17" i="34"/>
  <c r="B17" i="34"/>
  <c r="O17" i="34"/>
  <c r="P17" i="34"/>
  <c r="Q17" i="34"/>
  <c r="R17" i="34"/>
  <c r="S17" i="34"/>
  <c r="T17" i="34"/>
  <c r="U17" i="34"/>
  <c r="V17" i="34"/>
  <c r="W17" i="34"/>
  <c r="X17" i="34"/>
  <c r="Y17" i="34"/>
  <c r="N18" i="34"/>
  <c r="C18" i="34"/>
  <c r="B18" i="34"/>
  <c r="O18" i="34"/>
  <c r="P18" i="34"/>
  <c r="Q18" i="34"/>
  <c r="R18" i="34"/>
  <c r="S18" i="34"/>
  <c r="T18" i="34"/>
  <c r="U18" i="34"/>
  <c r="V18" i="34"/>
  <c r="W18" i="34"/>
  <c r="X18" i="34"/>
  <c r="Y18" i="34"/>
  <c r="N19" i="34"/>
  <c r="C19" i="34"/>
  <c r="B19" i="34"/>
  <c r="O19" i="34"/>
  <c r="P19" i="34"/>
  <c r="Q19" i="34"/>
  <c r="R19" i="34"/>
  <c r="S19" i="34"/>
  <c r="T19" i="34"/>
  <c r="U19" i="34"/>
  <c r="V19" i="34"/>
  <c r="W19" i="34"/>
  <c r="X19" i="34"/>
  <c r="Y19" i="34"/>
  <c r="N20" i="34"/>
  <c r="C20" i="34"/>
  <c r="B20" i="34"/>
  <c r="O20" i="34"/>
  <c r="P20" i="34"/>
  <c r="Q20" i="34"/>
  <c r="R20" i="34"/>
  <c r="S20" i="34"/>
  <c r="T20" i="34"/>
  <c r="U20" i="34"/>
  <c r="V20" i="34"/>
  <c r="W20" i="34"/>
  <c r="X20" i="34"/>
  <c r="Y20" i="34"/>
  <c r="N21" i="34"/>
  <c r="C21" i="34"/>
  <c r="B21" i="34"/>
  <c r="O21" i="34"/>
  <c r="P21" i="34"/>
  <c r="Q21" i="34"/>
  <c r="R21" i="34"/>
  <c r="S21" i="34"/>
  <c r="T21" i="34"/>
  <c r="U21" i="34"/>
  <c r="V21" i="34"/>
  <c r="W21" i="34"/>
  <c r="X21" i="34"/>
  <c r="Y21" i="34"/>
  <c r="N22" i="34"/>
  <c r="C22" i="34"/>
  <c r="B22" i="34"/>
  <c r="O22" i="34"/>
  <c r="P22" i="34"/>
  <c r="Q22" i="34"/>
  <c r="R22" i="34"/>
  <c r="S22" i="34"/>
  <c r="T22" i="34"/>
  <c r="U22" i="34"/>
  <c r="V22" i="34"/>
  <c r="W22" i="34"/>
  <c r="X22" i="34"/>
  <c r="Y22" i="34"/>
  <c r="N23" i="34"/>
  <c r="C23" i="34"/>
  <c r="B23" i="34"/>
  <c r="O23" i="34"/>
  <c r="P23" i="34"/>
  <c r="Q23" i="34"/>
  <c r="R23" i="34"/>
  <c r="S23" i="34"/>
  <c r="T23" i="34"/>
  <c r="U23" i="34"/>
  <c r="V23" i="34"/>
  <c r="W23" i="34"/>
  <c r="X23" i="34"/>
  <c r="Y23" i="34"/>
  <c r="N24" i="34"/>
  <c r="C24" i="34"/>
  <c r="B24" i="34"/>
  <c r="O24" i="34"/>
  <c r="P24" i="34"/>
  <c r="Q24" i="34"/>
  <c r="R24" i="34"/>
  <c r="S24" i="34"/>
  <c r="T24" i="34"/>
  <c r="U24" i="34"/>
  <c r="V24" i="34"/>
  <c r="W24" i="34"/>
  <c r="X24" i="34"/>
  <c r="Y24" i="34"/>
  <c r="N25" i="34"/>
  <c r="B25" i="34"/>
  <c r="O25" i="34"/>
  <c r="P25" i="34"/>
  <c r="Q25" i="34"/>
  <c r="R25" i="34"/>
  <c r="S25" i="34"/>
  <c r="T25" i="34"/>
  <c r="U25" i="34"/>
  <c r="V25" i="34"/>
  <c r="W25" i="34"/>
  <c r="X25" i="34"/>
  <c r="Y25" i="34"/>
  <c r="N26" i="34"/>
  <c r="B26" i="34"/>
  <c r="O26" i="34"/>
  <c r="P26" i="34"/>
  <c r="Q26" i="34"/>
  <c r="R26" i="34"/>
  <c r="S26" i="34"/>
  <c r="T26" i="34"/>
  <c r="U26" i="34"/>
  <c r="V26" i="34"/>
  <c r="W26" i="34"/>
  <c r="X26" i="34"/>
  <c r="Y26" i="34"/>
  <c r="N27" i="34"/>
  <c r="B27" i="34"/>
  <c r="O27" i="34"/>
  <c r="P27" i="34"/>
  <c r="Q27" i="34"/>
  <c r="R27" i="34"/>
  <c r="S27" i="34"/>
  <c r="T27" i="34"/>
  <c r="U27" i="34"/>
  <c r="V27" i="34"/>
  <c r="W27" i="34"/>
  <c r="X27" i="34"/>
  <c r="Y27" i="34"/>
  <c r="N28" i="34"/>
  <c r="B28" i="34"/>
  <c r="O28" i="34"/>
  <c r="P28" i="34"/>
  <c r="Q28" i="34"/>
  <c r="R28" i="34"/>
  <c r="S28" i="34"/>
  <c r="T28" i="34"/>
  <c r="U28" i="34"/>
  <c r="V28" i="34"/>
  <c r="W28" i="34"/>
  <c r="X28" i="34"/>
  <c r="Y28" i="34"/>
  <c r="N29" i="34"/>
  <c r="B29" i="34"/>
  <c r="O29" i="34"/>
  <c r="P29" i="34"/>
  <c r="Q29" i="34"/>
  <c r="R29" i="34"/>
  <c r="S29" i="34"/>
  <c r="T29" i="34"/>
  <c r="U29" i="34"/>
  <c r="V29" i="34"/>
  <c r="W29" i="34"/>
  <c r="X29" i="34"/>
  <c r="Y29" i="34"/>
  <c r="N30" i="34"/>
  <c r="B30" i="34"/>
  <c r="O30" i="34"/>
  <c r="P30" i="34"/>
  <c r="Q30" i="34"/>
  <c r="R30" i="34"/>
  <c r="S30" i="34"/>
  <c r="T30" i="34"/>
  <c r="U30" i="34"/>
  <c r="V30" i="34"/>
  <c r="W30" i="34"/>
  <c r="X30" i="34"/>
  <c r="Y30" i="34"/>
  <c r="N31" i="34"/>
  <c r="B31" i="34"/>
  <c r="O31" i="34"/>
  <c r="P31" i="34"/>
  <c r="Q31" i="34"/>
  <c r="R31" i="34"/>
  <c r="S31" i="34"/>
  <c r="T31" i="34"/>
  <c r="U31" i="34"/>
  <c r="V31" i="34"/>
  <c r="W31" i="34"/>
  <c r="X31" i="34"/>
  <c r="Y31" i="34"/>
  <c r="N32" i="34"/>
  <c r="C32" i="34"/>
  <c r="B32" i="34"/>
  <c r="O32" i="34"/>
  <c r="P32" i="34"/>
  <c r="Q32" i="34"/>
  <c r="R32" i="34"/>
  <c r="S32" i="34"/>
  <c r="T32" i="34"/>
  <c r="U32" i="34"/>
  <c r="V32" i="34"/>
  <c r="W32" i="34"/>
  <c r="X32" i="34"/>
  <c r="Y32" i="34"/>
  <c r="N33" i="34"/>
  <c r="C33" i="34"/>
  <c r="B33" i="34"/>
  <c r="O33" i="34"/>
  <c r="P33" i="34"/>
  <c r="Q33" i="34"/>
  <c r="R33" i="34"/>
  <c r="S33" i="34"/>
  <c r="T33" i="34"/>
  <c r="U33" i="34"/>
  <c r="V33" i="34"/>
  <c r="W33" i="34"/>
  <c r="X33" i="34"/>
  <c r="Y33" i="34"/>
  <c r="N34" i="34"/>
  <c r="C34" i="34"/>
  <c r="B34" i="34"/>
  <c r="O34" i="34"/>
  <c r="P34" i="34"/>
  <c r="Q34" i="34"/>
  <c r="R34" i="34"/>
  <c r="S34" i="34"/>
  <c r="T34" i="34"/>
  <c r="U34" i="34"/>
  <c r="V34" i="34"/>
  <c r="W34" i="34"/>
  <c r="X34" i="34"/>
  <c r="Y34" i="34"/>
  <c r="N35" i="34"/>
  <c r="C35" i="34"/>
  <c r="B35" i="34"/>
  <c r="O35" i="34"/>
  <c r="P35" i="34"/>
  <c r="Q35" i="34"/>
  <c r="R35" i="34"/>
  <c r="S35" i="34"/>
  <c r="T35" i="34"/>
  <c r="U35" i="34"/>
  <c r="V35" i="34"/>
  <c r="W35" i="34"/>
  <c r="X35" i="34"/>
  <c r="Y35" i="34"/>
  <c r="N36" i="34"/>
  <c r="C36" i="34"/>
  <c r="B36" i="34"/>
  <c r="O36" i="34"/>
  <c r="P36" i="34"/>
  <c r="Q36" i="34"/>
  <c r="R36" i="34"/>
  <c r="S36" i="34"/>
  <c r="T36" i="34"/>
  <c r="U36" i="34"/>
  <c r="V36" i="34"/>
  <c r="W36" i="34"/>
  <c r="X36" i="34"/>
  <c r="Y36" i="34"/>
  <c r="N37" i="34"/>
  <c r="C37" i="34"/>
  <c r="B37" i="34"/>
  <c r="O37" i="34"/>
  <c r="P37" i="34"/>
  <c r="Q37" i="34"/>
  <c r="R37" i="34"/>
  <c r="S37" i="34"/>
  <c r="T37" i="34"/>
  <c r="U37" i="34"/>
  <c r="V37" i="34"/>
  <c r="W37" i="34"/>
  <c r="X37" i="34"/>
  <c r="Y37" i="34"/>
  <c r="N38" i="34"/>
  <c r="C38" i="34"/>
  <c r="B38" i="34"/>
  <c r="O38" i="34"/>
  <c r="P38" i="34"/>
  <c r="Q38" i="34"/>
  <c r="R38" i="34"/>
  <c r="S38" i="34"/>
  <c r="T38" i="34"/>
  <c r="U38" i="34"/>
  <c r="V38" i="34"/>
  <c r="W38" i="34"/>
  <c r="X38" i="34"/>
  <c r="Y38" i="34"/>
  <c r="N39" i="34"/>
  <c r="C39" i="34"/>
  <c r="B39" i="34"/>
  <c r="O39" i="34"/>
  <c r="P39" i="34"/>
  <c r="Q39" i="34"/>
  <c r="R39" i="34"/>
  <c r="S39" i="34"/>
  <c r="T39" i="34"/>
  <c r="U39" i="34"/>
  <c r="V39" i="34"/>
  <c r="W39" i="34"/>
  <c r="X39" i="34"/>
  <c r="Y39" i="34"/>
  <c r="N40" i="34"/>
  <c r="C40" i="34"/>
  <c r="B40" i="34"/>
  <c r="O40" i="34"/>
  <c r="P40" i="34"/>
  <c r="Q40" i="34"/>
  <c r="R40" i="34"/>
  <c r="S40" i="34"/>
  <c r="T40" i="34"/>
  <c r="U40" i="34"/>
  <c r="V40" i="34"/>
  <c r="W40" i="34"/>
  <c r="X40" i="34"/>
  <c r="Y40" i="34"/>
  <c r="N41" i="34"/>
  <c r="C41" i="34"/>
  <c r="B41" i="34"/>
  <c r="O41" i="34"/>
  <c r="P41" i="34"/>
  <c r="Q41" i="34"/>
  <c r="R41" i="34"/>
  <c r="S41" i="34"/>
  <c r="T41" i="34"/>
  <c r="U41" i="34"/>
  <c r="V41" i="34"/>
  <c r="W41" i="34"/>
  <c r="X41" i="34"/>
  <c r="Y41" i="34"/>
  <c r="N42" i="34"/>
  <c r="C42" i="34"/>
  <c r="B42" i="34"/>
  <c r="O42" i="34"/>
  <c r="P42" i="34"/>
  <c r="Q42" i="34"/>
  <c r="R42" i="34"/>
  <c r="S42" i="34"/>
  <c r="T42" i="34"/>
  <c r="U42" i="34"/>
  <c r="V42" i="34"/>
  <c r="W42" i="34"/>
  <c r="X42" i="34"/>
  <c r="Y42" i="34"/>
  <c r="N43" i="34"/>
  <c r="C43" i="34"/>
  <c r="B43" i="34"/>
  <c r="O43" i="34"/>
  <c r="P43" i="34"/>
  <c r="Q43" i="34"/>
  <c r="R43" i="34"/>
  <c r="S43" i="34"/>
  <c r="T43" i="34"/>
  <c r="U43" i="34"/>
  <c r="V43" i="34"/>
  <c r="W43" i="34"/>
  <c r="X43" i="34"/>
  <c r="Y43" i="34"/>
  <c r="N44" i="34"/>
  <c r="C44" i="34"/>
  <c r="B44" i="34"/>
  <c r="O44" i="34"/>
  <c r="P44" i="34"/>
  <c r="Q44" i="34"/>
  <c r="R44" i="34"/>
  <c r="S44" i="34"/>
  <c r="T44" i="34"/>
  <c r="U44" i="34"/>
  <c r="V44" i="34"/>
  <c r="W44" i="34"/>
  <c r="X44" i="34"/>
  <c r="Y44" i="34"/>
  <c r="N45" i="34"/>
  <c r="C45" i="34"/>
  <c r="B45" i="34"/>
  <c r="O45" i="34"/>
  <c r="P45" i="34"/>
  <c r="Q45" i="34"/>
  <c r="R45" i="34"/>
  <c r="S45" i="34"/>
  <c r="T45" i="34"/>
  <c r="U45" i="34"/>
  <c r="V45" i="34"/>
  <c r="W45" i="34"/>
  <c r="X45" i="34"/>
  <c r="Y45" i="34"/>
  <c r="N46" i="34"/>
  <c r="C46" i="34"/>
  <c r="B46" i="34"/>
  <c r="O46" i="34"/>
  <c r="P46" i="34"/>
  <c r="Q46" i="34"/>
  <c r="R46" i="34"/>
  <c r="S46" i="34"/>
  <c r="T46" i="34"/>
  <c r="U46" i="34"/>
  <c r="V46" i="34"/>
  <c r="W46" i="34"/>
  <c r="X46" i="34"/>
  <c r="Y46" i="34"/>
  <c r="N47" i="34"/>
  <c r="C47" i="34"/>
  <c r="B47" i="34"/>
  <c r="O47" i="34"/>
  <c r="P47" i="34"/>
  <c r="Q47" i="34"/>
  <c r="R47" i="34"/>
  <c r="S47" i="34"/>
  <c r="T47" i="34"/>
  <c r="U47" i="34"/>
  <c r="V47" i="34"/>
  <c r="W47" i="34"/>
  <c r="X47" i="34"/>
  <c r="Y47" i="34"/>
  <c r="N48" i="34"/>
  <c r="C48" i="34"/>
  <c r="B48" i="34"/>
  <c r="O48" i="34"/>
  <c r="P48" i="34"/>
  <c r="Q48" i="34"/>
  <c r="R48" i="34"/>
  <c r="S48" i="34"/>
  <c r="T48" i="34"/>
  <c r="U48" i="34"/>
  <c r="V48" i="34"/>
  <c r="W48" i="34"/>
  <c r="X48" i="34"/>
  <c r="Y48" i="34"/>
  <c r="N49" i="34"/>
  <c r="C49" i="34"/>
  <c r="B49" i="34"/>
  <c r="O49" i="34"/>
  <c r="P49" i="34"/>
  <c r="Q49" i="34"/>
  <c r="R49" i="34"/>
  <c r="S49" i="34"/>
  <c r="T49" i="34"/>
  <c r="U49" i="34"/>
  <c r="V49" i="34"/>
  <c r="W49" i="34"/>
  <c r="X49" i="34"/>
  <c r="Y49" i="34"/>
  <c r="N50" i="34"/>
  <c r="C50" i="34"/>
  <c r="B50" i="34"/>
  <c r="O50" i="34"/>
  <c r="P50" i="34"/>
  <c r="Q50" i="34"/>
  <c r="R50" i="34"/>
  <c r="S50" i="34"/>
  <c r="T50" i="34"/>
  <c r="U50" i="34"/>
  <c r="V50" i="34"/>
  <c r="W50" i="34"/>
  <c r="X50" i="34"/>
  <c r="Y50" i="34"/>
  <c r="N51" i="34"/>
  <c r="C51" i="34"/>
  <c r="B51" i="34"/>
  <c r="O51" i="34"/>
  <c r="P51" i="34"/>
  <c r="Q51" i="34"/>
  <c r="R51" i="34"/>
  <c r="S51" i="34"/>
  <c r="T51" i="34"/>
  <c r="U51" i="34"/>
  <c r="V51" i="34"/>
  <c r="W51" i="34"/>
  <c r="X51" i="34"/>
  <c r="Y51" i="34"/>
  <c r="N52" i="34"/>
  <c r="C52" i="34"/>
  <c r="B52" i="34"/>
  <c r="O52" i="34"/>
  <c r="P52" i="34"/>
  <c r="Q52" i="34"/>
  <c r="R52" i="34"/>
  <c r="S52" i="34"/>
  <c r="T52" i="34"/>
  <c r="U52" i="34"/>
  <c r="V52" i="34"/>
  <c r="W52" i="34"/>
  <c r="X52" i="34"/>
  <c r="Y52" i="34"/>
  <c r="N53" i="34"/>
  <c r="C53" i="34"/>
  <c r="B53" i="34"/>
  <c r="O53" i="34"/>
  <c r="P53" i="34"/>
  <c r="Q53" i="34"/>
  <c r="R53" i="34"/>
  <c r="S53" i="34"/>
  <c r="T53" i="34"/>
  <c r="U53" i="34"/>
  <c r="V53" i="34"/>
  <c r="W53" i="34"/>
  <c r="X53" i="34"/>
  <c r="Y53" i="34"/>
  <c r="N54" i="34"/>
  <c r="C54" i="34"/>
  <c r="B54" i="34"/>
  <c r="O54" i="34"/>
  <c r="P54" i="34"/>
  <c r="Q54" i="34"/>
  <c r="R54" i="34"/>
  <c r="S54" i="34"/>
  <c r="T54" i="34"/>
  <c r="U54" i="34"/>
  <c r="V54" i="34"/>
  <c r="W54" i="34"/>
  <c r="X54" i="34"/>
  <c r="Y54" i="34"/>
  <c r="N55" i="34"/>
  <c r="C55" i="34"/>
  <c r="B55" i="34"/>
  <c r="O55" i="34"/>
  <c r="P55" i="34"/>
  <c r="Q55" i="34"/>
  <c r="R55" i="34"/>
  <c r="S55" i="34"/>
  <c r="T55" i="34"/>
  <c r="U55" i="34"/>
  <c r="V55" i="34"/>
  <c r="W55" i="34"/>
  <c r="X55" i="34"/>
  <c r="Y55" i="34"/>
  <c r="N56" i="34"/>
  <c r="C56" i="34"/>
  <c r="B56" i="34"/>
  <c r="O56" i="34"/>
  <c r="P56" i="34"/>
  <c r="Q56" i="34"/>
  <c r="R56" i="34"/>
  <c r="S56" i="34"/>
  <c r="T56" i="34"/>
  <c r="U56" i="34"/>
  <c r="V56" i="34"/>
  <c r="W56" i="34"/>
  <c r="X56" i="34"/>
  <c r="Y56" i="34"/>
  <c r="N57" i="34"/>
  <c r="C57" i="34"/>
  <c r="B57" i="34"/>
  <c r="O57" i="34"/>
  <c r="P57" i="34"/>
  <c r="Q57" i="34"/>
  <c r="R57" i="34"/>
  <c r="S57" i="34"/>
  <c r="T57" i="34"/>
  <c r="U57" i="34"/>
  <c r="V57" i="34"/>
  <c r="W57" i="34"/>
  <c r="X57" i="34"/>
  <c r="Y57" i="34"/>
  <c r="N58" i="34"/>
  <c r="C58" i="34"/>
  <c r="B58" i="34"/>
  <c r="O58" i="34"/>
  <c r="P58" i="34"/>
  <c r="Q58" i="34"/>
  <c r="R58" i="34"/>
  <c r="S58" i="34"/>
  <c r="T58" i="34"/>
  <c r="U58" i="34"/>
  <c r="V58" i="34"/>
  <c r="W58" i="34"/>
  <c r="X58" i="34"/>
  <c r="Y58" i="34"/>
  <c r="N59" i="34"/>
  <c r="C59" i="34"/>
  <c r="B59" i="34"/>
  <c r="O59" i="34"/>
  <c r="P59" i="34"/>
  <c r="Q59" i="34"/>
  <c r="R59" i="34"/>
  <c r="S59" i="34"/>
  <c r="T59" i="34"/>
  <c r="U59" i="34"/>
  <c r="V59" i="34"/>
  <c r="W59" i="34"/>
  <c r="X59" i="34"/>
  <c r="Y59" i="34"/>
  <c r="N60" i="34"/>
  <c r="C60" i="34"/>
  <c r="B60" i="34"/>
  <c r="O60" i="34"/>
  <c r="P60" i="34"/>
  <c r="Q60" i="34"/>
  <c r="R60" i="34"/>
  <c r="S60" i="34"/>
  <c r="T60" i="34"/>
  <c r="U60" i="34"/>
  <c r="V60" i="34"/>
  <c r="W60" i="34"/>
  <c r="X60" i="34"/>
  <c r="Y60" i="34"/>
  <c r="N61" i="34"/>
  <c r="C61" i="34"/>
  <c r="B61" i="34"/>
  <c r="O61" i="34"/>
  <c r="P61" i="34"/>
  <c r="Q61" i="34"/>
  <c r="R61" i="34"/>
  <c r="S61" i="34"/>
  <c r="T61" i="34"/>
  <c r="U61" i="34"/>
  <c r="V61" i="34"/>
  <c r="W61" i="34"/>
  <c r="X61" i="34"/>
  <c r="Y61" i="34"/>
  <c r="N62" i="34"/>
  <c r="C62" i="34"/>
  <c r="B62" i="34"/>
  <c r="O62" i="34"/>
  <c r="P62" i="34"/>
  <c r="Q62" i="34"/>
  <c r="R62" i="34"/>
  <c r="S62" i="34"/>
  <c r="T62" i="34"/>
  <c r="U62" i="34"/>
  <c r="V62" i="34"/>
  <c r="W62" i="34"/>
  <c r="X62" i="34"/>
  <c r="Y62" i="34"/>
  <c r="N63" i="34"/>
  <c r="C63" i="34"/>
  <c r="B63" i="34"/>
  <c r="O63" i="34"/>
  <c r="P63" i="34"/>
  <c r="Q63" i="34"/>
  <c r="R63" i="34"/>
  <c r="S63" i="34"/>
  <c r="T63" i="34"/>
  <c r="U63" i="34"/>
  <c r="V63" i="34"/>
  <c r="W63" i="34"/>
  <c r="X63" i="34"/>
  <c r="Y63" i="34"/>
  <c r="N64" i="34"/>
  <c r="C64" i="34"/>
  <c r="B64" i="34"/>
  <c r="O64" i="34"/>
  <c r="P64" i="34"/>
  <c r="Q64" i="34"/>
  <c r="R64" i="34"/>
  <c r="S64" i="34"/>
  <c r="T64" i="34"/>
  <c r="U64" i="34"/>
  <c r="V64" i="34"/>
  <c r="W64" i="34"/>
  <c r="X64" i="34"/>
  <c r="Y64" i="34"/>
  <c r="N65" i="34"/>
  <c r="C65" i="34"/>
  <c r="B65" i="34"/>
  <c r="O65" i="34"/>
  <c r="P65" i="34"/>
  <c r="Q65" i="34"/>
  <c r="R65" i="34"/>
  <c r="S65" i="34"/>
  <c r="T65" i="34"/>
  <c r="U65" i="34"/>
  <c r="V65" i="34"/>
  <c r="W65" i="34"/>
  <c r="X65" i="34"/>
  <c r="Y65" i="34"/>
  <c r="N66" i="34"/>
  <c r="C66" i="34"/>
  <c r="B66" i="34"/>
  <c r="O66" i="34"/>
  <c r="P66" i="34"/>
  <c r="Q66" i="34"/>
  <c r="R66" i="34"/>
  <c r="S66" i="34"/>
  <c r="T66" i="34"/>
  <c r="U66" i="34"/>
  <c r="V66" i="34"/>
  <c r="W66" i="34"/>
  <c r="X66" i="34"/>
  <c r="Y66" i="34"/>
  <c r="N67" i="34"/>
  <c r="C67" i="34"/>
  <c r="B67" i="34"/>
  <c r="O67" i="34"/>
  <c r="P67" i="34"/>
  <c r="Q67" i="34"/>
  <c r="R67" i="34"/>
  <c r="S67" i="34"/>
  <c r="T67" i="34"/>
  <c r="U67" i="34"/>
  <c r="V67" i="34"/>
  <c r="W67" i="34"/>
  <c r="X67" i="34"/>
  <c r="Y67" i="34"/>
  <c r="N68" i="34"/>
  <c r="C68" i="34"/>
  <c r="B68" i="34"/>
  <c r="O68" i="34"/>
  <c r="P68" i="34"/>
  <c r="Q68" i="34"/>
  <c r="R68" i="34"/>
  <c r="S68" i="34"/>
  <c r="T68" i="34"/>
  <c r="U68" i="34"/>
  <c r="V68" i="34"/>
  <c r="W68" i="34"/>
  <c r="X68" i="34"/>
  <c r="Y68" i="34"/>
  <c r="N69" i="34"/>
  <c r="C69" i="34"/>
  <c r="B69" i="34"/>
  <c r="O69" i="34"/>
  <c r="P69" i="34"/>
  <c r="Q69" i="34"/>
  <c r="R69" i="34"/>
  <c r="S69" i="34"/>
  <c r="T69" i="34"/>
  <c r="U69" i="34"/>
  <c r="V69" i="34"/>
  <c r="W69" i="34"/>
  <c r="X69" i="34"/>
  <c r="Y69" i="34"/>
  <c r="N70" i="34"/>
  <c r="C70" i="34"/>
  <c r="B70" i="34"/>
  <c r="O70" i="34"/>
  <c r="P70" i="34"/>
  <c r="Q70" i="34"/>
  <c r="R70" i="34"/>
  <c r="S70" i="34"/>
  <c r="T70" i="34"/>
  <c r="U70" i="34"/>
  <c r="V70" i="34"/>
  <c r="W70" i="34"/>
  <c r="X70" i="34"/>
  <c r="Y70" i="34"/>
  <c r="N71" i="34"/>
  <c r="C71" i="34"/>
  <c r="B71" i="34"/>
  <c r="O71" i="34"/>
  <c r="P71" i="34"/>
  <c r="Q71" i="34"/>
  <c r="R71" i="34"/>
  <c r="S71" i="34"/>
  <c r="T71" i="34"/>
  <c r="U71" i="34"/>
  <c r="V71" i="34"/>
  <c r="W71" i="34"/>
  <c r="X71" i="34"/>
  <c r="Y71" i="34"/>
  <c r="N72" i="34"/>
  <c r="C72" i="34"/>
  <c r="B72" i="34"/>
  <c r="O72" i="34"/>
  <c r="P72" i="34"/>
  <c r="Q72" i="34"/>
  <c r="R72" i="34"/>
  <c r="S72" i="34"/>
  <c r="T72" i="34"/>
  <c r="U72" i="34"/>
  <c r="V72" i="34"/>
  <c r="W72" i="34"/>
  <c r="X72" i="34"/>
  <c r="Y72" i="34"/>
  <c r="N73" i="34"/>
  <c r="C73" i="34"/>
  <c r="B73" i="34"/>
  <c r="O73" i="34"/>
  <c r="P73" i="34"/>
  <c r="Q73" i="34"/>
  <c r="R73" i="34"/>
  <c r="S73" i="34"/>
  <c r="T73" i="34"/>
  <c r="U73" i="34"/>
  <c r="V73" i="34"/>
  <c r="W73" i="34"/>
  <c r="X73" i="34"/>
  <c r="Y73" i="34"/>
  <c r="N74" i="34"/>
  <c r="C74" i="34"/>
  <c r="B74" i="34"/>
  <c r="O74" i="34"/>
  <c r="P74" i="34"/>
  <c r="Q74" i="34"/>
  <c r="R74" i="34"/>
  <c r="S74" i="34"/>
  <c r="T74" i="34"/>
  <c r="U74" i="34"/>
  <c r="V74" i="34"/>
  <c r="W74" i="34"/>
  <c r="X74" i="34"/>
  <c r="Y74" i="34"/>
  <c r="N75" i="34"/>
  <c r="C75" i="34"/>
  <c r="B75" i="34"/>
  <c r="O75" i="34"/>
  <c r="P75" i="34"/>
  <c r="Q75" i="34"/>
  <c r="R75" i="34"/>
  <c r="S75" i="34"/>
  <c r="T75" i="34"/>
  <c r="U75" i="34"/>
  <c r="V75" i="34"/>
  <c r="W75" i="34"/>
  <c r="X75" i="34"/>
  <c r="Y75" i="34"/>
  <c r="N76" i="34"/>
  <c r="C76" i="34"/>
  <c r="B76" i="34"/>
  <c r="O76" i="34"/>
  <c r="P76" i="34"/>
  <c r="Q76" i="34"/>
  <c r="R76" i="34"/>
  <c r="S76" i="34"/>
  <c r="T76" i="34"/>
  <c r="U76" i="34"/>
  <c r="V76" i="34"/>
  <c r="W76" i="34"/>
  <c r="X76" i="34"/>
  <c r="Y76" i="34"/>
  <c r="N77" i="34"/>
  <c r="C77" i="34"/>
  <c r="B77" i="34"/>
  <c r="O77" i="34"/>
  <c r="P77" i="34"/>
  <c r="Q77" i="34"/>
  <c r="R77" i="34"/>
  <c r="S77" i="34"/>
  <c r="T77" i="34"/>
  <c r="U77" i="34"/>
  <c r="V77" i="34"/>
  <c r="W77" i="34"/>
  <c r="X77" i="34"/>
  <c r="Y77" i="34"/>
  <c r="N78" i="34"/>
  <c r="C78" i="34"/>
  <c r="B78" i="34"/>
  <c r="O78" i="34"/>
  <c r="P78" i="34"/>
  <c r="Q78" i="34"/>
  <c r="R78" i="34"/>
  <c r="S78" i="34"/>
  <c r="T78" i="34"/>
  <c r="U78" i="34"/>
  <c r="V78" i="34"/>
  <c r="W78" i="34"/>
  <c r="X78" i="34"/>
  <c r="Y78" i="34"/>
  <c r="N79" i="34"/>
  <c r="C79" i="34"/>
  <c r="B79" i="34"/>
  <c r="O79" i="34"/>
  <c r="P79" i="34"/>
  <c r="Q79" i="34"/>
  <c r="R79" i="34"/>
  <c r="S79" i="34"/>
  <c r="T79" i="34"/>
  <c r="U79" i="34"/>
  <c r="V79" i="34"/>
  <c r="W79" i="34"/>
  <c r="X79" i="34"/>
  <c r="Y79" i="34"/>
  <c r="N80" i="34"/>
  <c r="C80" i="34"/>
  <c r="B80" i="34"/>
  <c r="O80" i="34"/>
  <c r="P80" i="34"/>
  <c r="Q80" i="34"/>
  <c r="R80" i="34"/>
  <c r="S80" i="34"/>
  <c r="T80" i="34"/>
  <c r="U80" i="34"/>
  <c r="V80" i="34"/>
  <c r="W80" i="34"/>
  <c r="X80" i="34"/>
  <c r="Y80" i="34"/>
  <c r="N81" i="34"/>
  <c r="C81" i="34"/>
  <c r="B81" i="34"/>
  <c r="O81" i="34"/>
  <c r="P81" i="34"/>
  <c r="Q81" i="34"/>
  <c r="R81" i="34"/>
  <c r="S81" i="34"/>
  <c r="T81" i="34"/>
  <c r="U81" i="34"/>
  <c r="V81" i="34"/>
  <c r="W81" i="34"/>
  <c r="X81" i="34"/>
  <c r="Y81" i="34"/>
  <c r="N82" i="34"/>
  <c r="C82" i="34"/>
  <c r="B82" i="34"/>
  <c r="O82" i="34"/>
  <c r="P82" i="34"/>
  <c r="Q82" i="34"/>
  <c r="R82" i="34"/>
  <c r="S82" i="34"/>
  <c r="T82" i="34"/>
  <c r="U82" i="34"/>
  <c r="V82" i="34"/>
  <c r="W82" i="34"/>
  <c r="X82" i="34"/>
  <c r="Y82" i="34"/>
  <c r="N83" i="34"/>
  <c r="C83" i="34"/>
  <c r="B83" i="34"/>
  <c r="O83" i="34"/>
  <c r="P83" i="34"/>
  <c r="Q83" i="34"/>
  <c r="R83" i="34"/>
  <c r="S83" i="34"/>
  <c r="T83" i="34"/>
  <c r="U83" i="34"/>
  <c r="V83" i="34"/>
  <c r="W83" i="34"/>
  <c r="X83" i="34"/>
  <c r="Y83" i="34"/>
  <c r="N84" i="34"/>
  <c r="C84" i="34"/>
  <c r="B84" i="34"/>
  <c r="O84" i="34"/>
  <c r="P84" i="34"/>
  <c r="Q84" i="34"/>
  <c r="R84" i="34"/>
  <c r="S84" i="34"/>
  <c r="T84" i="34"/>
  <c r="U84" i="34"/>
  <c r="V84" i="34"/>
  <c r="W84" i="34"/>
  <c r="X84" i="34"/>
  <c r="Y84" i="34"/>
  <c r="N85" i="34"/>
  <c r="C85" i="34"/>
  <c r="B85" i="34"/>
  <c r="O85" i="34"/>
  <c r="P85" i="34"/>
  <c r="Q85" i="34"/>
  <c r="R85" i="34"/>
  <c r="S85" i="34"/>
  <c r="T85" i="34"/>
  <c r="U85" i="34"/>
  <c r="V85" i="34"/>
  <c r="W85" i="34"/>
  <c r="X85" i="34"/>
  <c r="Y85" i="34"/>
  <c r="N86" i="34"/>
  <c r="C86" i="34"/>
  <c r="B86" i="34"/>
  <c r="O86" i="34"/>
  <c r="P86" i="34"/>
  <c r="Q86" i="34"/>
  <c r="R86" i="34"/>
  <c r="S86" i="34"/>
  <c r="T86" i="34"/>
  <c r="U86" i="34"/>
  <c r="V86" i="34"/>
  <c r="W86" i="34"/>
  <c r="X86" i="34"/>
  <c r="Y86" i="34"/>
  <c r="N87" i="34"/>
  <c r="C87" i="34"/>
  <c r="B87" i="34"/>
  <c r="O87" i="34"/>
  <c r="P87" i="34"/>
  <c r="Q87" i="34"/>
  <c r="R87" i="34"/>
  <c r="S87" i="34"/>
  <c r="T87" i="34"/>
  <c r="U87" i="34"/>
  <c r="V87" i="34"/>
  <c r="W87" i="34"/>
  <c r="X87" i="34"/>
  <c r="Y87" i="34"/>
  <c r="N88" i="34"/>
  <c r="C88" i="34"/>
  <c r="B88" i="34"/>
  <c r="O88" i="34"/>
  <c r="P88" i="34"/>
  <c r="Q88" i="34"/>
  <c r="R88" i="34"/>
  <c r="S88" i="34"/>
  <c r="T88" i="34"/>
  <c r="U88" i="34"/>
  <c r="V88" i="34"/>
  <c r="W88" i="34"/>
  <c r="X88" i="34"/>
  <c r="Y88" i="34"/>
  <c r="N89" i="34"/>
  <c r="C89" i="34"/>
  <c r="B89" i="34"/>
  <c r="O89" i="34"/>
  <c r="P89" i="34"/>
  <c r="Q89" i="34"/>
  <c r="R89" i="34"/>
  <c r="S89" i="34"/>
  <c r="T89" i="34"/>
  <c r="U89" i="34"/>
  <c r="V89" i="34"/>
  <c r="W89" i="34"/>
  <c r="X89" i="34"/>
  <c r="Y89" i="34"/>
  <c r="N90" i="34"/>
  <c r="C90" i="34"/>
  <c r="B90" i="34"/>
  <c r="O90" i="34"/>
  <c r="P90" i="34"/>
  <c r="Q90" i="34"/>
  <c r="R90" i="34"/>
  <c r="S90" i="34"/>
  <c r="T90" i="34"/>
  <c r="U90" i="34"/>
  <c r="V90" i="34"/>
  <c r="W90" i="34"/>
  <c r="X90" i="34"/>
  <c r="Y90" i="34"/>
  <c r="N91" i="34"/>
  <c r="C91" i="34"/>
  <c r="B91" i="34"/>
  <c r="O91" i="34"/>
  <c r="P91" i="34"/>
  <c r="Q91" i="34"/>
  <c r="R91" i="34"/>
  <c r="S91" i="34"/>
  <c r="T91" i="34"/>
  <c r="U91" i="34"/>
  <c r="V91" i="34"/>
  <c r="W91" i="34"/>
  <c r="X91" i="34"/>
  <c r="Y91" i="34"/>
  <c r="N92" i="34"/>
  <c r="C92" i="34"/>
  <c r="B92" i="34"/>
  <c r="O92" i="34"/>
  <c r="P92" i="34"/>
  <c r="Q92" i="34"/>
  <c r="R92" i="34"/>
  <c r="S92" i="34"/>
  <c r="T92" i="34"/>
  <c r="U92" i="34"/>
  <c r="V92" i="34"/>
  <c r="W92" i="34"/>
  <c r="X92" i="34"/>
  <c r="Y92" i="34"/>
  <c r="N93" i="34"/>
  <c r="C93" i="34"/>
  <c r="B93" i="34"/>
  <c r="O93" i="34"/>
  <c r="P93" i="34"/>
  <c r="Q93" i="34"/>
  <c r="R93" i="34"/>
  <c r="S93" i="34"/>
  <c r="T93" i="34"/>
  <c r="U93" i="34"/>
  <c r="V93" i="34"/>
  <c r="W93" i="34"/>
  <c r="X93" i="34"/>
  <c r="Y93" i="34"/>
  <c r="N94" i="34"/>
  <c r="C94" i="34"/>
  <c r="B94" i="34"/>
  <c r="O94" i="34"/>
  <c r="P94" i="34"/>
  <c r="Q94" i="34"/>
  <c r="R94" i="34"/>
  <c r="S94" i="34"/>
  <c r="T94" i="34"/>
  <c r="U94" i="34"/>
  <c r="V94" i="34"/>
  <c r="W94" i="34"/>
  <c r="X94" i="34"/>
  <c r="Y94" i="34"/>
  <c r="N95" i="34"/>
  <c r="C95" i="34"/>
  <c r="B95" i="34"/>
  <c r="O95" i="34"/>
  <c r="P95" i="34"/>
  <c r="Q95" i="34"/>
  <c r="R95" i="34"/>
  <c r="S95" i="34"/>
  <c r="T95" i="34"/>
  <c r="U95" i="34"/>
  <c r="V95" i="34"/>
  <c r="W95" i="34"/>
  <c r="X95" i="34"/>
  <c r="Y95" i="34"/>
  <c r="N96" i="34"/>
  <c r="C96" i="34"/>
  <c r="B96" i="34"/>
  <c r="O96" i="34"/>
  <c r="P96" i="34"/>
  <c r="Q96" i="34"/>
  <c r="R96" i="34"/>
  <c r="S96" i="34"/>
  <c r="T96" i="34"/>
  <c r="U96" i="34"/>
  <c r="V96" i="34"/>
  <c r="W96" i="34"/>
  <c r="X96" i="34"/>
  <c r="Y96" i="34"/>
  <c r="N97" i="34"/>
  <c r="C97" i="34"/>
  <c r="B97" i="34"/>
  <c r="O97" i="34"/>
  <c r="P97" i="34"/>
  <c r="Q97" i="34"/>
  <c r="R97" i="34"/>
  <c r="S97" i="34"/>
  <c r="T97" i="34"/>
  <c r="U97" i="34"/>
  <c r="V97" i="34"/>
  <c r="W97" i="34"/>
  <c r="X97" i="34"/>
  <c r="Y97" i="34"/>
  <c r="N98" i="34"/>
  <c r="B98" i="34"/>
  <c r="O98" i="34"/>
  <c r="P98" i="34"/>
  <c r="Q98" i="34"/>
  <c r="R98" i="34"/>
  <c r="S98" i="34"/>
  <c r="T98" i="34"/>
  <c r="U98" i="34"/>
  <c r="V98" i="34"/>
  <c r="W98" i="34"/>
  <c r="X98" i="34"/>
  <c r="Y98" i="34"/>
  <c r="N99" i="34"/>
  <c r="B99" i="34"/>
  <c r="O99" i="34"/>
  <c r="P99" i="34"/>
  <c r="Q99" i="34"/>
  <c r="R99" i="34"/>
  <c r="S99" i="34"/>
  <c r="T99" i="34"/>
  <c r="U99" i="34"/>
  <c r="V99" i="34"/>
  <c r="W99" i="34"/>
  <c r="X99" i="34"/>
  <c r="Y99" i="34"/>
  <c r="N100" i="34"/>
  <c r="B100" i="34"/>
  <c r="O100" i="34"/>
  <c r="P100" i="34"/>
  <c r="Q100" i="34"/>
  <c r="R100" i="34"/>
  <c r="S100" i="34"/>
  <c r="T100" i="34"/>
  <c r="U100" i="34"/>
  <c r="V100" i="34"/>
  <c r="W100" i="34"/>
  <c r="X100" i="34"/>
  <c r="Y100" i="34"/>
  <c r="N101" i="34"/>
  <c r="C101" i="34"/>
  <c r="B101" i="34"/>
  <c r="O101" i="34"/>
  <c r="P101" i="34"/>
  <c r="Q101" i="34"/>
  <c r="R101" i="34"/>
  <c r="S101" i="34"/>
  <c r="T101" i="34"/>
  <c r="U101" i="34"/>
  <c r="V101" i="34"/>
  <c r="W101" i="34"/>
  <c r="X101" i="34"/>
  <c r="Y101" i="34"/>
  <c r="N102" i="34"/>
  <c r="C102" i="34"/>
  <c r="B102" i="34"/>
  <c r="O102" i="34"/>
  <c r="P102" i="34"/>
  <c r="Q102" i="34"/>
  <c r="R102" i="34"/>
  <c r="S102" i="34"/>
  <c r="T102" i="34"/>
  <c r="U102" i="34"/>
  <c r="V102" i="34"/>
  <c r="W102" i="34"/>
  <c r="X102" i="34"/>
  <c r="Y102" i="34"/>
  <c r="N103" i="34"/>
  <c r="C103" i="34"/>
  <c r="B103" i="34"/>
  <c r="O103" i="34"/>
  <c r="P103" i="34"/>
  <c r="Q103" i="34"/>
  <c r="R103" i="34"/>
  <c r="S103" i="34"/>
  <c r="T103" i="34"/>
  <c r="U103" i="34"/>
  <c r="V103" i="34"/>
  <c r="W103" i="34"/>
  <c r="X103" i="34"/>
  <c r="Y103" i="34"/>
  <c r="N104" i="34"/>
  <c r="C104" i="34"/>
  <c r="B104" i="34"/>
  <c r="O104" i="34"/>
  <c r="P104" i="34"/>
  <c r="Q104" i="34"/>
  <c r="R104" i="34"/>
  <c r="S104" i="34"/>
  <c r="T104" i="34"/>
  <c r="U104" i="34"/>
  <c r="V104" i="34"/>
  <c r="W104" i="34"/>
  <c r="X104" i="34"/>
  <c r="Y104" i="34"/>
  <c r="N105" i="34"/>
  <c r="C105" i="34"/>
  <c r="B105" i="34"/>
  <c r="O105" i="34"/>
  <c r="P105" i="34"/>
  <c r="Q105" i="34"/>
  <c r="R105" i="34"/>
  <c r="S105" i="34"/>
  <c r="T105" i="34"/>
  <c r="U105" i="34"/>
  <c r="V105" i="34"/>
  <c r="W105" i="34"/>
  <c r="X105" i="34"/>
  <c r="Y105" i="34"/>
  <c r="N106" i="34"/>
  <c r="C106" i="34"/>
  <c r="B106" i="34"/>
  <c r="O106" i="34"/>
  <c r="P106" i="34"/>
  <c r="Q106" i="34"/>
  <c r="R106" i="34"/>
  <c r="S106" i="34"/>
  <c r="T106" i="34"/>
  <c r="U106" i="34"/>
  <c r="V106" i="34"/>
  <c r="W106" i="34"/>
  <c r="X106" i="34"/>
  <c r="Y106" i="34"/>
  <c r="N107" i="34"/>
  <c r="C107" i="34"/>
  <c r="B107" i="34"/>
  <c r="O107" i="34"/>
  <c r="P107" i="34"/>
  <c r="Q107" i="34"/>
  <c r="R107" i="34"/>
  <c r="S107" i="34"/>
  <c r="T107" i="34"/>
  <c r="U107" i="34"/>
  <c r="V107" i="34"/>
  <c r="W107" i="34"/>
  <c r="X107" i="34"/>
  <c r="Y107" i="34"/>
  <c r="N108" i="34"/>
  <c r="C108" i="34"/>
  <c r="B108" i="34"/>
  <c r="O108" i="34"/>
  <c r="P108" i="34"/>
  <c r="Q108" i="34"/>
  <c r="R108" i="34"/>
  <c r="S108" i="34"/>
  <c r="T108" i="34"/>
  <c r="U108" i="34"/>
  <c r="V108" i="34"/>
  <c r="W108" i="34"/>
  <c r="X108" i="34"/>
  <c r="Y108" i="34"/>
  <c r="N109" i="34"/>
  <c r="C109" i="34"/>
  <c r="B109" i="34"/>
  <c r="O109" i="34"/>
  <c r="P109" i="34"/>
  <c r="Q109" i="34"/>
  <c r="R109" i="34"/>
  <c r="S109" i="34"/>
  <c r="T109" i="34"/>
  <c r="U109" i="34"/>
  <c r="V109" i="34"/>
  <c r="W109" i="34"/>
  <c r="X109" i="34"/>
  <c r="Y109" i="34"/>
  <c r="N110" i="34"/>
  <c r="C110" i="34"/>
  <c r="B110" i="34"/>
  <c r="O110" i="34"/>
  <c r="P110" i="34"/>
  <c r="Q110" i="34"/>
  <c r="R110" i="34"/>
  <c r="S110" i="34"/>
  <c r="T110" i="34"/>
  <c r="U110" i="34"/>
  <c r="V110" i="34"/>
  <c r="W110" i="34"/>
  <c r="X110" i="34"/>
  <c r="Y110" i="34"/>
  <c r="N111" i="34"/>
  <c r="C111" i="34"/>
  <c r="B111" i="34"/>
  <c r="O111" i="34"/>
  <c r="P111" i="34"/>
  <c r="Q111" i="34"/>
  <c r="R111" i="34"/>
  <c r="S111" i="34"/>
  <c r="T111" i="34"/>
  <c r="U111" i="34"/>
  <c r="V111" i="34"/>
  <c r="W111" i="34"/>
  <c r="X111" i="34"/>
  <c r="Y111" i="34"/>
  <c r="N112" i="34"/>
  <c r="C112" i="34"/>
  <c r="B112" i="34"/>
  <c r="O112" i="34"/>
  <c r="P112" i="34"/>
  <c r="Q112" i="34"/>
  <c r="R112" i="34"/>
  <c r="S112" i="34"/>
  <c r="T112" i="34"/>
  <c r="U112" i="34"/>
  <c r="V112" i="34"/>
  <c r="W112" i="34"/>
  <c r="X112" i="34"/>
  <c r="Y112" i="34"/>
  <c r="N113" i="34"/>
  <c r="C113" i="34"/>
  <c r="B113" i="34"/>
  <c r="O113" i="34"/>
  <c r="P113" i="34"/>
  <c r="Q113" i="34"/>
  <c r="R113" i="34"/>
  <c r="S113" i="34"/>
  <c r="T113" i="34"/>
  <c r="U113" i="34"/>
  <c r="V113" i="34"/>
  <c r="W113" i="34"/>
  <c r="X113" i="34"/>
  <c r="Y113" i="34"/>
  <c r="N114" i="34"/>
  <c r="C114" i="34"/>
  <c r="B114" i="34"/>
  <c r="O114" i="34"/>
  <c r="P114" i="34"/>
  <c r="Q114" i="34"/>
  <c r="R114" i="34"/>
  <c r="S114" i="34"/>
  <c r="T114" i="34"/>
  <c r="U114" i="34"/>
  <c r="V114" i="34"/>
  <c r="W114" i="34"/>
  <c r="X114" i="34"/>
  <c r="Y114" i="34"/>
  <c r="N115" i="34"/>
  <c r="C115" i="34"/>
  <c r="B115" i="34"/>
  <c r="O115" i="34"/>
  <c r="P115" i="34"/>
  <c r="Q115" i="34"/>
  <c r="R115" i="34"/>
  <c r="S115" i="34"/>
  <c r="T115" i="34"/>
  <c r="U115" i="34"/>
  <c r="V115" i="34"/>
  <c r="W115" i="34"/>
  <c r="X115" i="34"/>
  <c r="Y115" i="34"/>
  <c r="N116" i="34"/>
  <c r="C116" i="34"/>
  <c r="B116" i="34"/>
  <c r="O116" i="34"/>
  <c r="P116" i="34"/>
  <c r="Q116" i="34"/>
  <c r="R116" i="34"/>
  <c r="S116" i="34"/>
  <c r="T116" i="34"/>
  <c r="U116" i="34"/>
  <c r="V116" i="34"/>
  <c r="W116" i="34"/>
  <c r="X116" i="34"/>
  <c r="Y116" i="34"/>
  <c r="N117" i="34"/>
  <c r="C117" i="34"/>
  <c r="B117" i="34"/>
  <c r="O117" i="34"/>
  <c r="P117" i="34"/>
  <c r="Q117" i="34"/>
  <c r="R117" i="34"/>
  <c r="S117" i="34"/>
  <c r="T117" i="34"/>
  <c r="U117" i="34"/>
  <c r="V117" i="34"/>
  <c r="W117" i="34"/>
  <c r="X117" i="34"/>
  <c r="Y117" i="34"/>
  <c r="N118" i="34"/>
  <c r="C118" i="34"/>
  <c r="B118" i="34"/>
  <c r="O118" i="34"/>
  <c r="P118" i="34"/>
  <c r="Q118" i="34"/>
  <c r="R118" i="34"/>
  <c r="S118" i="34"/>
  <c r="T118" i="34"/>
  <c r="U118" i="34"/>
  <c r="V118" i="34"/>
  <c r="W118" i="34"/>
  <c r="X118" i="34"/>
  <c r="Y118" i="34"/>
  <c r="N119" i="34"/>
  <c r="C119" i="34"/>
  <c r="B119" i="34"/>
  <c r="O119" i="34"/>
  <c r="P119" i="34"/>
  <c r="Q119" i="34"/>
  <c r="R119" i="34"/>
  <c r="S119" i="34"/>
  <c r="T119" i="34"/>
  <c r="U119" i="34"/>
  <c r="V119" i="34"/>
  <c r="W119" i="34"/>
  <c r="X119" i="34"/>
  <c r="Y119" i="34"/>
  <c r="N120" i="34"/>
  <c r="C120" i="34"/>
  <c r="B120" i="34"/>
  <c r="O120" i="34"/>
  <c r="P120" i="34"/>
  <c r="Q120" i="34"/>
  <c r="R120" i="34"/>
  <c r="S120" i="34"/>
  <c r="T120" i="34"/>
  <c r="U120" i="34"/>
  <c r="V120" i="34"/>
  <c r="W120" i="34"/>
  <c r="X120" i="34"/>
  <c r="Y120" i="34"/>
  <c r="N121" i="34"/>
  <c r="C121" i="34"/>
  <c r="B121" i="34"/>
  <c r="O121" i="34"/>
  <c r="P121" i="34"/>
  <c r="Q121" i="34"/>
  <c r="R121" i="34"/>
  <c r="S121" i="34"/>
  <c r="T121" i="34"/>
  <c r="U121" i="34"/>
  <c r="V121" i="34"/>
  <c r="W121" i="34"/>
  <c r="X121" i="34"/>
  <c r="Y121" i="34"/>
  <c r="N122" i="34"/>
  <c r="C122" i="34"/>
  <c r="B122" i="34"/>
  <c r="O122" i="34"/>
  <c r="P122" i="34"/>
  <c r="Q122" i="34"/>
  <c r="R122" i="34"/>
  <c r="S122" i="34"/>
  <c r="T122" i="34"/>
  <c r="U122" i="34"/>
  <c r="V122" i="34"/>
  <c r="W122" i="34"/>
  <c r="X122" i="34"/>
  <c r="Y122" i="34"/>
  <c r="N123" i="34"/>
  <c r="C123" i="34"/>
  <c r="B123" i="34"/>
  <c r="O123" i="34"/>
  <c r="P123" i="34"/>
  <c r="Q123" i="34"/>
  <c r="R123" i="34"/>
  <c r="S123" i="34"/>
  <c r="T123" i="34"/>
  <c r="U123" i="34"/>
  <c r="V123" i="34"/>
  <c r="W123" i="34"/>
  <c r="X123" i="34"/>
  <c r="Y123" i="34"/>
  <c r="N124" i="34"/>
  <c r="C124" i="34"/>
  <c r="B124" i="34"/>
  <c r="O124" i="34"/>
  <c r="P124" i="34"/>
  <c r="Q124" i="34"/>
  <c r="R124" i="34"/>
  <c r="S124" i="34"/>
  <c r="T124" i="34"/>
  <c r="U124" i="34"/>
  <c r="V124" i="34"/>
  <c r="W124" i="34"/>
  <c r="X124" i="34"/>
  <c r="Y124" i="34"/>
  <c r="N125" i="34"/>
  <c r="C125" i="34"/>
  <c r="B125" i="34"/>
  <c r="O125" i="34"/>
  <c r="P125" i="34"/>
  <c r="Q125" i="34"/>
  <c r="R125" i="34"/>
  <c r="S125" i="34"/>
  <c r="T125" i="34"/>
  <c r="U125" i="34"/>
  <c r="V125" i="34"/>
  <c r="W125" i="34"/>
  <c r="X125" i="34"/>
  <c r="Y125" i="34"/>
  <c r="N126" i="34"/>
  <c r="C126" i="34"/>
  <c r="B126" i="34"/>
  <c r="O126" i="34"/>
  <c r="P126" i="34"/>
  <c r="Q126" i="34"/>
  <c r="R126" i="34"/>
  <c r="S126" i="34"/>
  <c r="T126" i="34"/>
  <c r="U126" i="34"/>
  <c r="V126" i="34"/>
  <c r="W126" i="34"/>
  <c r="X126" i="34"/>
  <c r="Y126" i="34"/>
  <c r="N127" i="34"/>
  <c r="C127" i="34"/>
  <c r="B127" i="34"/>
  <c r="O127" i="34"/>
  <c r="P127" i="34"/>
  <c r="Q127" i="34"/>
  <c r="R127" i="34"/>
  <c r="S127" i="34"/>
  <c r="T127" i="34"/>
  <c r="U127" i="34"/>
  <c r="V127" i="34"/>
  <c r="W127" i="34"/>
  <c r="X127" i="34"/>
  <c r="Y127" i="34"/>
  <c r="N128" i="34"/>
  <c r="C128" i="34"/>
  <c r="B128" i="34"/>
  <c r="O128" i="34"/>
  <c r="P128" i="34"/>
  <c r="Q128" i="34"/>
  <c r="R128" i="34"/>
  <c r="S128" i="34"/>
  <c r="T128" i="34"/>
  <c r="U128" i="34"/>
  <c r="V128" i="34"/>
  <c r="W128" i="34"/>
  <c r="X128" i="34"/>
  <c r="Y128" i="34"/>
  <c r="N129" i="34"/>
  <c r="C129" i="34"/>
  <c r="B129" i="34"/>
  <c r="O129" i="34"/>
  <c r="P129" i="34"/>
  <c r="Q129" i="34"/>
  <c r="R129" i="34"/>
  <c r="S129" i="34"/>
  <c r="T129" i="34"/>
  <c r="U129" i="34"/>
  <c r="V129" i="34"/>
  <c r="W129" i="34"/>
  <c r="X129" i="34"/>
  <c r="Y129" i="34"/>
  <c r="N130" i="34"/>
  <c r="C130" i="34"/>
  <c r="B130" i="34"/>
  <c r="O130" i="34"/>
  <c r="P130" i="34"/>
  <c r="Q130" i="34"/>
  <c r="R130" i="34"/>
  <c r="S130" i="34"/>
  <c r="T130" i="34"/>
  <c r="U130" i="34"/>
  <c r="V130" i="34"/>
  <c r="W130" i="34"/>
  <c r="X130" i="34"/>
  <c r="Y130" i="34"/>
  <c r="N131" i="34"/>
  <c r="C131" i="34"/>
  <c r="B131" i="34"/>
  <c r="O131" i="34"/>
  <c r="P131" i="34"/>
  <c r="Q131" i="34"/>
  <c r="R131" i="34"/>
  <c r="S131" i="34"/>
  <c r="T131" i="34"/>
  <c r="U131" i="34"/>
  <c r="V131" i="34"/>
  <c r="W131" i="34"/>
  <c r="X131" i="34"/>
  <c r="Y131" i="34"/>
  <c r="N132" i="34"/>
  <c r="C132" i="34"/>
  <c r="B132" i="34"/>
  <c r="O132" i="34"/>
  <c r="P132" i="34"/>
  <c r="Q132" i="34"/>
  <c r="R132" i="34"/>
  <c r="S132" i="34"/>
  <c r="T132" i="34"/>
  <c r="U132" i="34"/>
  <c r="V132" i="34"/>
  <c r="W132" i="34"/>
  <c r="X132" i="34"/>
  <c r="Y132" i="34"/>
  <c r="N133" i="34"/>
  <c r="C133" i="34"/>
  <c r="B133" i="34"/>
  <c r="O133" i="34"/>
  <c r="P133" i="34"/>
  <c r="Q133" i="34"/>
  <c r="R133" i="34"/>
  <c r="S133" i="34"/>
  <c r="T133" i="34"/>
  <c r="U133" i="34"/>
  <c r="V133" i="34"/>
  <c r="W133" i="34"/>
  <c r="X133" i="34"/>
  <c r="Y133" i="34"/>
  <c r="N134" i="34"/>
  <c r="C134" i="34"/>
  <c r="B134" i="34"/>
  <c r="O134" i="34"/>
  <c r="P134" i="34"/>
  <c r="Q134" i="34"/>
  <c r="R134" i="34"/>
  <c r="S134" i="34"/>
  <c r="T134" i="34"/>
  <c r="U134" i="34"/>
  <c r="V134" i="34"/>
  <c r="W134" i="34"/>
  <c r="X134" i="34"/>
  <c r="Y134" i="34"/>
  <c r="N135" i="34"/>
  <c r="C135" i="34"/>
  <c r="B135" i="34"/>
  <c r="O135" i="34"/>
  <c r="P135" i="34"/>
  <c r="Q135" i="34"/>
  <c r="R135" i="34"/>
  <c r="S135" i="34"/>
  <c r="T135" i="34"/>
  <c r="U135" i="34"/>
  <c r="V135" i="34"/>
  <c r="W135" i="34"/>
  <c r="X135" i="34"/>
  <c r="Y135" i="34"/>
  <c r="N136" i="34"/>
  <c r="C136" i="34"/>
  <c r="B136" i="34"/>
  <c r="O136" i="34"/>
  <c r="P136" i="34"/>
  <c r="Q136" i="34"/>
  <c r="R136" i="34"/>
  <c r="S136" i="34"/>
  <c r="T136" i="34"/>
  <c r="U136" i="34"/>
  <c r="V136" i="34"/>
  <c r="W136" i="34"/>
  <c r="X136" i="34"/>
  <c r="Y136" i="34"/>
  <c r="N137" i="34"/>
  <c r="C137" i="34"/>
  <c r="B137" i="34"/>
  <c r="O137" i="34"/>
  <c r="P137" i="34"/>
  <c r="Q137" i="34"/>
  <c r="R137" i="34"/>
  <c r="S137" i="34"/>
  <c r="T137" i="34"/>
  <c r="U137" i="34"/>
  <c r="V137" i="34"/>
  <c r="W137" i="34"/>
  <c r="X137" i="34"/>
  <c r="Y137" i="34"/>
  <c r="N138" i="34"/>
  <c r="C138" i="34"/>
  <c r="B138" i="34"/>
  <c r="O138" i="34"/>
  <c r="P138" i="34"/>
  <c r="Q138" i="34"/>
  <c r="R138" i="34"/>
  <c r="S138" i="34"/>
  <c r="T138" i="34"/>
  <c r="U138" i="34"/>
  <c r="V138" i="34"/>
  <c r="W138" i="34"/>
  <c r="X138" i="34"/>
  <c r="Y138" i="34"/>
  <c r="N139" i="34"/>
  <c r="C139" i="34"/>
  <c r="B139" i="34"/>
  <c r="O139" i="34"/>
  <c r="P139" i="34"/>
  <c r="Q139" i="34"/>
  <c r="R139" i="34"/>
  <c r="S139" i="34"/>
  <c r="T139" i="34"/>
  <c r="U139" i="34"/>
  <c r="V139" i="34"/>
  <c r="W139" i="34"/>
  <c r="X139" i="34"/>
  <c r="Y139" i="34"/>
  <c r="N140" i="34"/>
  <c r="C140" i="34"/>
  <c r="B140" i="34"/>
  <c r="O140" i="34"/>
  <c r="P140" i="34"/>
  <c r="Q140" i="34"/>
  <c r="R140" i="34"/>
  <c r="S140" i="34"/>
  <c r="T140" i="34"/>
  <c r="U140" i="34"/>
  <c r="V140" i="34"/>
  <c r="W140" i="34"/>
  <c r="X140" i="34"/>
  <c r="Y140" i="34"/>
  <c r="N141" i="34"/>
  <c r="C141" i="34"/>
  <c r="B141" i="34"/>
  <c r="O141" i="34"/>
  <c r="P141" i="34"/>
  <c r="Q141" i="34"/>
  <c r="R141" i="34"/>
  <c r="S141" i="34"/>
  <c r="T141" i="34"/>
  <c r="U141" i="34"/>
  <c r="V141" i="34"/>
  <c r="W141" i="34"/>
  <c r="X141" i="34"/>
  <c r="Y141" i="34"/>
  <c r="N142" i="34"/>
  <c r="C142" i="34"/>
  <c r="B142" i="34"/>
  <c r="O142" i="34"/>
  <c r="P142" i="34"/>
  <c r="Q142" i="34"/>
  <c r="R142" i="34"/>
  <c r="S142" i="34"/>
  <c r="T142" i="34"/>
  <c r="U142" i="34"/>
  <c r="V142" i="34"/>
  <c r="W142" i="34"/>
  <c r="X142" i="34"/>
  <c r="Y142" i="34"/>
  <c r="N143" i="34"/>
  <c r="C143" i="34"/>
  <c r="B143" i="34"/>
  <c r="O143" i="34"/>
  <c r="P143" i="34"/>
  <c r="Q143" i="34"/>
  <c r="R143" i="34"/>
  <c r="S143" i="34"/>
  <c r="T143" i="34"/>
  <c r="U143" i="34"/>
  <c r="V143" i="34"/>
  <c r="W143" i="34"/>
  <c r="X143" i="34"/>
  <c r="Y143" i="34"/>
  <c r="N144" i="34"/>
  <c r="C144" i="34"/>
  <c r="B144" i="34"/>
  <c r="O144" i="34"/>
  <c r="P144" i="34"/>
  <c r="Q144" i="34"/>
  <c r="R144" i="34"/>
  <c r="S144" i="34"/>
  <c r="T144" i="34"/>
  <c r="U144" i="34"/>
  <c r="V144" i="34"/>
  <c r="W144" i="34"/>
  <c r="X144" i="34"/>
  <c r="Y144" i="34"/>
  <c r="N145" i="34"/>
  <c r="C145" i="34"/>
  <c r="B145" i="34"/>
  <c r="O145" i="34"/>
  <c r="P145" i="34"/>
  <c r="Q145" i="34"/>
  <c r="R145" i="34"/>
  <c r="S145" i="34"/>
  <c r="T145" i="34"/>
  <c r="U145" i="34"/>
  <c r="V145" i="34"/>
  <c r="W145" i="34"/>
  <c r="X145" i="34"/>
  <c r="Y145" i="34"/>
  <c r="N146" i="34"/>
  <c r="C146" i="34"/>
  <c r="B146" i="34"/>
  <c r="O146" i="34"/>
  <c r="P146" i="34"/>
  <c r="Q146" i="34"/>
  <c r="R146" i="34"/>
  <c r="S146" i="34"/>
  <c r="T146" i="34"/>
  <c r="U146" i="34"/>
  <c r="V146" i="34"/>
  <c r="W146" i="34"/>
  <c r="X146" i="34"/>
  <c r="Y146" i="34"/>
  <c r="N147" i="34"/>
  <c r="C147" i="34"/>
  <c r="B147" i="34"/>
  <c r="O147" i="34"/>
  <c r="P147" i="34"/>
  <c r="Q147" i="34"/>
  <c r="R147" i="34"/>
  <c r="S147" i="34"/>
  <c r="T147" i="34"/>
  <c r="U147" i="34"/>
  <c r="V147" i="34"/>
  <c r="W147" i="34"/>
  <c r="X147" i="34"/>
  <c r="Y147" i="34"/>
  <c r="N148" i="34"/>
  <c r="C148" i="34"/>
  <c r="B148" i="34"/>
  <c r="O148" i="34"/>
  <c r="P148" i="34"/>
  <c r="Q148" i="34"/>
  <c r="R148" i="34"/>
  <c r="S148" i="34"/>
  <c r="T148" i="34"/>
  <c r="U148" i="34"/>
  <c r="V148" i="34"/>
  <c r="W148" i="34"/>
  <c r="X148" i="34"/>
  <c r="Y148" i="34"/>
  <c r="N149" i="34"/>
  <c r="C149" i="34"/>
  <c r="B149" i="34"/>
  <c r="O149" i="34"/>
  <c r="P149" i="34"/>
  <c r="Q149" i="34"/>
  <c r="R149" i="34"/>
  <c r="S149" i="34"/>
  <c r="T149" i="34"/>
  <c r="U149" i="34"/>
  <c r="V149" i="34"/>
  <c r="W149" i="34"/>
  <c r="X149" i="34"/>
  <c r="Y149" i="34"/>
  <c r="N150" i="34"/>
  <c r="C150" i="34"/>
  <c r="B150" i="34"/>
  <c r="O150" i="34"/>
  <c r="P150" i="34"/>
  <c r="Q150" i="34"/>
  <c r="R150" i="34"/>
  <c r="S150" i="34"/>
  <c r="T150" i="34"/>
  <c r="U150" i="34"/>
  <c r="V150" i="34"/>
  <c r="W150" i="34"/>
  <c r="X150" i="34"/>
  <c r="Y150" i="34"/>
  <c r="N151" i="34"/>
  <c r="C151" i="34"/>
  <c r="B151" i="34"/>
  <c r="O151" i="34"/>
  <c r="P151" i="34"/>
  <c r="Q151" i="34"/>
  <c r="R151" i="34"/>
  <c r="S151" i="34"/>
  <c r="T151" i="34"/>
  <c r="U151" i="34"/>
  <c r="V151" i="34"/>
  <c r="W151" i="34"/>
  <c r="X151" i="34"/>
  <c r="Y151" i="34"/>
  <c r="N152" i="34"/>
  <c r="C152" i="34"/>
  <c r="B152" i="34"/>
  <c r="O152" i="34"/>
  <c r="P152" i="34"/>
  <c r="Q152" i="34"/>
  <c r="R152" i="34"/>
  <c r="S152" i="34"/>
  <c r="T152" i="34"/>
  <c r="U152" i="34"/>
  <c r="V152" i="34"/>
  <c r="W152" i="34"/>
  <c r="X152" i="34"/>
  <c r="Y152" i="34"/>
  <c r="N153" i="34"/>
  <c r="C153" i="34"/>
  <c r="B153" i="34"/>
  <c r="O153" i="34"/>
  <c r="P153" i="34"/>
  <c r="Q153" i="34"/>
  <c r="R153" i="34"/>
  <c r="S153" i="34"/>
  <c r="T153" i="34"/>
  <c r="U153" i="34"/>
  <c r="V153" i="34"/>
  <c r="W153" i="34"/>
  <c r="X153" i="34"/>
  <c r="Y153" i="34"/>
  <c r="N154" i="34"/>
  <c r="C154" i="34"/>
  <c r="B154" i="34"/>
  <c r="O154" i="34"/>
  <c r="P154" i="34"/>
  <c r="Q154" i="34"/>
  <c r="R154" i="34"/>
  <c r="S154" i="34"/>
  <c r="T154" i="34"/>
  <c r="U154" i="34"/>
  <c r="V154" i="34"/>
  <c r="W154" i="34"/>
  <c r="X154" i="34"/>
  <c r="Y154" i="34"/>
  <c r="N155" i="34"/>
  <c r="C155" i="34"/>
  <c r="B155" i="34"/>
  <c r="O155" i="34"/>
  <c r="P155" i="34"/>
  <c r="Q155" i="34"/>
  <c r="R155" i="34"/>
  <c r="S155" i="34"/>
  <c r="T155" i="34"/>
  <c r="U155" i="34"/>
  <c r="V155" i="34"/>
  <c r="W155" i="34"/>
  <c r="X155" i="34"/>
  <c r="Y155" i="34"/>
  <c r="N156" i="34"/>
  <c r="C156" i="34"/>
  <c r="B156" i="34"/>
  <c r="O156" i="34"/>
  <c r="P156" i="34"/>
  <c r="Q156" i="34"/>
  <c r="R156" i="34"/>
  <c r="S156" i="34"/>
  <c r="T156" i="34"/>
  <c r="U156" i="34"/>
  <c r="V156" i="34"/>
  <c r="W156" i="34"/>
  <c r="X156" i="34"/>
  <c r="Y156" i="34"/>
  <c r="N157" i="34"/>
  <c r="C157" i="34"/>
  <c r="B157" i="34"/>
  <c r="O157" i="34"/>
  <c r="P157" i="34"/>
  <c r="Q157" i="34"/>
  <c r="R157" i="34"/>
  <c r="S157" i="34"/>
  <c r="T157" i="34"/>
  <c r="U157" i="34"/>
  <c r="V157" i="34"/>
  <c r="W157" i="34"/>
  <c r="X157" i="34"/>
  <c r="Y157" i="34"/>
  <c r="N158" i="34"/>
  <c r="C158" i="34"/>
  <c r="B158" i="34"/>
  <c r="O158" i="34"/>
  <c r="P158" i="34"/>
  <c r="Q158" i="34"/>
  <c r="R158" i="34"/>
  <c r="S158" i="34"/>
  <c r="T158" i="34"/>
  <c r="U158" i="34"/>
  <c r="V158" i="34"/>
  <c r="W158" i="34"/>
  <c r="X158" i="34"/>
  <c r="Y158" i="34"/>
  <c r="N159" i="34"/>
  <c r="C159" i="34"/>
  <c r="B159" i="34"/>
  <c r="O159" i="34"/>
  <c r="P159" i="34"/>
  <c r="Q159" i="34"/>
  <c r="R159" i="34"/>
  <c r="S159" i="34"/>
  <c r="T159" i="34"/>
  <c r="U159" i="34"/>
  <c r="V159" i="34"/>
  <c r="W159" i="34"/>
  <c r="X159" i="34"/>
  <c r="Y159" i="34"/>
  <c r="N160" i="34"/>
  <c r="C160" i="34"/>
  <c r="B160" i="34"/>
  <c r="O160" i="34"/>
  <c r="P160" i="34"/>
  <c r="Q160" i="34"/>
  <c r="R160" i="34"/>
  <c r="S160" i="34"/>
  <c r="T160" i="34"/>
  <c r="U160" i="34"/>
  <c r="V160" i="34"/>
  <c r="W160" i="34"/>
  <c r="X160" i="34"/>
  <c r="Y160" i="34"/>
  <c r="N161" i="34"/>
  <c r="C161" i="34"/>
  <c r="B161" i="34"/>
  <c r="O161" i="34"/>
  <c r="P161" i="34"/>
  <c r="Q161" i="34"/>
  <c r="R161" i="34"/>
  <c r="S161" i="34"/>
  <c r="T161" i="34"/>
  <c r="U161" i="34"/>
  <c r="V161" i="34"/>
  <c r="W161" i="34"/>
  <c r="X161" i="34"/>
  <c r="Y161" i="34"/>
  <c r="N162" i="34"/>
  <c r="C162" i="34"/>
  <c r="B162" i="34"/>
  <c r="O162" i="34"/>
  <c r="P162" i="34"/>
  <c r="Q162" i="34"/>
  <c r="R162" i="34"/>
  <c r="S162" i="34"/>
  <c r="T162" i="34"/>
  <c r="U162" i="34"/>
  <c r="V162" i="34"/>
  <c r="W162" i="34"/>
  <c r="X162" i="34"/>
  <c r="Y162" i="34"/>
  <c r="N163" i="34"/>
  <c r="C163" i="34"/>
  <c r="B163" i="34"/>
  <c r="O163" i="34"/>
  <c r="P163" i="34"/>
  <c r="Q163" i="34"/>
  <c r="R163" i="34"/>
  <c r="S163" i="34"/>
  <c r="T163" i="34"/>
  <c r="U163" i="34"/>
  <c r="V163" i="34"/>
  <c r="W163" i="34"/>
  <c r="X163" i="34"/>
  <c r="Y163" i="34"/>
  <c r="N164" i="34"/>
  <c r="C164" i="34"/>
  <c r="B164" i="34"/>
  <c r="O164" i="34"/>
  <c r="P164" i="34"/>
  <c r="Q164" i="34"/>
  <c r="R164" i="34"/>
  <c r="S164" i="34"/>
  <c r="T164" i="34"/>
  <c r="U164" i="34"/>
  <c r="V164" i="34"/>
  <c r="W164" i="34"/>
  <c r="X164" i="34"/>
  <c r="Y164" i="34"/>
  <c r="N165" i="34"/>
  <c r="C165" i="34"/>
  <c r="B165" i="34"/>
  <c r="O165" i="34"/>
  <c r="P165" i="34"/>
  <c r="Q165" i="34"/>
  <c r="R165" i="34"/>
  <c r="S165" i="34"/>
  <c r="T165" i="34"/>
  <c r="U165" i="34"/>
  <c r="V165" i="34"/>
  <c r="W165" i="34"/>
  <c r="X165" i="34"/>
  <c r="Y165" i="34"/>
  <c r="N166" i="34"/>
  <c r="C166" i="34"/>
  <c r="B166" i="34"/>
  <c r="O166" i="34"/>
  <c r="P166" i="34"/>
  <c r="Q166" i="34"/>
  <c r="R166" i="34"/>
  <c r="S166" i="34"/>
  <c r="T166" i="34"/>
  <c r="U166" i="34"/>
  <c r="V166" i="34"/>
  <c r="W166" i="34"/>
  <c r="X166" i="34"/>
  <c r="Y166" i="34"/>
  <c r="N167" i="34"/>
  <c r="C167" i="34"/>
  <c r="B167" i="34"/>
  <c r="O167" i="34"/>
  <c r="P167" i="34"/>
  <c r="Q167" i="34"/>
  <c r="R167" i="34"/>
  <c r="S167" i="34"/>
  <c r="T167" i="34"/>
  <c r="U167" i="34"/>
  <c r="V167" i="34"/>
  <c r="W167" i="34"/>
  <c r="X167" i="34"/>
  <c r="Y167" i="34"/>
  <c r="N168" i="34"/>
  <c r="C168" i="34"/>
  <c r="B168" i="34"/>
  <c r="O168" i="34"/>
  <c r="P168" i="34"/>
  <c r="Q168" i="34"/>
  <c r="R168" i="34"/>
  <c r="S168" i="34"/>
  <c r="T168" i="34"/>
  <c r="U168" i="34"/>
  <c r="V168" i="34"/>
  <c r="W168" i="34"/>
  <c r="X168" i="34"/>
  <c r="Y168" i="34"/>
  <c r="N169" i="34"/>
  <c r="C169" i="34"/>
  <c r="B169" i="34"/>
  <c r="O169" i="34"/>
  <c r="P169" i="34"/>
  <c r="Q169" i="34"/>
  <c r="R169" i="34"/>
  <c r="S169" i="34"/>
  <c r="T169" i="34"/>
  <c r="U169" i="34"/>
  <c r="V169" i="34"/>
  <c r="W169" i="34"/>
  <c r="X169" i="34"/>
  <c r="Y169" i="34"/>
  <c r="N170" i="34"/>
  <c r="C170" i="34"/>
  <c r="B170" i="34"/>
  <c r="O170" i="34"/>
  <c r="P170" i="34"/>
  <c r="Q170" i="34"/>
  <c r="R170" i="34"/>
  <c r="S170" i="34"/>
  <c r="T170" i="34"/>
  <c r="U170" i="34"/>
  <c r="V170" i="34"/>
  <c r="W170" i="34"/>
  <c r="X170" i="34"/>
  <c r="Y170" i="34"/>
  <c r="N171" i="34"/>
  <c r="C171" i="34"/>
  <c r="B171" i="34"/>
  <c r="O171" i="34"/>
  <c r="P171" i="34"/>
  <c r="Q171" i="34"/>
  <c r="R171" i="34"/>
  <c r="S171" i="34"/>
  <c r="T171" i="34"/>
  <c r="U171" i="34"/>
  <c r="V171" i="34"/>
  <c r="W171" i="34"/>
  <c r="X171" i="34"/>
  <c r="Y171" i="34"/>
  <c r="N172" i="34"/>
  <c r="C172" i="34"/>
  <c r="B172" i="34"/>
  <c r="O172" i="34"/>
  <c r="P172" i="34"/>
  <c r="Q172" i="34"/>
  <c r="R172" i="34"/>
  <c r="S172" i="34"/>
  <c r="T172" i="34"/>
  <c r="U172" i="34"/>
  <c r="V172" i="34"/>
  <c r="W172" i="34"/>
  <c r="X172" i="34"/>
  <c r="Y172" i="34"/>
  <c r="N173" i="34"/>
  <c r="C173" i="34"/>
  <c r="B173" i="34"/>
  <c r="O173" i="34"/>
  <c r="P173" i="34"/>
  <c r="Q173" i="34"/>
  <c r="R173" i="34"/>
  <c r="S173" i="34"/>
  <c r="T173" i="34"/>
  <c r="U173" i="34"/>
  <c r="V173" i="34"/>
  <c r="W173" i="34"/>
  <c r="X173" i="34"/>
  <c r="Y173" i="34"/>
  <c r="N174" i="34"/>
  <c r="C174" i="34"/>
  <c r="B174" i="34"/>
  <c r="O174" i="34"/>
  <c r="P174" i="34"/>
  <c r="Q174" i="34"/>
  <c r="R174" i="34"/>
  <c r="S174" i="34"/>
  <c r="T174" i="34"/>
  <c r="U174" i="34"/>
  <c r="V174" i="34"/>
  <c r="W174" i="34"/>
  <c r="X174" i="34"/>
  <c r="Y174" i="34"/>
  <c r="N175" i="34"/>
  <c r="C175" i="34"/>
  <c r="B175" i="34"/>
  <c r="O175" i="34"/>
  <c r="P175" i="34"/>
  <c r="Q175" i="34"/>
  <c r="R175" i="34"/>
  <c r="S175" i="34"/>
  <c r="T175" i="34"/>
  <c r="U175" i="34"/>
  <c r="V175" i="34"/>
  <c r="W175" i="34"/>
  <c r="X175" i="34"/>
  <c r="Y175" i="34"/>
  <c r="N176" i="34"/>
  <c r="C176" i="34"/>
  <c r="B176" i="34"/>
  <c r="O176" i="34"/>
  <c r="P176" i="34"/>
  <c r="Q176" i="34"/>
  <c r="R176" i="34"/>
  <c r="S176" i="34"/>
  <c r="T176" i="34"/>
  <c r="U176" i="34"/>
  <c r="V176" i="34"/>
  <c r="W176" i="34"/>
  <c r="X176" i="34"/>
  <c r="Y176" i="34"/>
  <c r="N177" i="34"/>
  <c r="C177" i="34"/>
  <c r="B177" i="34"/>
  <c r="O177" i="34"/>
  <c r="P177" i="34"/>
  <c r="Q177" i="34"/>
  <c r="R177" i="34"/>
  <c r="S177" i="34"/>
  <c r="T177" i="34"/>
  <c r="U177" i="34"/>
  <c r="V177" i="34"/>
  <c r="W177" i="34"/>
  <c r="X177" i="34"/>
  <c r="Y177" i="34"/>
  <c r="N178" i="34"/>
  <c r="C178" i="34"/>
  <c r="B178" i="34"/>
  <c r="O178" i="34"/>
  <c r="P178" i="34"/>
  <c r="Q178" i="34"/>
  <c r="R178" i="34"/>
  <c r="S178" i="34"/>
  <c r="T178" i="34"/>
  <c r="U178" i="34"/>
  <c r="V178" i="34"/>
  <c r="W178" i="34"/>
  <c r="X178" i="34"/>
  <c r="Y178" i="34"/>
  <c r="N179" i="34"/>
  <c r="C179" i="34"/>
  <c r="B179" i="34"/>
  <c r="O179" i="34"/>
  <c r="P179" i="34"/>
  <c r="Q179" i="34"/>
  <c r="R179" i="34"/>
  <c r="S179" i="34"/>
  <c r="T179" i="34"/>
  <c r="U179" i="34"/>
  <c r="V179" i="34"/>
  <c r="W179" i="34"/>
  <c r="X179" i="34"/>
  <c r="Y179" i="34"/>
  <c r="N180" i="34"/>
  <c r="C180" i="34"/>
  <c r="B180" i="34"/>
  <c r="O180" i="34"/>
  <c r="P180" i="34"/>
  <c r="Q180" i="34"/>
  <c r="R180" i="34"/>
  <c r="S180" i="34"/>
  <c r="T180" i="34"/>
  <c r="U180" i="34"/>
  <c r="V180" i="34"/>
  <c r="W180" i="34"/>
  <c r="X180" i="34"/>
  <c r="Y180" i="34"/>
  <c r="N181" i="34"/>
  <c r="C181" i="34"/>
  <c r="B181" i="34"/>
  <c r="O181" i="34"/>
  <c r="P181" i="34"/>
  <c r="Q181" i="34"/>
  <c r="R181" i="34"/>
  <c r="S181" i="34"/>
  <c r="T181" i="34"/>
  <c r="U181" i="34"/>
  <c r="V181" i="34"/>
  <c r="W181" i="34"/>
  <c r="X181" i="34"/>
  <c r="Y181" i="34"/>
  <c r="N182" i="34"/>
  <c r="C182" i="34"/>
  <c r="B182" i="34"/>
  <c r="O182" i="34"/>
  <c r="P182" i="34"/>
  <c r="Q182" i="34"/>
  <c r="R182" i="34"/>
  <c r="S182" i="34"/>
  <c r="T182" i="34"/>
  <c r="U182" i="34"/>
  <c r="V182" i="34"/>
  <c r="W182" i="34"/>
  <c r="X182" i="34"/>
  <c r="Y182" i="34"/>
  <c r="N183" i="34"/>
  <c r="C183" i="34"/>
  <c r="B183" i="34"/>
  <c r="O183" i="34"/>
  <c r="P183" i="34"/>
  <c r="Q183" i="34"/>
  <c r="R183" i="34"/>
  <c r="S183" i="34"/>
  <c r="T183" i="34"/>
  <c r="U183" i="34"/>
  <c r="V183" i="34"/>
  <c r="W183" i="34"/>
  <c r="X183" i="34"/>
  <c r="Y183" i="34"/>
  <c r="N184" i="34"/>
  <c r="C184" i="34"/>
  <c r="B184" i="34"/>
  <c r="O184" i="34"/>
  <c r="P184" i="34"/>
  <c r="Q184" i="34"/>
  <c r="R184" i="34"/>
  <c r="S184" i="34"/>
  <c r="T184" i="34"/>
  <c r="U184" i="34"/>
  <c r="V184" i="34"/>
  <c r="W184" i="34"/>
  <c r="X184" i="34"/>
  <c r="Y184" i="34"/>
  <c r="N185" i="34"/>
  <c r="C185" i="34"/>
  <c r="B185" i="34"/>
  <c r="O185" i="34"/>
  <c r="P185" i="34"/>
  <c r="Q185" i="34"/>
  <c r="R185" i="34"/>
  <c r="S185" i="34"/>
  <c r="T185" i="34"/>
  <c r="U185" i="34"/>
  <c r="V185" i="34"/>
  <c r="W185" i="34"/>
  <c r="X185" i="34"/>
  <c r="Y185" i="34"/>
  <c r="N186" i="34"/>
  <c r="C186" i="34"/>
  <c r="B186" i="34"/>
  <c r="O186" i="34"/>
  <c r="P186" i="34"/>
  <c r="Q186" i="34"/>
  <c r="R186" i="34"/>
  <c r="S186" i="34"/>
  <c r="T186" i="34"/>
  <c r="U186" i="34"/>
  <c r="V186" i="34"/>
  <c r="W186" i="34"/>
  <c r="X186" i="34"/>
  <c r="Y186" i="34"/>
  <c r="N187" i="34"/>
  <c r="C187" i="34"/>
  <c r="B187" i="34"/>
  <c r="O187" i="34"/>
  <c r="P187" i="34"/>
  <c r="Q187" i="34"/>
  <c r="R187" i="34"/>
  <c r="S187" i="34"/>
  <c r="T187" i="34"/>
  <c r="U187" i="34"/>
  <c r="V187" i="34"/>
  <c r="W187" i="34"/>
  <c r="X187" i="34"/>
  <c r="Y187" i="34"/>
  <c r="N188" i="34"/>
  <c r="C188" i="34"/>
  <c r="B188" i="34"/>
  <c r="O188" i="34"/>
  <c r="P188" i="34"/>
  <c r="Q188" i="34"/>
  <c r="R188" i="34"/>
  <c r="S188" i="34"/>
  <c r="T188" i="34"/>
  <c r="U188" i="34"/>
  <c r="V188" i="34"/>
  <c r="W188" i="34"/>
  <c r="X188" i="34"/>
  <c r="Y188" i="34"/>
  <c r="N189" i="34"/>
  <c r="C189" i="34"/>
  <c r="B189" i="34"/>
  <c r="O189" i="34"/>
  <c r="P189" i="34"/>
  <c r="Q189" i="34"/>
  <c r="R189" i="34"/>
  <c r="S189" i="34"/>
  <c r="T189" i="34"/>
  <c r="U189" i="34"/>
  <c r="V189" i="34"/>
  <c r="W189" i="34"/>
  <c r="X189" i="34"/>
  <c r="Y189" i="34"/>
  <c r="N190" i="34"/>
  <c r="C190" i="34"/>
  <c r="B190" i="34"/>
  <c r="O190" i="34"/>
  <c r="P190" i="34"/>
  <c r="Q190" i="34"/>
  <c r="R190" i="34"/>
  <c r="S190" i="34"/>
  <c r="T190" i="34"/>
  <c r="U190" i="34"/>
  <c r="V190" i="34"/>
  <c r="W190" i="34"/>
  <c r="X190" i="34"/>
  <c r="Y190" i="34"/>
  <c r="N191" i="34"/>
  <c r="C191" i="34"/>
  <c r="B191" i="34"/>
  <c r="O191" i="34"/>
  <c r="P191" i="34"/>
  <c r="Q191" i="34"/>
  <c r="R191" i="34"/>
  <c r="S191" i="34"/>
  <c r="T191" i="34"/>
  <c r="U191" i="34"/>
  <c r="V191" i="34"/>
  <c r="W191" i="34"/>
  <c r="X191" i="34"/>
  <c r="Y191" i="34"/>
  <c r="N192" i="34"/>
  <c r="C192" i="34"/>
  <c r="B192" i="34"/>
  <c r="O192" i="34"/>
  <c r="P192" i="34"/>
  <c r="Q192" i="34"/>
  <c r="R192" i="34"/>
  <c r="S192" i="34"/>
  <c r="T192" i="34"/>
  <c r="U192" i="34"/>
  <c r="V192" i="34"/>
  <c r="W192" i="34"/>
  <c r="X192" i="34"/>
  <c r="Y192" i="34"/>
  <c r="N193" i="34"/>
  <c r="C193" i="34"/>
  <c r="B193" i="34"/>
  <c r="O193" i="34"/>
  <c r="P193" i="34"/>
  <c r="Q193" i="34"/>
  <c r="R193" i="34"/>
  <c r="S193" i="34"/>
  <c r="T193" i="34"/>
  <c r="U193" i="34"/>
  <c r="V193" i="34"/>
  <c r="W193" i="34"/>
  <c r="X193" i="34"/>
  <c r="Y193" i="34"/>
  <c r="N194" i="34"/>
  <c r="C194" i="34"/>
  <c r="B194" i="34"/>
  <c r="O194" i="34"/>
  <c r="P194" i="34"/>
  <c r="Q194" i="34"/>
  <c r="R194" i="34"/>
  <c r="S194" i="34"/>
  <c r="T194" i="34"/>
  <c r="U194" i="34"/>
  <c r="V194" i="34"/>
  <c r="W194" i="34"/>
  <c r="X194" i="34"/>
  <c r="Y194" i="34"/>
  <c r="N195" i="34"/>
  <c r="C195" i="34"/>
  <c r="B195" i="34"/>
  <c r="O195" i="34"/>
  <c r="P195" i="34"/>
  <c r="Q195" i="34"/>
  <c r="R195" i="34"/>
  <c r="S195" i="34"/>
  <c r="T195" i="34"/>
  <c r="U195" i="34"/>
  <c r="V195" i="34"/>
  <c r="W195" i="34"/>
  <c r="X195" i="34"/>
  <c r="Y195" i="34"/>
  <c r="N196" i="34"/>
  <c r="C196" i="34"/>
  <c r="B196" i="34"/>
  <c r="O196" i="34"/>
  <c r="P196" i="34"/>
  <c r="Q196" i="34"/>
  <c r="R196" i="34"/>
  <c r="S196" i="34"/>
  <c r="T196" i="34"/>
  <c r="U196" i="34"/>
  <c r="V196" i="34"/>
  <c r="W196" i="34"/>
  <c r="X196" i="34"/>
  <c r="Y196" i="34"/>
  <c r="N197" i="34"/>
  <c r="C197" i="34"/>
  <c r="B197" i="34"/>
  <c r="O197" i="34"/>
  <c r="P197" i="34"/>
  <c r="Q197" i="34"/>
  <c r="R197" i="34"/>
  <c r="S197" i="34"/>
  <c r="T197" i="34"/>
  <c r="U197" i="34"/>
  <c r="V197" i="34"/>
  <c r="W197" i="34"/>
  <c r="X197" i="34"/>
  <c r="Y197" i="34"/>
  <c r="N198" i="34"/>
  <c r="C198" i="34"/>
  <c r="B198" i="34"/>
  <c r="O198" i="34"/>
  <c r="P198" i="34"/>
  <c r="Q198" i="34"/>
  <c r="R198" i="34"/>
  <c r="S198" i="34"/>
  <c r="T198" i="34"/>
  <c r="U198" i="34"/>
  <c r="V198" i="34"/>
  <c r="W198" i="34"/>
  <c r="X198" i="34"/>
  <c r="Y198" i="34"/>
  <c r="N199" i="34"/>
  <c r="C199" i="34"/>
  <c r="B199" i="34"/>
  <c r="O199" i="34"/>
  <c r="P199" i="34"/>
  <c r="Q199" i="34"/>
  <c r="R199" i="34"/>
  <c r="S199" i="34"/>
  <c r="T199" i="34"/>
  <c r="U199" i="34"/>
  <c r="V199" i="34"/>
  <c r="W199" i="34"/>
  <c r="X199" i="34"/>
  <c r="Y199" i="34"/>
  <c r="N200" i="34"/>
  <c r="C200" i="34"/>
  <c r="B200" i="34"/>
  <c r="O200" i="34"/>
  <c r="P200" i="34"/>
  <c r="Q200" i="34"/>
  <c r="R200" i="34"/>
  <c r="S200" i="34"/>
  <c r="T200" i="34"/>
  <c r="U200" i="34"/>
  <c r="V200" i="34"/>
  <c r="W200" i="34"/>
  <c r="X200" i="34"/>
  <c r="Y200" i="34"/>
  <c r="N201" i="34"/>
  <c r="C201" i="34"/>
  <c r="B201" i="34"/>
  <c r="O201" i="34"/>
  <c r="P201" i="34"/>
  <c r="Q201" i="34"/>
  <c r="R201" i="34"/>
  <c r="S201" i="34"/>
  <c r="T201" i="34"/>
  <c r="U201" i="34"/>
  <c r="V201" i="34"/>
  <c r="W201" i="34"/>
  <c r="X201" i="34"/>
  <c r="Y201" i="34"/>
  <c r="N202" i="34"/>
  <c r="C202" i="34"/>
  <c r="B202" i="34"/>
  <c r="O202" i="34"/>
  <c r="P202" i="34"/>
  <c r="Q202" i="34"/>
  <c r="R202" i="34"/>
  <c r="S202" i="34"/>
  <c r="T202" i="34"/>
  <c r="U202" i="34"/>
  <c r="V202" i="34"/>
  <c r="W202" i="34"/>
  <c r="X202" i="34"/>
  <c r="Y202" i="34"/>
  <c r="N203" i="34"/>
  <c r="C203" i="34"/>
  <c r="B203" i="34"/>
  <c r="O203" i="34"/>
  <c r="P203" i="34"/>
  <c r="Q203" i="34"/>
  <c r="R203" i="34"/>
  <c r="S203" i="34"/>
  <c r="T203" i="34"/>
  <c r="U203" i="34"/>
  <c r="V203" i="34"/>
  <c r="W203" i="34"/>
  <c r="X203" i="34"/>
  <c r="Y203" i="34"/>
  <c r="N204" i="34"/>
  <c r="C204" i="34"/>
  <c r="B204" i="34"/>
  <c r="O204" i="34"/>
  <c r="P204" i="34"/>
  <c r="Q204" i="34"/>
  <c r="R204" i="34"/>
  <c r="S204" i="34"/>
  <c r="T204" i="34"/>
  <c r="U204" i="34"/>
  <c r="V204" i="34"/>
  <c r="W204" i="34"/>
  <c r="X204" i="34"/>
  <c r="Y204" i="34"/>
  <c r="N205" i="34"/>
  <c r="C205" i="34"/>
  <c r="B205" i="34"/>
  <c r="O205" i="34"/>
  <c r="P205" i="34"/>
  <c r="Q205" i="34"/>
  <c r="R205" i="34"/>
  <c r="S205" i="34"/>
  <c r="T205" i="34"/>
  <c r="U205" i="34"/>
  <c r="V205" i="34"/>
  <c r="W205" i="34"/>
  <c r="X205" i="34"/>
  <c r="Y205" i="34"/>
  <c r="N206" i="34"/>
  <c r="C206" i="34"/>
  <c r="B206" i="34"/>
  <c r="O206" i="34"/>
  <c r="P206" i="34"/>
  <c r="Q206" i="34"/>
  <c r="R206" i="34"/>
  <c r="S206" i="34"/>
  <c r="T206" i="34"/>
  <c r="U206" i="34"/>
  <c r="V206" i="34"/>
  <c r="W206" i="34"/>
  <c r="X206" i="34"/>
  <c r="Y206" i="34"/>
  <c r="N207" i="34"/>
  <c r="C207" i="34"/>
  <c r="B207" i="34"/>
  <c r="O207" i="34"/>
  <c r="P207" i="34"/>
  <c r="Q207" i="34"/>
  <c r="R207" i="34"/>
  <c r="S207" i="34"/>
  <c r="T207" i="34"/>
  <c r="U207" i="34"/>
  <c r="V207" i="34"/>
  <c r="W207" i="34"/>
  <c r="X207" i="34"/>
  <c r="Y207" i="34"/>
  <c r="N208" i="34"/>
  <c r="C208" i="34"/>
  <c r="B208" i="34"/>
  <c r="O208" i="34"/>
  <c r="P208" i="34"/>
  <c r="Q208" i="34"/>
  <c r="R208" i="34"/>
  <c r="S208" i="34"/>
  <c r="T208" i="34"/>
  <c r="U208" i="34"/>
  <c r="V208" i="34"/>
  <c r="W208" i="34"/>
  <c r="X208" i="34"/>
  <c r="Y208" i="34"/>
  <c r="N209" i="34"/>
  <c r="C209" i="34"/>
  <c r="B209" i="34"/>
  <c r="O209" i="34"/>
  <c r="P209" i="34"/>
  <c r="Q209" i="34"/>
  <c r="R209" i="34"/>
  <c r="S209" i="34"/>
  <c r="T209" i="34"/>
  <c r="U209" i="34"/>
  <c r="V209" i="34"/>
  <c r="W209" i="34"/>
  <c r="X209" i="34"/>
  <c r="Y209" i="34"/>
  <c r="N210" i="34"/>
  <c r="C210" i="34"/>
  <c r="B210" i="34"/>
  <c r="O210" i="34"/>
  <c r="P210" i="34"/>
  <c r="Q210" i="34"/>
  <c r="R210" i="34"/>
  <c r="S210" i="34"/>
  <c r="T210" i="34"/>
  <c r="U210" i="34"/>
  <c r="V210" i="34"/>
  <c r="W210" i="34"/>
  <c r="X210" i="34"/>
  <c r="Y210" i="34"/>
  <c r="N211" i="34"/>
  <c r="C211" i="34"/>
  <c r="B211" i="34"/>
  <c r="O211" i="34"/>
  <c r="P211" i="34"/>
  <c r="Q211" i="34"/>
  <c r="R211" i="34"/>
  <c r="S211" i="34"/>
  <c r="T211" i="34"/>
  <c r="U211" i="34"/>
  <c r="V211" i="34"/>
  <c r="W211" i="34"/>
  <c r="X211" i="34"/>
  <c r="Y211" i="34"/>
  <c r="N212" i="34"/>
  <c r="C212" i="34"/>
  <c r="B212" i="34"/>
  <c r="O212" i="34"/>
  <c r="P212" i="34"/>
  <c r="Q212" i="34"/>
  <c r="R212" i="34"/>
  <c r="S212" i="34"/>
  <c r="T212" i="34"/>
  <c r="U212" i="34"/>
  <c r="V212" i="34"/>
  <c r="W212" i="34"/>
  <c r="X212" i="34"/>
  <c r="Y212" i="34"/>
  <c r="N213" i="34"/>
  <c r="C213" i="34"/>
  <c r="B213" i="34"/>
  <c r="O213" i="34"/>
  <c r="P213" i="34"/>
  <c r="Q213" i="34"/>
  <c r="R213" i="34"/>
  <c r="S213" i="34"/>
  <c r="T213" i="34"/>
  <c r="U213" i="34"/>
  <c r="V213" i="34"/>
  <c r="W213" i="34"/>
  <c r="X213" i="34"/>
  <c r="Y213" i="34"/>
  <c r="N214" i="34"/>
  <c r="C214" i="34"/>
  <c r="B214" i="34"/>
  <c r="O214" i="34"/>
  <c r="P214" i="34"/>
  <c r="Q214" i="34"/>
  <c r="R214" i="34"/>
  <c r="S214" i="34"/>
  <c r="T214" i="34"/>
  <c r="U214" i="34"/>
  <c r="V214" i="34"/>
  <c r="W214" i="34"/>
  <c r="X214" i="34"/>
  <c r="Y214" i="34"/>
  <c r="N215" i="34"/>
  <c r="C215" i="34"/>
  <c r="B215" i="34"/>
  <c r="O215" i="34"/>
  <c r="P215" i="34"/>
  <c r="Q215" i="34"/>
  <c r="R215" i="34"/>
  <c r="S215" i="34"/>
  <c r="T215" i="34"/>
  <c r="U215" i="34"/>
  <c r="V215" i="34"/>
  <c r="W215" i="34"/>
  <c r="X215" i="34"/>
  <c r="Y215" i="34"/>
  <c r="N216" i="34"/>
  <c r="C216" i="34"/>
  <c r="B216" i="34"/>
  <c r="O216" i="34"/>
  <c r="P216" i="34"/>
  <c r="Q216" i="34"/>
  <c r="R216" i="34"/>
  <c r="S216" i="34"/>
  <c r="T216" i="34"/>
  <c r="U216" i="34"/>
  <c r="V216" i="34"/>
  <c r="W216" i="34"/>
  <c r="X216" i="34"/>
  <c r="Y216" i="34"/>
  <c r="N217" i="34"/>
  <c r="C217" i="34"/>
  <c r="B217" i="34"/>
  <c r="O217" i="34"/>
  <c r="P217" i="34"/>
  <c r="Q217" i="34"/>
  <c r="R217" i="34"/>
  <c r="S217" i="34"/>
  <c r="T217" i="34"/>
  <c r="U217" i="34"/>
  <c r="V217" i="34"/>
  <c r="W217" i="34"/>
  <c r="X217" i="34"/>
  <c r="Y217" i="34"/>
  <c r="N218" i="34"/>
  <c r="C218" i="34"/>
  <c r="B218" i="34"/>
  <c r="O218" i="34"/>
  <c r="P218" i="34"/>
  <c r="Q218" i="34"/>
  <c r="R218" i="34"/>
  <c r="S218" i="34"/>
  <c r="T218" i="34"/>
  <c r="U218" i="34"/>
  <c r="V218" i="34"/>
  <c r="W218" i="34"/>
  <c r="X218" i="34"/>
  <c r="Y218" i="34"/>
  <c r="N219" i="34"/>
  <c r="C219" i="34"/>
  <c r="B219" i="34"/>
  <c r="O219" i="34"/>
  <c r="P219" i="34"/>
  <c r="Q219" i="34"/>
  <c r="R219" i="34"/>
  <c r="S219" i="34"/>
  <c r="T219" i="34"/>
  <c r="U219" i="34"/>
  <c r="V219" i="34"/>
  <c r="W219" i="34"/>
  <c r="X219" i="34"/>
  <c r="Y219" i="34"/>
  <c r="N220" i="34"/>
  <c r="C220" i="34"/>
  <c r="B220" i="34"/>
  <c r="O220" i="34"/>
  <c r="P220" i="34"/>
  <c r="Q220" i="34"/>
  <c r="R220" i="34"/>
  <c r="S220" i="34"/>
  <c r="T220" i="34"/>
  <c r="U220" i="34"/>
  <c r="V220" i="34"/>
  <c r="W220" i="34"/>
  <c r="X220" i="34"/>
  <c r="Y220" i="34"/>
  <c r="N221" i="34"/>
  <c r="C221" i="34"/>
  <c r="B221" i="34"/>
  <c r="O221" i="34"/>
  <c r="P221" i="34"/>
  <c r="Q221" i="34"/>
  <c r="R221" i="34"/>
  <c r="S221" i="34"/>
  <c r="T221" i="34"/>
  <c r="U221" i="34"/>
  <c r="V221" i="34"/>
  <c r="W221" i="34"/>
  <c r="X221" i="34"/>
  <c r="Y221" i="34"/>
  <c r="N222" i="34"/>
  <c r="C222" i="34"/>
  <c r="B222" i="34"/>
  <c r="O222" i="34"/>
  <c r="P222" i="34"/>
  <c r="Q222" i="34"/>
  <c r="R222" i="34"/>
  <c r="S222" i="34"/>
  <c r="T222" i="34"/>
  <c r="U222" i="34"/>
  <c r="V222" i="34"/>
  <c r="W222" i="34"/>
  <c r="X222" i="34"/>
  <c r="Y222" i="34"/>
  <c r="N223" i="34"/>
  <c r="C223" i="34"/>
  <c r="B223" i="34"/>
  <c r="O223" i="34"/>
  <c r="P223" i="34"/>
  <c r="Q223" i="34"/>
  <c r="R223" i="34"/>
  <c r="S223" i="34"/>
  <c r="T223" i="34"/>
  <c r="U223" i="34"/>
  <c r="V223" i="34"/>
  <c r="W223" i="34"/>
  <c r="X223" i="34"/>
  <c r="Y223" i="34"/>
  <c r="N224" i="34"/>
  <c r="C224" i="34"/>
  <c r="B224" i="34"/>
  <c r="O224" i="34"/>
  <c r="P224" i="34"/>
  <c r="Q224" i="34"/>
  <c r="R224" i="34"/>
  <c r="S224" i="34"/>
  <c r="T224" i="34"/>
  <c r="U224" i="34"/>
  <c r="V224" i="34"/>
  <c r="W224" i="34"/>
  <c r="X224" i="34"/>
  <c r="Y224" i="34"/>
  <c r="N225" i="34"/>
  <c r="C225" i="34"/>
  <c r="B225" i="34"/>
  <c r="O225" i="34"/>
  <c r="P225" i="34"/>
  <c r="Q225" i="34"/>
  <c r="R225" i="34"/>
  <c r="S225" i="34"/>
  <c r="T225" i="34"/>
  <c r="U225" i="34"/>
  <c r="V225" i="34"/>
  <c r="W225" i="34"/>
  <c r="X225" i="34"/>
  <c r="Y225" i="34"/>
  <c r="N226" i="34"/>
  <c r="C226" i="34"/>
  <c r="B226" i="34"/>
  <c r="O226" i="34"/>
  <c r="P226" i="34"/>
  <c r="Q226" i="34"/>
  <c r="R226" i="34"/>
  <c r="S226" i="34"/>
  <c r="T226" i="34"/>
  <c r="U226" i="34"/>
  <c r="V226" i="34"/>
  <c r="W226" i="34"/>
  <c r="X226" i="34"/>
  <c r="Y226" i="34"/>
  <c r="N227" i="34"/>
  <c r="C227" i="34"/>
  <c r="B227" i="34"/>
  <c r="O227" i="34"/>
  <c r="P227" i="34"/>
  <c r="Q227" i="34"/>
  <c r="R227" i="34"/>
  <c r="S227" i="34"/>
  <c r="T227" i="34"/>
  <c r="U227" i="34"/>
  <c r="V227" i="34"/>
  <c r="W227" i="34"/>
  <c r="X227" i="34"/>
  <c r="Y227" i="34"/>
  <c r="N228" i="34"/>
  <c r="C228" i="34"/>
  <c r="B228" i="34"/>
  <c r="O228" i="34"/>
  <c r="P228" i="34"/>
  <c r="Q228" i="34"/>
  <c r="R228" i="34"/>
  <c r="S228" i="34"/>
  <c r="T228" i="34"/>
  <c r="U228" i="34"/>
  <c r="V228" i="34"/>
  <c r="W228" i="34"/>
  <c r="X228" i="34"/>
  <c r="Y228" i="34"/>
  <c r="N229" i="34"/>
  <c r="C229" i="34"/>
  <c r="B229" i="34"/>
  <c r="O229" i="34"/>
  <c r="P229" i="34"/>
  <c r="Q229" i="34"/>
  <c r="R229" i="34"/>
  <c r="S229" i="34"/>
  <c r="T229" i="34"/>
  <c r="U229" i="34"/>
  <c r="V229" i="34"/>
  <c r="W229" i="34"/>
  <c r="X229" i="34"/>
  <c r="Y229" i="34"/>
  <c r="N230" i="34"/>
  <c r="C230" i="34"/>
  <c r="B230" i="34"/>
  <c r="O230" i="34"/>
  <c r="P230" i="34"/>
  <c r="Q230" i="34"/>
  <c r="R230" i="34"/>
  <c r="S230" i="34"/>
  <c r="T230" i="34"/>
  <c r="U230" i="34"/>
  <c r="V230" i="34"/>
  <c r="W230" i="34"/>
  <c r="X230" i="34"/>
  <c r="Y230" i="34"/>
  <c r="N231" i="34"/>
  <c r="C231" i="34"/>
  <c r="B231" i="34"/>
  <c r="O231" i="34"/>
  <c r="P231" i="34"/>
  <c r="Q231" i="34"/>
  <c r="R231" i="34"/>
  <c r="S231" i="34"/>
  <c r="T231" i="34"/>
  <c r="U231" i="34"/>
  <c r="V231" i="34"/>
  <c r="W231" i="34"/>
  <c r="X231" i="34"/>
  <c r="Y231" i="34"/>
  <c r="N232" i="34"/>
  <c r="C232" i="34"/>
  <c r="B232" i="34"/>
  <c r="O232" i="34"/>
  <c r="P232" i="34"/>
  <c r="Q232" i="34"/>
  <c r="R232" i="34"/>
  <c r="S232" i="34"/>
  <c r="T232" i="34"/>
  <c r="U232" i="34"/>
  <c r="V232" i="34"/>
  <c r="W232" i="34"/>
  <c r="X232" i="34"/>
  <c r="Y232" i="34"/>
  <c r="N233" i="34"/>
  <c r="C233" i="34"/>
  <c r="B233" i="34"/>
  <c r="O233" i="34"/>
  <c r="P233" i="34"/>
  <c r="Q233" i="34"/>
  <c r="R233" i="34"/>
  <c r="S233" i="34"/>
  <c r="T233" i="34"/>
  <c r="U233" i="34"/>
  <c r="V233" i="34"/>
  <c r="W233" i="34"/>
  <c r="X233" i="34"/>
  <c r="Y233" i="34"/>
  <c r="N234" i="34"/>
  <c r="C234" i="34"/>
  <c r="B234" i="34"/>
  <c r="O234" i="34"/>
  <c r="P234" i="34"/>
  <c r="Q234" i="34"/>
  <c r="R234" i="34"/>
  <c r="S234" i="34"/>
  <c r="T234" i="34"/>
  <c r="U234" i="34"/>
  <c r="V234" i="34"/>
  <c r="W234" i="34"/>
  <c r="X234" i="34"/>
  <c r="Y234" i="34"/>
  <c r="N235" i="34"/>
  <c r="C235" i="34"/>
  <c r="B235" i="34"/>
  <c r="O235" i="34"/>
  <c r="P235" i="34"/>
  <c r="Q235" i="34"/>
  <c r="R235" i="34"/>
  <c r="S235" i="34"/>
  <c r="T235" i="34"/>
  <c r="U235" i="34"/>
  <c r="V235" i="34"/>
  <c r="W235" i="34"/>
  <c r="X235" i="34"/>
  <c r="Y235" i="34"/>
  <c r="N236" i="34"/>
  <c r="B236" i="34"/>
  <c r="O236" i="34"/>
  <c r="P236" i="34"/>
  <c r="Q236" i="34"/>
  <c r="R236" i="34"/>
  <c r="S236" i="34"/>
  <c r="T236" i="34"/>
  <c r="U236" i="34"/>
  <c r="V236" i="34"/>
  <c r="W236" i="34"/>
  <c r="X236" i="34"/>
  <c r="Y236" i="34"/>
  <c r="N237" i="34"/>
  <c r="B237" i="34"/>
  <c r="O237" i="34"/>
  <c r="P237" i="34"/>
  <c r="Q237" i="34"/>
  <c r="R237" i="34"/>
  <c r="S237" i="34"/>
  <c r="T237" i="34"/>
  <c r="U237" i="34"/>
  <c r="V237" i="34"/>
  <c r="W237" i="34"/>
  <c r="X237" i="34"/>
  <c r="Y237" i="34"/>
  <c r="N238" i="34"/>
  <c r="B238" i="34"/>
  <c r="O238" i="34"/>
  <c r="P238" i="34"/>
  <c r="Q238" i="34"/>
  <c r="R238" i="34"/>
  <c r="S238" i="34"/>
  <c r="T238" i="34"/>
  <c r="U238" i="34"/>
  <c r="V238" i="34"/>
  <c r="W238" i="34"/>
  <c r="X238" i="34"/>
  <c r="Y238" i="34"/>
  <c r="N239" i="34"/>
  <c r="B239" i="34"/>
  <c r="O239" i="34"/>
  <c r="P239" i="34"/>
  <c r="Q239" i="34"/>
  <c r="R239" i="34"/>
  <c r="S239" i="34"/>
  <c r="T239" i="34"/>
  <c r="U239" i="34"/>
  <c r="V239" i="34"/>
  <c r="W239" i="34"/>
  <c r="X239" i="34"/>
  <c r="Y239" i="34"/>
  <c r="N240" i="34"/>
  <c r="B240" i="34"/>
  <c r="O240" i="34"/>
  <c r="P240" i="34"/>
  <c r="Q240" i="34"/>
  <c r="R240" i="34"/>
  <c r="S240" i="34"/>
  <c r="T240" i="34"/>
  <c r="U240" i="34"/>
  <c r="V240" i="34"/>
  <c r="W240" i="34"/>
  <c r="X240" i="34"/>
  <c r="Y240" i="34"/>
  <c r="N241" i="34"/>
  <c r="B241" i="34"/>
  <c r="O241" i="34"/>
  <c r="P241" i="34"/>
  <c r="Q241" i="34"/>
  <c r="R241" i="34"/>
  <c r="S241" i="34"/>
  <c r="T241" i="34"/>
  <c r="U241" i="34"/>
  <c r="V241" i="34"/>
  <c r="W241" i="34"/>
  <c r="X241" i="34"/>
  <c r="Y241" i="34"/>
  <c r="N242" i="34"/>
  <c r="B242" i="34"/>
  <c r="O242" i="34"/>
  <c r="P242" i="34"/>
  <c r="Q242" i="34"/>
  <c r="R242" i="34"/>
  <c r="S242" i="34"/>
  <c r="T242" i="34"/>
  <c r="U242" i="34"/>
  <c r="V242" i="34"/>
  <c r="W242" i="34"/>
  <c r="X242" i="34"/>
  <c r="Y242" i="34"/>
  <c r="N243" i="34"/>
  <c r="B243" i="34"/>
  <c r="O243" i="34"/>
  <c r="P243" i="34"/>
  <c r="Q243" i="34"/>
  <c r="R243" i="34"/>
  <c r="S243" i="34"/>
  <c r="T243" i="34"/>
  <c r="U243" i="34"/>
  <c r="V243" i="34"/>
  <c r="W243" i="34"/>
  <c r="X243" i="34"/>
  <c r="Y243" i="34"/>
  <c r="N244" i="34"/>
  <c r="B244" i="34"/>
  <c r="O244" i="34"/>
  <c r="P244" i="34"/>
  <c r="Q244" i="34"/>
  <c r="R244" i="34"/>
  <c r="S244" i="34"/>
  <c r="T244" i="34"/>
  <c r="U244" i="34"/>
  <c r="V244" i="34"/>
  <c r="W244" i="34"/>
  <c r="X244" i="34"/>
  <c r="Y244" i="34"/>
  <c r="N245" i="34"/>
  <c r="B245" i="34"/>
  <c r="O245" i="34"/>
  <c r="P245" i="34"/>
  <c r="Q245" i="34"/>
  <c r="R245" i="34"/>
  <c r="S245" i="34"/>
  <c r="T245" i="34"/>
  <c r="U245" i="34"/>
  <c r="V245" i="34"/>
  <c r="W245" i="34"/>
  <c r="X245" i="34"/>
  <c r="Y245" i="34"/>
  <c r="N246" i="34"/>
  <c r="B246" i="34"/>
  <c r="O246" i="34"/>
  <c r="P246" i="34"/>
  <c r="Q246" i="34"/>
  <c r="R246" i="34"/>
  <c r="S246" i="34"/>
  <c r="T246" i="34"/>
  <c r="U246" i="34"/>
  <c r="V246" i="34"/>
  <c r="W246" i="34"/>
  <c r="X246" i="34"/>
  <c r="Y246" i="34"/>
  <c r="N247" i="34"/>
  <c r="B247" i="34"/>
  <c r="O247" i="34"/>
  <c r="P247" i="34"/>
  <c r="Q247" i="34"/>
  <c r="R247" i="34"/>
  <c r="S247" i="34"/>
  <c r="T247" i="34"/>
  <c r="U247" i="34"/>
  <c r="V247" i="34"/>
  <c r="W247" i="34"/>
  <c r="X247" i="34"/>
  <c r="Y247" i="34"/>
  <c r="N248" i="34"/>
  <c r="B248" i="34"/>
  <c r="O248" i="34"/>
  <c r="P248" i="34"/>
  <c r="Q248" i="34"/>
  <c r="R248" i="34"/>
  <c r="S248" i="34"/>
  <c r="T248" i="34"/>
  <c r="U248" i="34"/>
  <c r="V248" i="34"/>
  <c r="W248" i="34"/>
  <c r="X248" i="34"/>
  <c r="Y248" i="34"/>
  <c r="N249" i="34"/>
  <c r="B249" i="34"/>
  <c r="O249" i="34"/>
  <c r="P249" i="34"/>
  <c r="Q249" i="34"/>
  <c r="R249" i="34"/>
  <c r="S249" i="34"/>
  <c r="T249" i="34"/>
  <c r="U249" i="34"/>
  <c r="V249" i="34"/>
  <c r="W249" i="34"/>
  <c r="X249" i="34"/>
  <c r="Y249" i="34"/>
  <c r="N250" i="34"/>
  <c r="B250" i="34"/>
  <c r="O250" i="34"/>
  <c r="P250" i="34"/>
  <c r="Q250" i="34"/>
  <c r="R250" i="34"/>
  <c r="S250" i="34"/>
  <c r="T250" i="34"/>
  <c r="U250" i="34"/>
  <c r="V250" i="34"/>
  <c r="W250" i="34"/>
  <c r="X250" i="34"/>
  <c r="Y250" i="34"/>
  <c r="N251" i="34"/>
  <c r="B251" i="34"/>
  <c r="O251" i="34"/>
  <c r="P251" i="34"/>
  <c r="Q251" i="34"/>
  <c r="R251" i="34"/>
  <c r="S251" i="34"/>
  <c r="T251" i="34"/>
  <c r="U251" i="34"/>
  <c r="V251" i="34"/>
  <c r="W251" i="34"/>
  <c r="X251" i="34"/>
  <c r="Y251" i="34"/>
  <c r="N252" i="34"/>
  <c r="B252" i="34"/>
  <c r="O252" i="34"/>
  <c r="P252" i="34"/>
  <c r="Q252" i="34"/>
  <c r="R252" i="34"/>
  <c r="S252" i="34"/>
  <c r="T252" i="34"/>
  <c r="U252" i="34"/>
  <c r="V252" i="34"/>
  <c r="W252" i="34"/>
  <c r="X252" i="34"/>
  <c r="Y252" i="34"/>
  <c r="N253" i="34"/>
  <c r="B253" i="34"/>
  <c r="O253" i="34"/>
  <c r="P253" i="34"/>
  <c r="Q253" i="34"/>
  <c r="R253" i="34"/>
  <c r="S253" i="34"/>
  <c r="T253" i="34"/>
  <c r="U253" i="34"/>
  <c r="V253" i="34"/>
  <c r="W253" i="34"/>
  <c r="X253" i="34"/>
  <c r="Y253" i="34"/>
  <c r="N254" i="34"/>
  <c r="B254" i="34"/>
  <c r="O254" i="34"/>
  <c r="P254" i="34"/>
  <c r="Q254" i="34"/>
  <c r="R254" i="34"/>
  <c r="S254" i="34"/>
  <c r="T254" i="34"/>
  <c r="U254" i="34"/>
  <c r="V254" i="34"/>
  <c r="W254" i="34"/>
  <c r="X254" i="34"/>
  <c r="Y254" i="34"/>
  <c r="N255" i="34"/>
  <c r="B255" i="34"/>
  <c r="O255" i="34"/>
  <c r="P255" i="34"/>
  <c r="Q255" i="34"/>
  <c r="R255" i="34"/>
  <c r="S255" i="34"/>
  <c r="T255" i="34"/>
  <c r="U255" i="34"/>
  <c r="V255" i="34"/>
  <c r="W255" i="34"/>
  <c r="X255" i="34"/>
  <c r="Y255" i="34"/>
  <c r="N256" i="34"/>
  <c r="B256" i="34"/>
  <c r="O256" i="34"/>
  <c r="P256" i="34"/>
  <c r="Q256" i="34"/>
  <c r="R256" i="34"/>
  <c r="S256" i="34"/>
  <c r="T256" i="34"/>
  <c r="U256" i="34"/>
  <c r="V256" i="34"/>
  <c r="W256" i="34"/>
  <c r="X256" i="34"/>
  <c r="Y256" i="34"/>
  <c r="N257" i="34"/>
  <c r="B257" i="34"/>
  <c r="O257" i="34"/>
  <c r="P257" i="34"/>
  <c r="Q257" i="34"/>
  <c r="R257" i="34"/>
  <c r="S257" i="34"/>
  <c r="T257" i="34"/>
  <c r="U257" i="34"/>
  <c r="V257" i="34"/>
  <c r="W257" i="34"/>
  <c r="X257" i="34"/>
  <c r="Y257" i="34"/>
  <c r="N258" i="34"/>
  <c r="B258" i="34"/>
  <c r="O258" i="34"/>
  <c r="P258" i="34"/>
  <c r="Q258" i="34"/>
  <c r="R258" i="34"/>
  <c r="S258" i="34"/>
  <c r="T258" i="34"/>
  <c r="U258" i="34"/>
  <c r="V258" i="34"/>
  <c r="W258" i="34"/>
  <c r="X258" i="34"/>
  <c r="Y258" i="34"/>
  <c r="N259" i="34"/>
  <c r="B259" i="34"/>
  <c r="O259" i="34"/>
  <c r="P259" i="34"/>
  <c r="Q259" i="34"/>
  <c r="R259" i="34"/>
  <c r="S259" i="34"/>
  <c r="T259" i="34"/>
  <c r="U259" i="34"/>
  <c r="V259" i="34"/>
  <c r="W259" i="34"/>
  <c r="X259" i="34"/>
  <c r="Y259" i="34"/>
  <c r="N260" i="34"/>
  <c r="B260" i="34"/>
  <c r="O260" i="34"/>
  <c r="P260" i="34"/>
  <c r="Q260" i="34"/>
  <c r="R260" i="34"/>
  <c r="S260" i="34"/>
  <c r="T260" i="34"/>
  <c r="U260" i="34"/>
  <c r="V260" i="34"/>
  <c r="W260" i="34"/>
  <c r="X260" i="34"/>
  <c r="Y260" i="34"/>
  <c r="N261" i="34"/>
  <c r="B261" i="34"/>
  <c r="O261" i="34"/>
  <c r="P261" i="34"/>
  <c r="Q261" i="34"/>
  <c r="R261" i="34"/>
  <c r="S261" i="34"/>
  <c r="T261" i="34"/>
  <c r="U261" i="34"/>
  <c r="V261" i="34"/>
  <c r="W261" i="34"/>
  <c r="X261" i="34"/>
  <c r="Y261" i="34"/>
  <c r="N262" i="34"/>
  <c r="B262" i="34"/>
  <c r="O262" i="34"/>
  <c r="P262" i="34"/>
  <c r="Q262" i="34"/>
  <c r="R262" i="34"/>
  <c r="S262" i="34"/>
  <c r="T262" i="34"/>
  <c r="U262" i="34"/>
  <c r="V262" i="34"/>
  <c r="W262" i="34"/>
  <c r="X262" i="34"/>
  <c r="Y262" i="34"/>
  <c r="N263" i="34"/>
  <c r="B263" i="34"/>
  <c r="O263" i="34"/>
  <c r="P263" i="34"/>
  <c r="Q263" i="34"/>
  <c r="R263" i="34"/>
  <c r="S263" i="34"/>
  <c r="T263" i="34"/>
  <c r="U263" i="34"/>
  <c r="V263" i="34"/>
  <c r="W263" i="34"/>
  <c r="X263" i="34"/>
  <c r="Y263" i="34"/>
  <c r="N264" i="34"/>
  <c r="B264" i="34"/>
  <c r="O264" i="34"/>
  <c r="P264" i="34"/>
  <c r="Q264" i="34"/>
  <c r="R264" i="34"/>
  <c r="S264" i="34"/>
  <c r="T264" i="34"/>
  <c r="U264" i="34"/>
  <c r="V264" i="34"/>
  <c r="W264" i="34"/>
  <c r="X264" i="34"/>
  <c r="Y264" i="34"/>
  <c r="N265" i="34"/>
  <c r="B265" i="34"/>
  <c r="O265" i="34"/>
  <c r="P265" i="34"/>
  <c r="Q265" i="34"/>
  <c r="R265" i="34"/>
  <c r="S265" i="34"/>
  <c r="T265" i="34"/>
  <c r="U265" i="34"/>
  <c r="V265" i="34"/>
  <c r="W265" i="34"/>
  <c r="X265" i="34"/>
  <c r="Y265" i="34"/>
  <c r="N266" i="34"/>
  <c r="B266" i="34"/>
  <c r="O266" i="34"/>
  <c r="P266" i="34"/>
  <c r="Q266" i="34"/>
  <c r="R266" i="34"/>
  <c r="S266" i="34"/>
  <c r="T266" i="34"/>
  <c r="U266" i="34"/>
  <c r="V266" i="34"/>
  <c r="W266" i="34"/>
  <c r="X266" i="34"/>
  <c r="Y266" i="34"/>
  <c r="N267" i="34"/>
  <c r="B267" i="34"/>
  <c r="O267" i="34"/>
  <c r="P267" i="34"/>
  <c r="Q267" i="34"/>
  <c r="R267" i="34"/>
  <c r="S267" i="34"/>
  <c r="T267" i="34"/>
  <c r="U267" i="34"/>
  <c r="V267" i="34"/>
  <c r="W267" i="34"/>
  <c r="X267" i="34"/>
  <c r="Y267" i="34"/>
  <c r="N268" i="34"/>
  <c r="B268" i="34"/>
  <c r="O268" i="34"/>
  <c r="P268" i="34"/>
  <c r="Q268" i="34"/>
  <c r="R268" i="34"/>
  <c r="S268" i="34"/>
  <c r="T268" i="34"/>
  <c r="U268" i="34"/>
  <c r="V268" i="34"/>
  <c r="W268" i="34"/>
  <c r="X268" i="34"/>
  <c r="Y268" i="34"/>
  <c r="N269" i="34"/>
  <c r="B269" i="34"/>
  <c r="O269" i="34"/>
  <c r="P269" i="34"/>
  <c r="Q269" i="34"/>
  <c r="R269" i="34"/>
  <c r="S269" i="34"/>
  <c r="T269" i="34"/>
  <c r="U269" i="34"/>
  <c r="V269" i="34"/>
  <c r="W269" i="34"/>
  <c r="X269" i="34"/>
  <c r="Y269" i="34"/>
  <c r="N270" i="34"/>
  <c r="B270" i="34"/>
  <c r="O270" i="34"/>
  <c r="P270" i="34"/>
  <c r="Q270" i="34"/>
  <c r="R270" i="34"/>
  <c r="S270" i="34"/>
  <c r="T270" i="34"/>
  <c r="U270" i="34"/>
  <c r="V270" i="34"/>
  <c r="W270" i="34"/>
  <c r="X270" i="34"/>
  <c r="Y270" i="34"/>
  <c r="N271" i="34"/>
  <c r="B271" i="34"/>
  <c r="O271" i="34"/>
  <c r="P271" i="34"/>
  <c r="Q271" i="34"/>
  <c r="R271" i="34"/>
  <c r="S271" i="34"/>
  <c r="T271" i="34"/>
  <c r="U271" i="34"/>
  <c r="V271" i="34"/>
  <c r="W271" i="34"/>
  <c r="X271" i="34"/>
  <c r="Y271" i="34"/>
  <c r="N272" i="34"/>
  <c r="B272" i="34"/>
  <c r="O272" i="34"/>
  <c r="P272" i="34"/>
  <c r="Q272" i="34"/>
  <c r="R272" i="34"/>
  <c r="S272" i="34"/>
  <c r="T272" i="34"/>
  <c r="U272" i="34"/>
  <c r="V272" i="34"/>
  <c r="W272" i="34"/>
  <c r="X272" i="34"/>
  <c r="Y272" i="34"/>
  <c r="N273" i="34"/>
  <c r="B273" i="34"/>
  <c r="O273" i="34"/>
  <c r="P273" i="34"/>
  <c r="Q273" i="34"/>
  <c r="R273" i="34"/>
  <c r="S273" i="34"/>
  <c r="T273" i="34"/>
  <c r="U273" i="34"/>
  <c r="V273" i="34"/>
  <c r="W273" i="34"/>
  <c r="X273" i="34"/>
  <c r="Y273" i="34"/>
  <c r="N274" i="34"/>
  <c r="B274" i="34"/>
  <c r="O274" i="34"/>
  <c r="P274" i="34"/>
  <c r="Q274" i="34"/>
  <c r="R274" i="34"/>
  <c r="S274" i="34"/>
  <c r="T274" i="34"/>
  <c r="U274" i="34"/>
  <c r="V274" i="34"/>
  <c r="W274" i="34"/>
  <c r="X274" i="34"/>
  <c r="Y274" i="34"/>
  <c r="N275" i="34"/>
  <c r="B275" i="34"/>
  <c r="O275" i="34"/>
  <c r="P275" i="34"/>
  <c r="Q275" i="34"/>
  <c r="R275" i="34"/>
  <c r="S275" i="34"/>
  <c r="T275" i="34"/>
  <c r="U275" i="34"/>
  <c r="V275" i="34"/>
  <c r="W275" i="34"/>
  <c r="X275" i="34"/>
  <c r="Y275" i="34"/>
  <c r="N276" i="34"/>
  <c r="B276" i="34"/>
  <c r="O276" i="34"/>
  <c r="P276" i="34"/>
  <c r="Q276" i="34"/>
  <c r="R276" i="34"/>
  <c r="S276" i="34"/>
  <c r="T276" i="34"/>
  <c r="U276" i="34"/>
  <c r="V276" i="34"/>
  <c r="W276" i="34"/>
  <c r="X276" i="34"/>
  <c r="Y276" i="34"/>
  <c r="N277" i="34"/>
  <c r="B277" i="34"/>
  <c r="O277" i="34"/>
  <c r="P277" i="34"/>
  <c r="Q277" i="34"/>
  <c r="R277" i="34"/>
  <c r="S277" i="34"/>
  <c r="T277" i="34"/>
  <c r="U277" i="34"/>
  <c r="V277" i="34"/>
  <c r="W277" i="34"/>
  <c r="X277" i="34"/>
  <c r="Y277" i="34"/>
  <c r="N278" i="34"/>
  <c r="B278" i="34"/>
  <c r="O278" i="34"/>
  <c r="P278" i="34"/>
  <c r="Q278" i="34"/>
  <c r="R278" i="34"/>
  <c r="S278" i="34"/>
  <c r="T278" i="34"/>
  <c r="U278" i="34"/>
  <c r="V278" i="34"/>
  <c r="W278" i="34"/>
  <c r="X278" i="34"/>
  <c r="Y278" i="34"/>
  <c r="N279" i="34"/>
  <c r="B279" i="34"/>
  <c r="O279" i="34"/>
  <c r="P279" i="34"/>
  <c r="Q279" i="34"/>
  <c r="R279" i="34"/>
  <c r="S279" i="34"/>
  <c r="T279" i="34"/>
  <c r="U279" i="34"/>
  <c r="V279" i="34"/>
  <c r="W279" i="34"/>
  <c r="X279" i="34"/>
  <c r="Y279" i="34"/>
  <c r="N280" i="34"/>
  <c r="B280" i="34"/>
  <c r="O280" i="34"/>
  <c r="P280" i="34"/>
  <c r="Q280" i="34"/>
  <c r="R280" i="34"/>
  <c r="S280" i="34"/>
  <c r="T280" i="34"/>
  <c r="U280" i="34"/>
  <c r="V280" i="34"/>
  <c r="W280" i="34"/>
  <c r="X280" i="34"/>
  <c r="Y280" i="34"/>
  <c r="N281" i="34"/>
  <c r="B281" i="34"/>
  <c r="O281" i="34"/>
  <c r="P281" i="34"/>
  <c r="Q281" i="34"/>
  <c r="R281" i="34"/>
  <c r="S281" i="34"/>
  <c r="T281" i="34"/>
  <c r="U281" i="34"/>
  <c r="V281" i="34"/>
  <c r="W281" i="34"/>
  <c r="X281" i="34"/>
  <c r="Y281" i="34"/>
  <c r="N282" i="34"/>
  <c r="B282" i="34"/>
  <c r="O282" i="34"/>
  <c r="P282" i="34"/>
  <c r="Q282" i="34"/>
  <c r="R282" i="34"/>
  <c r="S282" i="34"/>
  <c r="T282" i="34"/>
  <c r="U282" i="34"/>
  <c r="V282" i="34"/>
  <c r="W282" i="34"/>
  <c r="X282" i="34"/>
  <c r="Y282" i="34"/>
  <c r="N283" i="34"/>
  <c r="B283" i="34"/>
  <c r="O283" i="34"/>
  <c r="P283" i="34"/>
  <c r="Q283" i="34"/>
  <c r="R283" i="34"/>
  <c r="S283" i="34"/>
  <c r="T283" i="34"/>
  <c r="U283" i="34"/>
  <c r="V283" i="34"/>
  <c r="W283" i="34"/>
  <c r="X283" i="34"/>
  <c r="Y283" i="34"/>
  <c r="N284" i="34"/>
  <c r="B284" i="34"/>
  <c r="O284" i="34"/>
  <c r="P284" i="34"/>
  <c r="Q284" i="34"/>
  <c r="R284" i="34"/>
  <c r="S284" i="34"/>
  <c r="T284" i="34"/>
  <c r="U284" i="34"/>
  <c r="V284" i="34"/>
  <c r="W284" i="34"/>
  <c r="X284" i="34"/>
  <c r="Y284" i="34"/>
  <c r="N285" i="34"/>
  <c r="B285" i="34"/>
  <c r="O285" i="34"/>
  <c r="P285" i="34"/>
  <c r="Q285" i="34"/>
  <c r="R285" i="34"/>
  <c r="S285" i="34"/>
  <c r="T285" i="34"/>
  <c r="U285" i="34"/>
  <c r="V285" i="34"/>
  <c r="W285" i="34"/>
  <c r="X285" i="34"/>
  <c r="Y285" i="34"/>
  <c r="N286" i="34"/>
  <c r="B286" i="34"/>
  <c r="O286" i="34"/>
  <c r="P286" i="34"/>
  <c r="Q286" i="34"/>
  <c r="R286" i="34"/>
  <c r="S286" i="34"/>
  <c r="T286" i="34"/>
  <c r="U286" i="34"/>
  <c r="V286" i="34"/>
  <c r="W286" i="34"/>
  <c r="X286" i="34"/>
  <c r="Y286" i="34"/>
  <c r="N287" i="34"/>
  <c r="B287" i="34"/>
  <c r="O287" i="34"/>
  <c r="P287" i="34"/>
  <c r="Q287" i="34"/>
  <c r="R287" i="34"/>
  <c r="S287" i="34"/>
  <c r="T287" i="34"/>
  <c r="U287" i="34"/>
  <c r="V287" i="34"/>
  <c r="W287" i="34"/>
  <c r="X287" i="34"/>
  <c r="Y287" i="34"/>
  <c r="N288" i="34"/>
  <c r="B288" i="34"/>
  <c r="O288" i="34"/>
  <c r="P288" i="34"/>
  <c r="Q288" i="34"/>
  <c r="R288" i="34"/>
  <c r="S288" i="34"/>
  <c r="T288" i="34"/>
  <c r="U288" i="34"/>
  <c r="V288" i="34"/>
  <c r="W288" i="34"/>
  <c r="X288" i="34"/>
  <c r="Y288" i="34"/>
  <c r="N289" i="34"/>
  <c r="B289" i="34"/>
  <c r="O289" i="34"/>
  <c r="P289" i="34"/>
  <c r="Q289" i="34"/>
  <c r="R289" i="34"/>
  <c r="S289" i="34"/>
  <c r="T289" i="34"/>
  <c r="U289" i="34"/>
  <c r="V289" i="34"/>
  <c r="W289" i="34"/>
  <c r="X289" i="34"/>
  <c r="Y289" i="34"/>
  <c r="N290" i="34"/>
  <c r="B290" i="34"/>
  <c r="O290" i="34"/>
  <c r="P290" i="34"/>
  <c r="Q290" i="34"/>
  <c r="R290" i="34"/>
  <c r="S290" i="34"/>
  <c r="T290" i="34"/>
  <c r="U290" i="34"/>
  <c r="V290" i="34"/>
  <c r="W290" i="34"/>
  <c r="X290" i="34"/>
  <c r="Y290" i="34"/>
  <c r="N291" i="34"/>
  <c r="B291" i="34"/>
  <c r="O291" i="34"/>
  <c r="P291" i="34"/>
  <c r="Q291" i="34"/>
  <c r="R291" i="34"/>
  <c r="S291" i="34"/>
  <c r="T291" i="34"/>
  <c r="U291" i="34"/>
  <c r="V291" i="34"/>
  <c r="W291" i="34"/>
  <c r="X291" i="34"/>
  <c r="Y291" i="34"/>
  <c r="N292" i="34"/>
  <c r="B292" i="34"/>
  <c r="O292" i="34"/>
  <c r="P292" i="34"/>
  <c r="Q292" i="34"/>
  <c r="R292" i="34"/>
  <c r="S292" i="34"/>
  <c r="T292" i="34"/>
  <c r="U292" i="34"/>
  <c r="V292" i="34"/>
  <c r="W292" i="34"/>
  <c r="X292" i="34"/>
  <c r="Y292" i="34"/>
  <c r="N293" i="34"/>
  <c r="B293" i="34"/>
  <c r="O293" i="34"/>
  <c r="P293" i="34"/>
  <c r="Q293" i="34"/>
  <c r="R293" i="34"/>
  <c r="S293" i="34"/>
  <c r="T293" i="34"/>
  <c r="U293" i="34"/>
  <c r="V293" i="34"/>
  <c r="W293" i="34"/>
  <c r="X293" i="34"/>
  <c r="Y293" i="34"/>
  <c r="N294" i="34"/>
  <c r="B294" i="34"/>
  <c r="O294" i="34"/>
  <c r="P294" i="34"/>
  <c r="Q294" i="34"/>
  <c r="R294" i="34"/>
  <c r="S294" i="34"/>
  <c r="T294" i="34"/>
  <c r="U294" i="34"/>
  <c r="V294" i="34"/>
  <c r="W294" i="34"/>
  <c r="X294" i="34"/>
  <c r="Y294" i="34"/>
  <c r="N295" i="34"/>
  <c r="B295" i="34"/>
  <c r="O295" i="34"/>
  <c r="P295" i="34"/>
  <c r="Q295" i="34"/>
  <c r="R295" i="34"/>
  <c r="S295" i="34"/>
  <c r="T295" i="34"/>
  <c r="U295" i="34"/>
  <c r="V295" i="34"/>
  <c r="W295" i="34"/>
  <c r="X295" i="34"/>
  <c r="Y295" i="34"/>
  <c r="N296" i="34"/>
  <c r="B296" i="34"/>
  <c r="O296" i="34"/>
  <c r="P296" i="34"/>
  <c r="Q296" i="34"/>
  <c r="R296" i="34"/>
  <c r="S296" i="34"/>
  <c r="T296" i="34"/>
  <c r="U296" i="34"/>
  <c r="V296" i="34"/>
  <c r="W296" i="34"/>
  <c r="X296" i="34"/>
  <c r="Y296" i="34"/>
  <c r="N297" i="34"/>
  <c r="B297" i="34"/>
  <c r="O297" i="34"/>
  <c r="P297" i="34"/>
  <c r="Q297" i="34"/>
  <c r="R297" i="34"/>
  <c r="S297" i="34"/>
  <c r="T297" i="34"/>
  <c r="U297" i="34"/>
  <c r="V297" i="34"/>
  <c r="W297" i="34"/>
  <c r="X297" i="34"/>
  <c r="Y297" i="34"/>
  <c r="N298" i="34"/>
  <c r="B298" i="34"/>
  <c r="O298" i="34"/>
  <c r="P298" i="34"/>
  <c r="Q298" i="34"/>
  <c r="R298" i="34"/>
  <c r="S298" i="34"/>
  <c r="T298" i="34"/>
  <c r="U298" i="34"/>
  <c r="V298" i="34"/>
  <c r="W298" i="34"/>
  <c r="X298" i="34"/>
  <c r="Y298" i="34"/>
  <c r="N299" i="34"/>
  <c r="B299" i="34"/>
  <c r="O299" i="34"/>
  <c r="P299" i="34"/>
  <c r="Q299" i="34"/>
  <c r="R299" i="34"/>
  <c r="S299" i="34"/>
  <c r="T299" i="34"/>
  <c r="U299" i="34"/>
  <c r="V299" i="34"/>
  <c r="W299" i="34"/>
  <c r="X299" i="34"/>
  <c r="Y299" i="34"/>
  <c r="N300" i="34"/>
  <c r="B300" i="34"/>
  <c r="O300" i="34"/>
  <c r="P300" i="34"/>
  <c r="Q300" i="34"/>
  <c r="R300" i="34"/>
  <c r="S300" i="34"/>
  <c r="T300" i="34"/>
  <c r="U300" i="34"/>
  <c r="V300" i="34"/>
  <c r="W300" i="34"/>
  <c r="X300" i="34"/>
  <c r="Y300" i="34"/>
  <c r="N301" i="34"/>
  <c r="B301" i="34"/>
  <c r="O301" i="34"/>
  <c r="P301" i="34"/>
  <c r="Q301" i="34"/>
  <c r="R301" i="34"/>
  <c r="S301" i="34"/>
  <c r="T301" i="34"/>
  <c r="U301" i="34"/>
  <c r="V301" i="34"/>
  <c r="W301" i="34"/>
  <c r="X301" i="34"/>
  <c r="Y301" i="34"/>
  <c r="N302" i="34"/>
  <c r="B302" i="34"/>
  <c r="O302" i="34"/>
  <c r="P302" i="34"/>
  <c r="Q302" i="34"/>
  <c r="R302" i="34"/>
  <c r="S302" i="34"/>
  <c r="T302" i="34"/>
  <c r="U302" i="34"/>
  <c r="V302" i="34"/>
  <c r="W302" i="34"/>
  <c r="X302" i="34"/>
  <c r="Y302" i="34"/>
  <c r="N303" i="34"/>
  <c r="B303" i="34"/>
  <c r="O303" i="34"/>
  <c r="P303" i="34"/>
  <c r="Q303" i="34"/>
  <c r="R303" i="34"/>
  <c r="S303" i="34"/>
  <c r="T303" i="34"/>
  <c r="U303" i="34"/>
  <c r="V303" i="34"/>
  <c r="W303" i="34"/>
  <c r="X303" i="34"/>
  <c r="Y303" i="34"/>
  <c r="N304" i="34"/>
  <c r="B304" i="34"/>
  <c r="O304" i="34"/>
  <c r="P304" i="34"/>
  <c r="Q304" i="34"/>
  <c r="R304" i="34"/>
  <c r="S304" i="34"/>
  <c r="T304" i="34"/>
  <c r="U304" i="34"/>
  <c r="V304" i="34"/>
  <c r="W304" i="34"/>
  <c r="X304" i="34"/>
  <c r="Y304" i="34"/>
  <c r="N305" i="34"/>
  <c r="B305" i="34"/>
  <c r="O305" i="34"/>
  <c r="P305" i="34"/>
  <c r="Q305" i="34"/>
  <c r="R305" i="34"/>
  <c r="S305" i="34"/>
  <c r="T305" i="34"/>
  <c r="U305" i="34"/>
  <c r="V305" i="34"/>
  <c r="W305" i="34"/>
  <c r="X305" i="34"/>
  <c r="Y305" i="34"/>
  <c r="N306" i="34"/>
  <c r="B306" i="34"/>
  <c r="O306" i="34"/>
  <c r="P306" i="34"/>
  <c r="Q306" i="34"/>
  <c r="R306" i="34"/>
  <c r="S306" i="34"/>
  <c r="T306" i="34"/>
  <c r="U306" i="34"/>
  <c r="V306" i="34"/>
  <c r="W306" i="34"/>
  <c r="X306" i="34"/>
  <c r="Y306" i="34"/>
  <c r="N307" i="34"/>
  <c r="B307" i="34"/>
  <c r="O307" i="34"/>
  <c r="P307" i="34"/>
  <c r="Q307" i="34"/>
  <c r="R307" i="34"/>
  <c r="S307" i="34"/>
  <c r="T307" i="34"/>
  <c r="U307" i="34"/>
  <c r="V307" i="34"/>
  <c r="W307" i="34"/>
  <c r="X307" i="34"/>
  <c r="Y307" i="34"/>
  <c r="N308" i="34"/>
  <c r="B308" i="34"/>
  <c r="O308" i="34"/>
  <c r="P308" i="34"/>
  <c r="Q308" i="34"/>
  <c r="R308" i="34"/>
  <c r="S308" i="34"/>
  <c r="T308" i="34"/>
  <c r="U308" i="34"/>
  <c r="V308" i="34"/>
  <c r="W308" i="34"/>
  <c r="X308" i="34"/>
  <c r="Y308" i="34"/>
  <c r="N309" i="34"/>
  <c r="B309" i="34"/>
  <c r="O309" i="34"/>
  <c r="P309" i="34"/>
  <c r="Q309" i="34"/>
  <c r="R309" i="34"/>
  <c r="S309" i="34"/>
  <c r="T309" i="34"/>
  <c r="U309" i="34"/>
  <c r="V309" i="34"/>
  <c r="W309" i="34"/>
  <c r="X309" i="34"/>
  <c r="Y309" i="34"/>
  <c r="N310" i="34"/>
  <c r="B310" i="34"/>
  <c r="O310" i="34"/>
  <c r="P310" i="34"/>
  <c r="Q310" i="34"/>
  <c r="R310" i="34"/>
  <c r="S310" i="34"/>
  <c r="T310" i="34"/>
  <c r="U310" i="34"/>
  <c r="V310" i="34"/>
  <c r="W310" i="34"/>
  <c r="X310" i="34"/>
  <c r="Y310" i="34"/>
  <c r="N311" i="34"/>
  <c r="B311" i="34"/>
  <c r="O311" i="34"/>
  <c r="P311" i="34"/>
  <c r="Q311" i="34"/>
  <c r="R311" i="34"/>
  <c r="S311" i="34"/>
  <c r="T311" i="34"/>
  <c r="U311" i="34"/>
  <c r="V311" i="34"/>
  <c r="W311" i="34"/>
  <c r="X311" i="34"/>
  <c r="Y311" i="34"/>
  <c r="N312" i="34"/>
  <c r="C312" i="34"/>
  <c r="B312" i="34"/>
  <c r="O312" i="34"/>
  <c r="P312" i="34"/>
  <c r="Q312" i="34"/>
  <c r="R312" i="34"/>
  <c r="S312" i="34"/>
  <c r="T312" i="34"/>
  <c r="U312" i="34"/>
  <c r="V312" i="34"/>
  <c r="W312" i="34"/>
  <c r="X312" i="34"/>
  <c r="Y312" i="34"/>
  <c r="N313" i="34"/>
  <c r="C313" i="34"/>
  <c r="B313" i="34"/>
  <c r="O313" i="34"/>
  <c r="P313" i="34"/>
  <c r="Q313" i="34"/>
  <c r="R313" i="34"/>
  <c r="S313" i="34"/>
  <c r="T313" i="34"/>
  <c r="U313" i="34"/>
  <c r="V313" i="34"/>
  <c r="W313" i="34"/>
  <c r="X313" i="34"/>
  <c r="Y313" i="34"/>
  <c r="N314" i="34"/>
  <c r="C314" i="34"/>
  <c r="B314" i="34"/>
  <c r="O314" i="34"/>
  <c r="P314" i="34"/>
  <c r="Q314" i="34"/>
  <c r="R314" i="34"/>
  <c r="S314" i="34"/>
  <c r="T314" i="34"/>
  <c r="U314" i="34"/>
  <c r="V314" i="34"/>
  <c r="W314" i="34"/>
  <c r="X314" i="34"/>
  <c r="Y314" i="34"/>
  <c r="N315" i="34"/>
  <c r="C315" i="34"/>
  <c r="B315" i="34"/>
  <c r="O315" i="34"/>
  <c r="P315" i="34"/>
  <c r="Q315" i="34"/>
  <c r="R315" i="34"/>
  <c r="S315" i="34"/>
  <c r="T315" i="34"/>
  <c r="U315" i="34"/>
  <c r="V315" i="34"/>
  <c r="W315" i="34"/>
  <c r="X315" i="34"/>
  <c r="Y315" i="34"/>
  <c r="N316" i="34"/>
  <c r="C316" i="34"/>
  <c r="B316" i="34"/>
  <c r="O316" i="34"/>
  <c r="P316" i="34"/>
  <c r="Q316" i="34"/>
  <c r="R316" i="34"/>
  <c r="S316" i="34"/>
  <c r="T316" i="34"/>
  <c r="U316" i="34"/>
  <c r="V316" i="34"/>
  <c r="W316" i="34"/>
  <c r="X316" i="34"/>
  <c r="Y316" i="34"/>
  <c r="N317" i="34"/>
  <c r="C317" i="34"/>
  <c r="B317" i="34"/>
  <c r="O317" i="34"/>
  <c r="P317" i="34"/>
  <c r="Q317" i="34"/>
  <c r="R317" i="34"/>
  <c r="S317" i="34"/>
  <c r="T317" i="34"/>
  <c r="U317" i="34"/>
  <c r="V317" i="34"/>
  <c r="W317" i="34"/>
  <c r="X317" i="34"/>
  <c r="Y317" i="34"/>
  <c r="N318" i="34"/>
  <c r="C318" i="34"/>
  <c r="B318" i="34"/>
  <c r="O318" i="34"/>
  <c r="P318" i="34"/>
  <c r="Q318" i="34"/>
  <c r="R318" i="34"/>
  <c r="S318" i="34"/>
  <c r="T318" i="34"/>
  <c r="U318" i="34"/>
  <c r="V318" i="34"/>
  <c r="W318" i="34"/>
  <c r="X318" i="34"/>
  <c r="Y318" i="34"/>
  <c r="N319" i="34"/>
  <c r="C319" i="34"/>
  <c r="B319" i="34"/>
  <c r="O319" i="34"/>
  <c r="P319" i="34"/>
  <c r="Q319" i="34"/>
  <c r="R319" i="34"/>
  <c r="S319" i="34"/>
  <c r="T319" i="34"/>
  <c r="U319" i="34"/>
  <c r="V319" i="34"/>
  <c r="W319" i="34"/>
  <c r="X319" i="34"/>
  <c r="Y319" i="34"/>
  <c r="N320" i="34"/>
  <c r="C320" i="34"/>
  <c r="B320" i="34"/>
  <c r="O320" i="34"/>
  <c r="P320" i="34"/>
  <c r="Q320" i="34"/>
  <c r="R320" i="34"/>
  <c r="S320" i="34"/>
  <c r="T320" i="34"/>
  <c r="U320" i="34"/>
  <c r="V320" i="34"/>
  <c r="W320" i="34"/>
  <c r="X320" i="34"/>
  <c r="Y320" i="34"/>
  <c r="N321" i="34"/>
  <c r="C321" i="34"/>
  <c r="B321" i="34"/>
  <c r="O321" i="34"/>
  <c r="P321" i="34"/>
  <c r="Q321" i="34"/>
  <c r="R321" i="34"/>
  <c r="S321" i="34"/>
  <c r="T321" i="34"/>
  <c r="U321" i="34"/>
  <c r="V321" i="34"/>
  <c r="W321" i="34"/>
  <c r="X321" i="34"/>
  <c r="Y321" i="34"/>
  <c r="N322" i="34"/>
  <c r="C322" i="34"/>
  <c r="B322" i="34"/>
  <c r="O322" i="34"/>
  <c r="P322" i="34"/>
  <c r="Q322" i="34"/>
  <c r="R322" i="34"/>
  <c r="S322" i="34"/>
  <c r="T322" i="34"/>
  <c r="U322" i="34"/>
  <c r="V322" i="34"/>
  <c r="W322" i="34"/>
  <c r="X322" i="34"/>
  <c r="Y322" i="34"/>
  <c r="N323" i="34"/>
  <c r="C323" i="34"/>
  <c r="B323" i="34"/>
  <c r="O323" i="34"/>
  <c r="P323" i="34"/>
  <c r="Q323" i="34"/>
  <c r="R323" i="34"/>
  <c r="S323" i="34"/>
  <c r="T323" i="34"/>
  <c r="U323" i="34"/>
  <c r="V323" i="34"/>
  <c r="W323" i="34"/>
  <c r="X323" i="34"/>
  <c r="Y323" i="34"/>
  <c r="N324" i="34"/>
  <c r="C324" i="34"/>
  <c r="B324" i="34"/>
  <c r="O324" i="34"/>
  <c r="P324" i="34"/>
  <c r="Q324" i="34"/>
  <c r="R324" i="34"/>
  <c r="S324" i="34"/>
  <c r="T324" i="34"/>
  <c r="U324" i="34"/>
  <c r="V324" i="34"/>
  <c r="W324" i="34"/>
  <c r="X324" i="34"/>
  <c r="Y324" i="34"/>
  <c r="N325" i="34"/>
  <c r="C325" i="34"/>
  <c r="B325" i="34"/>
  <c r="O325" i="34"/>
  <c r="P325" i="34"/>
  <c r="Q325" i="34"/>
  <c r="R325" i="34"/>
  <c r="S325" i="34"/>
  <c r="T325" i="34"/>
  <c r="U325" i="34"/>
  <c r="V325" i="34"/>
  <c r="W325" i="34"/>
  <c r="X325" i="34"/>
  <c r="Y325" i="34"/>
  <c r="N326" i="34"/>
  <c r="C326" i="34"/>
  <c r="B326" i="34"/>
  <c r="O326" i="34"/>
  <c r="P326" i="34"/>
  <c r="Q326" i="34"/>
  <c r="R326" i="34"/>
  <c r="S326" i="34"/>
  <c r="T326" i="34"/>
  <c r="U326" i="34"/>
  <c r="V326" i="34"/>
  <c r="W326" i="34"/>
  <c r="X326" i="34"/>
  <c r="Y326" i="34"/>
  <c r="N327" i="34"/>
  <c r="C327" i="34"/>
  <c r="B327" i="34"/>
  <c r="O327" i="34"/>
  <c r="P327" i="34"/>
  <c r="Q327" i="34"/>
  <c r="R327" i="34"/>
  <c r="S327" i="34"/>
  <c r="T327" i="34"/>
  <c r="U327" i="34"/>
  <c r="V327" i="34"/>
  <c r="W327" i="34"/>
  <c r="X327" i="34"/>
  <c r="Y327" i="34"/>
  <c r="N328" i="34"/>
  <c r="C328" i="34"/>
  <c r="B328" i="34"/>
  <c r="O328" i="34"/>
  <c r="P328" i="34"/>
  <c r="Q328" i="34"/>
  <c r="R328" i="34"/>
  <c r="S328" i="34"/>
  <c r="T328" i="34"/>
  <c r="U328" i="34"/>
  <c r="V328" i="34"/>
  <c r="W328" i="34"/>
  <c r="X328" i="34"/>
  <c r="Y328" i="34"/>
  <c r="N329" i="34"/>
  <c r="C329" i="34"/>
  <c r="B329" i="34"/>
  <c r="O329" i="34"/>
  <c r="P329" i="34"/>
  <c r="Q329" i="34"/>
  <c r="R329" i="34"/>
  <c r="S329" i="34"/>
  <c r="T329" i="34"/>
  <c r="U329" i="34"/>
  <c r="V329" i="34"/>
  <c r="W329" i="34"/>
  <c r="X329" i="34"/>
  <c r="Y329" i="34"/>
  <c r="N330" i="34"/>
  <c r="C330" i="34"/>
  <c r="B330" i="34"/>
  <c r="O330" i="34"/>
  <c r="P330" i="34"/>
  <c r="Q330" i="34"/>
  <c r="R330" i="34"/>
  <c r="S330" i="34"/>
  <c r="T330" i="34"/>
  <c r="U330" i="34"/>
  <c r="V330" i="34"/>
  <c r="W330" i="34"/>
  <c r="X330" i="34"/>
  <c r="Y330" i="34"/>
  <c r="N331" i="34"/>
  <c r="C331" i="34"/>
  <c r="B331" i="34"/>
  <c r="O331" i="34"/>
  <c r="P331" i="34"/>
  <c r="Q331" i="34"/>
  <c r="R331" i="34"/>
  <c r="S331" i="34"/>
  <c r="T331" i="34"/>
  <c r="U331" i="34"/>
  <c r="V331" i="34"/>
  <c r="W331" i="34"/>
  <c r="X331" i="34"/>
  <c r="Y331" i="34"/>
  <c r="N332" i="34"/>
  <c r="C332" i="34"/>
  <c r="B332" i="34"/>
  <c r="O332" i="34"/>
  <c r="P332" i="34"/>
  <c r="Q332" i="34"/>
  <c r="R332" i="34"/>
  <c r="S332" i="34"/>
  <c r="T332" i="34"/>
  <c r="U332" i="34"/>
  <c r="V332" i="34"/>
  <c r="W332" i="34"/>
  <c r="X332" i="34"/>
  <c r="Y332" i="34"/>
  <c r="N333" i="34"/>
  <c r="C333" i="34"/>
  <c r="B333" i="34"/>
  <c r="O333" i="34"/>
  <c r="P333" i="34"/>
  <c r="Q333" i="34"/>
  <c r="R333" i="34"/>
  <c r="S333" i="34"/>
  <c r="T333" i="34"/>
  <c r="U333" i="34"/>
  <c r="V333" i="34"/>
  <c r="W333" i="34"/>
  <c r="X333" i="34"/>
  <c r="Y333" i="34"/>
  <c r="N334" i="34"/>
  <c r="C334" i="34"/>
  <c r="B334" i="34"/>
  <c r="O334" i="34"/>
  <c r="P334" i="34"/>
  <c r="Q334" i="34"/>
  <c r="R334" i="34"/>
  <c r="S334" i="34"/>
  <c r="T334" i="34"/>
  <c r="U334" i="34"/>
  <c r="V334" i="34"/>
  <c r="W334" i="34"/>
  <c r="X334" i="34"/>
  <c r="Y334" i="34"/>
  <c r="N335" i="34"/>
  <c r="C335" i="34"/>
  <c r="B335" i="34"/>
  <c r="O335" i="34"/>
  <c r="P335" i="34"/>
  <c r="Q335" i="34"/>
  <c r="R335" i="34"/>
  <c r="S335" i="34"/>
  <c r="T335" i="34"/>
  <c r="U335" i="34"/>
  <c r="V335" i="34"/>
  <c r="W335" i="34"/>
  <c r="X335" i="34"/>
  <c r="Y335" i="34"/>
  <c r="N336" i="34"/>
  <c r="C336" i="34"/>
  <c r="B336" i="34"/>
  <c r="O336" i="34"/>
  <c r="P336" i="34"/>
  <c r="Q336" i="34"/>
  <c r="R336" i="34"/>
  <c r="S336" i="34"/>
  <c r="T336" i="34"/>
  <c r="U336" i="34"/>
  <c r="V336" i="34"/>
  <c r="W336" i="34"/>
  <c r="X336" i="34"/>
  <c r="Y336" i="34"/>
  <c r="N337" i="34"/>
  <c r="C337" i="34"/>
  <c r="B337" i="34"/>
  <c r="O337" i="34"/>
  <c r="P337" i="34"/>
  <c r="Q337" i="34"/>
  <c r="R337" i="34"/>
  <c r="S337" i="34"/>
  <c r="T337" i="34"/>
  <c r="U337" i="34"/>
  <c r="V337" i="34"/>
  <c r="W337" i="34"/>
  <c r="X337" i="34"/>
  <c r="Y337" i="34"/>
  <c r="N338" i="34"/>
  <c r="C338" i="34"/>
  <c r="B338" i="34"/>
  <c r="O338" i="34"/>
  <c r="P338" i="34"/>
  <c r="Q338" i="34"/>
  <c r="R338" i="34"/>
  <c r="S338" i="34"/>
  <c r="T338" i="34"/>
  <c r="U338" i="34"/>
  <c r="V338" i="34"/>
  <c r="W338" i="34"/>
  <c r="X338" i="34"/>
  <c r="Y338" i="34"/>
  <c r="N339" i="34"/>
  <c r="C339" i="34"/>
  <c r="B339" i="34"/>
  <c r="O339" i="34"/>
  <c r="P339" i="34"/>
  <c r="Q339" i="34"/>
  <c r="R339" i="34"/>
  <c r="S339" i="34"/>
  <c r="T339" i="34"/>
  <c r="U339" i="34"/>
  <c r="V339" i="34"/>
  <c r="W339" i="34"/>
  <c r="X339" i="34"/>
  <c r="Y339" i="34"/>
  <c r="N340" i="34"/>
  <c r="C340" i="34"/>
  <c r="B340" i="34"/>
  <c r="O340" i="34"/>
  <c r="P340" i="34"/>
  <c r="Q340" i="34"/>
  <c r="R340" i="34"/>
  <c r="S340" i="34"/>
  <c r="T340" i="34"/>
  <c r="U340" i="34"/>
  <c r="V340" i="34"/>
  <c r="W340" i="34"/>
  <c r="X340" i="34"/>
  <c r="Y340" i="34"/>
  <c r="N341" i="34"/>
  <c r="C341" i="34"/>
  <c r="B341" i="34"/>
  <c r="O341" i="34"/>
  <c r="P341" i="34"/>
  <c r="Q341" i="34"/>
  <c r="R341" i="34"/>
  <c r="S341" i="34"/>
  <c r="T341" i="34"/>
  <c r="U341" i="34"/>
  <c r="V341" i="34"/>
  <c r="W341" i="34"/>
  <c r="X341" i="34"/>
  <c r="Y341" i="34"/>
  <c r="N342" i="34"/>
  <c r="C342" i="34"/>
  <c r="B342" i="34"/>
  <c r="O342" i="34"/>
  <c r="P342" i="34"/>
  <c r="Q342" i="34"/>
  <c r="R342" i="34"/>
  <c r="S342" i="34"/>
  <c r="T342" i="34"/>
  <c r="U342" i="34"/>
  <c r="V342" i="34"/>
  <c r="W342" i="34"/>
  <c r="X342" i="34"/>
  <c r="Y342" i="34"/>
  <c r="N343" i="34"/>
  <c r="C343" i="34"/>
  <c r="B343" i="34"/>
  <c r="O343" i="34"/>
  <c r="P343" i="34"/>
  <c r="Q343" i="34"/>
  <c r="R343" i="34"/>
  <c r="S343" i="34"/>
  <c r="T343" i="34"/>
  <c r="U343" i="34"/>
  <c r="V343" i="34"/>
  <c r="W343" i="34"/>
  <c r="X343" i="34"/>
  <c r="Y343" i="34"/>
  <c r="N344" i="34"/>
  <c r="C344" i="34"/>
  <c r="B344" i="34"/>
  <c r="O344" i="34"/>
  <c r="P344" i="34"/>
  <c r="Q344" i="34"/>
  <c r="R344" i="34"/>
  <c r="S344" i="34"/>
  <c r="T344" i="34"/>
  <c r="U344" i="34"/>
  <c r="V344" i="34"/>
  <c r="W344" i="34"/>
  <c r="X344" i="34"/>
  <c r="Y344" i="34"/>
  <c r="N345" i="34"/>
  <c r="C345" i="34"/>
  <c r="B345" i="34"/>
  <c r="O345" i="34"/>
  <c r="P345" i="34"/>
  <c r="Q345" i="34"/>
  <c r="R345" i="34"/>
  <c r="S345" i="34"/>
  <c r="T345" i="34"/>
  <c r="U345" i="34"/>
  <c r="V345" i="34"/>
  <c r="W345" i="34"/>
  <c r="X345" i="34"/>
  <c r="Y345" i="34"/>
  <c r="N346" i="34"/>
  <c r="C346" i="34"/>
  <c r="B346" i="34"/>
  <c r="O346" i="34"/>
  <c r="P346" i="34"/>
  <c r="Q346" i="34"/>
  <c r="R346" i="34"/>
  <c r="S346" i="34"/>
  <c r="T346" i="34"/>
  <c r="U346" i="34"/>
  <c r="V346" i="34"/>
  <c r="W346" i="34"/>
  <c r="X346" i="34"/>
  <c r="Y346" i="34"/>
  <c r="N347" i="34"/>
  <c r="C347" i="34"/>
  <c r="B347" i="34"/>
  <c r="O347" i="34"/>
  <c r="P347" i="34"/>
  <c r="Q347" i="34"/>
  <c r="R347" i="34"/>
  <c r="S347" i="34"/>
  <c r="T347" i="34"/>
  <c r="U347" i="34"/>
  <c r="V347" i="34"/>
  <c r="W347" i="34"/>
  <c r="X347" i="34"/>
  <c r="Y347" i="34"/>
  <c r="N348" i="34"/>
  <c r="C348" i="34"/>
  <c r="B348" i="34"/>
  <c r="O348" i="34"/>
  <c r="P348" i="34"/>
  <c r="Q348" i="34"/>
  <c r="R348" i="34"/>
  <c r="S348" i="34"/>
  <c r="T348" i="34"/>
  <c r="U348" i="34"/>
  <c r="V348" i="34"/>
  <c r="W348" i="34"/>
  <c r="X348" i="34"/>
  <c r="Y348" i="34"/>
  <c r="N349" i="34"/>
  <c r="C349" i="34"/>
  <c r="B349" i="34"/>
  <c r="O349" i="34"/>
  <c r="P349" i="34"/>
  <c r="Q349" i="34"/>
  <c r="R349" i="34"/>
  <c r="S349" i="34"/>
  <c r="T349" i="34"/>
  <c r="U349" i="34"/>
  <c r="V349" i="34"/>
  <c r="W349" i="34"/>
  <c r="X349" i="34"/>
  <c r="Y349" i="34"/>
  <c r="N350" i="34"/>
  <c r="C350" i="34"/>
  <c r="B350" i="34"/>
  <c r="O350" i="34"/>
  <c r="P350" i="34"/>
  <c r="Q350" i="34"/>
  <c r="R350" i="34"/>
  <c r="S350" i="34"/>
  <c r="T350" i="34"/>
  <c r="U350" i="34"/>
  <c r="V350" i="34"/>
  <c r="W350" i="34"/>
  <c r="X350" i="34"/>
  <c r="Y350" i="34"/>
  <c r="N351" i="34"/>
  <c r="C351" i="34"/>
  <c r="B351" i="34"/>
  <c r="O351" i="34"/>
  <c r="P351" i="34"/>
  <c r="Q351" i="34"/>
  <c r="R351" i="34"/>
  <c r="S351" i="34"/>
  <c r="T351" i="34"/>
  <c r="U351" i="34"/>
  <c r="V351" i="34"/>
  <c r="W351" i="34"/>
  <c r="X351" i="34"/>
  <c r="Y351" i="34"/>
  <c r="N352" i="34"/>
  <c r="C352" i="34"/>
  <c r="B352" i="34"/>
  <c r="O352" i="34"/>
  <c r="P352" i="34"/>
  <c r="Q352" i="34"/>
  <c r="R352" i="34"/>
  <c r="S352" i="34"/>
  <c r="T352" i="34"/>
  <c r="U352" i="34"/>
  <c r="V352" i="34"/>
  <c r="W352" i="34"/>
  <c r="X352" i="34"/>
  <c r="Y352" i="34"/>
  <c r="N353" i="34"/>
  <c r="C353" i="34"/>
  <c r="B353" i="34"/>
  <c r="O353" i="34"/>
  <c r="P353" i="34"/>
  <c r="Q353" i="34"/>
  <c r="R353" i="34"/>
  <c r="S353" i="34"/>
  <c r="T353" i="34"/>
  <c r="U353" i="34"/>
  <c r="V353" i="34"/>
  <c r="W353" i="34"/>
  <c r="X353" i="34"/>
  <c r="Y353" i="34"/>
  <c r="N354" i="34"/>
  <c r="C354" i="34"/>
  <c r="B354" i="34"/>
  <c r="O354" i="34"/>
  <c r="P354" i="34"/>
  <c r="Q354" i="34"/>
  <c r="R354" i="34"/>
  <c r="S354" i="34"/>
  <c r="T354" i="34"/>
  <c r="U354" i="34"/>
  <c r="V354" i="34"/>
  <c r="W354" i="34"/>
  <c r="X354" i="34"/>
  <c r="Y354" i="34"/>
  <c r="N355" i="34"/>
  <c r="B355" i="34"/>
  <c r="O355" i="34"/>
  <c r="P355" i="34"/>
  <c r="Q355" i="34"/>
  <c r="R355" i="34"/>
  <c r="S355" i="34"/>
  <c r="T355" i="34"/>
  <c r="U355" i="34"/>
  <c r="V355" i="34"/>
  <c r="W355" i="34"/>
  <c r="X355" i="34"/>
  <c r="Y355" i="34"/>
  <c r="N356" i="34"/>
  <c r="B356" i="34"/>
  <c r="O356" i="34"/>
  <c r="P356" i="34"/>
  <c r="Q356" i="34"/>
  <c r="R356" i="34"/>
  <c r="S356" i="34"/>
  <c r="T356" i="34"/>
  <c r="U356" i="34"/>
  <c r="V356" i="34"/>
  <c r="W356" i="34"/>
  <c r="X356" i="34"/>
  <c r="Y356" i="34"/>
  <c r="N357" i="34"/>
  <c r="B357" i="34"/>
  <c r="O357" i="34"/>
  <c r="P357" i="34"/>
  <c r="Q357" i="34"/>
  <c r="R357" i="34"/>
  <c r="S357" i="34"/>
  <c r="T357" i="34"/>
  <c r="U357" i="34"/>
  <c r="V357" i="34"/>
  <c r="W357" i="34"/>
  <c r="X357" i="34"/>
  <c r="Y357" i="34"/>
  <c r="N358" i="34"/>
  <c r="B358" i="34"/>
  <c r="O358" i="34"/>
  <c r="P358" i="34"/>
  <c r="Q358" i="34"/>
  <c r="R358" i="34"/>
  <c r="S358" i="34"/>
  <c r="T358" i="34"/>
  <c r="U358" i="34"/>
  <c r="V358" i="34"/>
  <c r="W358" i="34"/>
  <c r="X358" i="34"/>
  <c r="Y358" i="34"/>
  <c r="N359" i="34"/>
  <c r="B359" i="34"/>
  <c r="O359" i="34"/>
  <c r="P359" i="34"/>
  <c r="Q359" i="34"/>
  <c r="R359" i="34"/>
  <c r="S359" i="34"/>
  <c r="T359" i="34"/>
  <c r="U359" i="34"/>
  <c r="V359" i="34"/>
  <c r="W359" i="34"/>
  <c r="X359" i="34"/>
  <c r="Y359" i="34"/>
  <c r="N360" i="34"/>
  <c r="B360" i="34"/>
  <c r="O360" i="34"/>
  <c r="P360" i="34"/>
  <c r="Q360" i="34"/>
  <c r="R360" i="34"/>
  <c r="S360" i="34"/>
  <c r="T360" i="34"/>
  <c r="U360" i="34"/>
  <c r="V360" i="34"/>
  <c r="W360" i="34"/>
  <c r="X360" i="34"/>
  <c r="Y360" i="34"/>
  <c r="N361" i="34"/>
  <c r="B361" i="34"/>
  <c r="O361" i="34"/>
  <c r="P361" i="34"/>
  <c r="Q361" i="34"/>
  <c r="R361" i="34"/>
  <c r="S361" i="34"/>
  <c r="T361" i="34"/>
  <c r="U361" i="34"/>
  <c r="V361" i="34"/>
  <c r="W361" i="34"/>
  <c r="X361" i="34"/>
  <c r="Y361" i="34"/>
  <c r="N362" i="34"/>
  <c r="B362" i="34"/>
  <c r="O362" i="34"/>
  <c r="P362" i="34"/>
  <c r="Q362" i="34"/>
  <c r="R362" i="34"/>
  <c r="S362" i="34"/>
  <c r="T362" i="34"/>
  <c r="U362" i="34"/>
  <c r="V362" i="34"/>
  <c r="W362" i="34"/>
  <c r="X362" i="34"/>
  <c r="Y362" i="34"/>
  <c r="N363" i="34"/>
  <c r="B363" i="34"/>
  <c r="O363" i="34"/>
  <c r="P363" i="34"/>
  <c r="Q363" i="34"/>
  <c r="R363" i="34"/>
  <c r="S363" i="34"/>
  <c r="T363" i="34"/>
  <c r="U363" i="34"/>
  <c r="V363" i="34"/>
  <c r="W363" i="34"/>
  <c r="X363" i="34"/>
  <c r="Y363" i="34"/>
  <c r="N364" i="34"/>
  <c r="B364" i="34"/>
  <c r="O364" i="34"/>
  <c r="P364" i="34"/>
  <c r="Q364" i="34"/>
  <c r="R364" i="34"/>
  <c r="S364" i="34"/>
  <c r="T364" i="34"/>
  <c r="U364" i="34"/>
  <c r="V364" i="34"/>
  <c r="W364" i="34"/>
  <c r="X364" i="34"/>
  <c r="Y364" i="34"/>
  <c r="N365" i="34"/>
  <c r="B365" i="34"/>
  <c r="O365" i="34"/>
  <c r="P365" i="34"/>
  <c r="Q365" i="34"/>
  <c r="R365" i="34"/>
  <c r="S365" i="34"/>
  <c r="T365" i="34"/>
  <c r="U365" i="34"/>
  <c r="V365" i="34"/>
  <c r="W365" i="34"/>
  <c r="X365" i="34"/>
  <c r="Y365" i="34"/>
  <c r="N366" i="34"/>
  <c r="B366" i="34"/>
  <c r="O366" i="34"/>
  <c r="P366" i="34"/>
  <c r="Q366" i="34"/>
  <c r="R366" i="34"/>
  <c r="S366" i="34"/>
  <c r="T366" i="34"/>
  <c r="U366" i="34"/>
  <c r="V366" i="34"/>
  <c r="W366" i="34"/>
  <c r="X366" i="34"/>
  <c r="Y366" i="34"/>
  <c r="N367" i="34"/>
  <c r="B367" i="34"/>
  <c r="O367" i="34"/>
  <c r="P367" i="34"/>
  <c r="Q367" i="34"/>
  <c r="R367" i="34"/>
  <c r="S367" i="34"/>
  <c r="T367" i="34"/>
  <c r="U367" i="34"/>
  <c r="V367" i="34"/>
  <c r="W367" i="34"/>
  <c r="X367" i="34"/>
  <c r="Y367" i="34"/>
  <c r="N368" i="34"/>
  <c r="B368" i="34"/>
  <c r="O368" i="34"/>
  <c r="P368" i="34"/>
  <c r="Q368" i="34"/>
  <c r="R368" i="34"/>
  <c r="S368" i="34"/>
  <c r="T368" i="34"/>
  <c r="U368" i="34"/>
  <c r="V368" i="34"/>
  <c r="W368" i="34"/>
  <c r="X368" i="34"/>
  <c r="Y368" i="34"/>
  <c r="N369" i="34"/>
  <c r="B369" i="34"/>
  <c r="O369" i="34"/>
  <c r="P369" i="34"/>
  <c r="Q369" i="34"/>
  <c r="R369" i="34"/>
  <c r="S369" i="34"/>
  <c r="T369" i="34"/>
  <c r="U369" i="34"/>
  <c r="V369" i="34"/>
  <c r="W369" i="34"/>
  <c r="X369" i="34"/>
  <c r="Y369" i="34"/>
  <c r="N370" i="34"/>
  <c r="B370" i="34"/>
  <c r="O370" i="34"/>
  <c r="P370" i="34"/>
  <c r="Q370" i="34"/>
  <c r="R370" i="34"/>
  <c r="S370" i="34"/>
  <c r="T370" i="34"/>
  <c r="U370" i="34"/>
  <c r="V370" i="34"/>
  <c r="W370" i="34"/>
  <c r="X370" i="34"/>
  <c r="Y370" i="34"/>
  <c r="N371" i="34"/>
  <c r="B371" i="34"/>
  <c r="O371" i="34"/>
  <c r="P371" i="34"/>
  <c r="Q371" i="34"/>
  <c r="R371" i="34"/>
  <c r="S371" i="34"/>
  <c r="T371" i="34"/>
  <c r="U371" i="34"/>
  <c r="V371" i="34"/>
  <c r="W371" i="34"/>
  <c r="X371" i="34"/>
  <c r="Y371" i="34"/>
  <c r="N372" i="34"/>
  <c r="B372" i="34"/>
  <c r="O372" i="34"/>
  <c r="P372" i="34"/>
  <c r="Q372" i="34"/>
  <c r="R372" i="34"/>
  <c r="S372" i="34"/>
  <c r="T372" i="34"/>
  <c r="U372" i="34"/>
  <c r="V372" i="34"/>
  <c r="W372" i="34"/>
  <c r="X372" i="34"/>
  <c r="Y372" i="34"/>
  <c r="N373" i="34"/>
  <c r="B373" i="34"/>
  <c r="O373" i="34"/>
  <c r="P373" i="34"/>
  <c r="Q373" i="34"/>
  <c r="R373" i="34"/>
  <c r="S373" i="34"/>
  <c r="T373" i="34"/>
  <c r="U373" i="34"/>
  <c r="V373" i="34"/>
  <c r="W373" i="34"/>
  <c r="X373" i="34"/>
  <c r="Y373" i="34"/>
  <c r="N374" i="34"/>
  <c r="B374" i="34"/>
  <c r="O374" i="34"/>
  <c r="P374" i="34"/>
  <c r="Q374" i="34"/>
  <c r="R374" i="34"/>
  <c r="S374" i="34"/>
  <c r="T374" i="34"/>
  <c r="U374" i="34"/>
  <c r="V374" i="34"/>
  <c r="W374" i="34"/>
  <c r="X374" i="34"/>
  <c r="Y374" i="34"/>
  <c r="N375" i="34"/>
  <c r="B375" i="34"/>
  <c r="O375" i="34"/>
  <c r="P375" i="34"/>
  <c r="Q375" i="34"/>
  <c r="R375" i="34"/>
  <c r="S375" i="34"/>
  <c r="T375" i="34"/>
  <c r="U375" i="34"/>
  <c r="V375" i="34"/>
  <c r="W375" i="34"/>
  <c r="X375" i="34"/>
  <c r="Y375" i="34"/>
  <c r="N376" i="34"/>
  <c r="B376" i="34"/>
  <c r="O376" i="34"/>
  <c r="P376" i="34"/>
  <c r="Q376" i="34"/>
  <c r="R376" i="34"/>
  <c r="S376" i="34"/>
  <c r="T376" i="34"/>
  <c r="U376" i="34"/>
  <c r="V376" i="34"/>
  <c r="W376" i="34"/>
  <c r="X376" i="34"/>
  <c r="Y376" i="34"/>
  <c r="N377" i="34"/>
  <c r="B377" i="34"/>
  <c r="O377" i="34"/>
  <c r="P377" i="34"/>
  <c r="Q377" i="34"/>
  <c r="R377" i="34"/>
  <c r="S377" i="34"/>
  <c r="T377" i="34"/>
  <c r="U377" i="34"/>
  <c r="V377" i="34"/>
  <c r="W377" i="34"/>
  <c r="X377" i="34"/>
  <c r="Y377" i="34"/>
  <c r="N378" i="34"/>
  <c r="B378" i="34"/>
  <c r="O378" i="34"/>
  <c r="P378" i="34"/>
  <c r="Q378" i="34"/>
  <c r="R378" i="34"/>
  <c r="S378" i="34"/>
  <c r="T378" i="34"/>
  <c r="U378" i="34"/>
  <c r="V378" i="34"/>
  <c r="W378" i="34"/>
  <c r="X378" i="34"/>
  <c r="Y378" i="34"/>
  <c r="N379" i="34"/>
  <c r="B379" i="34"/>
  <c r="O379" i="34"/>
  <c r="P379" i="34"/>
  <c r="Q379" i="34"/>
  <c r="R379" i="34"/>
  <c r="S379" i="34"/>
  <c r="T379" i="34"/>
  <c r="U379" i="34"/>
  <c r="V379" i="34"/>
  <c r="W379" i="34"/>
  <c r="X379" i="34"/>
  <c r="Y379" i="34"/>
  <c r="N380" i="34"/>
  <c r="B380" i="34"/>
  <c r="O380" i="34"/>
  <c r="P380" i="34"/>
  <c r="Q380" i="34"/>
  <c r="R380" i="34"/>
  <c r="S380" i="34"/>
  <c r="T380" i="34"/>
  <c r="U380" i="34"/>
  <c r="V380" i="34"/>
  <c r="W380" i="34"/>
  <c r="X380" i="34"/>
  <c r="Y380" i="34"/>
  <c r="N381" i="34"/>
  <c r="B381" i="34"/>
  <c r="O381" i="34"/>
  <c r="P381" i="34"/>
  <c r="Q381" i="34"/>
  <c r="R381" i="34"/>
  <c r="S381" i="34"/>
  <c r="T381" i="34"/>
  <c r="U381" i="34"/>
  <c r="V381" i="34"/>
  <c r="W381" i="34"/>
  <c r="X381" i="34"/>
  <c r="Y381" i="34"/>
  <c r="N382" i="34"/>
  <c r="B382" i="34"/>
  <c r="O382" i="34"/>
  <c r="P382" i="34"/>
  <c r="Q382" i="34"/>
  <c r="R382" i="34"/>
  <c r="S382" i="34"/>
  <c r="T382" i="34"/>
  <c r="U382" i="34"/>
  <c r="V382" i="34"/>
  <c r="W382" i="34"/>
  <c r="X382" i="34"/>
  <c r="Y382" i="34"/>
  <c r="N383" i="34"/>
  <c r="B383" i="34"/>
  <c r="O383" i="34"/>
  <c r="P383" i="34"/>
  <c r="Q383" i="34"/>
  <c r="R383" i="34"/>
  <c r="S383" i="34"/>
  <c r="T383" i="34"/>
  <c r="U383" i="34"/>
  <c r="V383" i="34"/>
  <c r="W383" i="34"/>
  <c r="X383" i="34"/>
  <c r="Y383" i="34"/>
  <c r="N384" i="34"/>
  <c r="B384" i="34"/>
  <c r="O384" i="34"/>
  <c r="P384" i="34"/>
  <c r="Q384" i="34"/>
  <c r="R384" i="34"/>
  <c r="S384" i="34"/>
  <c r="T384" i="34"/>
  <c r="U384" i="34"/>
  <c r="V384" i="34"/>
  <c r="W384" i="34"/>
  <c r="X384" i="34"/>
  <c r="Y384" i="34"/>
  <c r="N385" i="34"/>
  <c r="B385" i="34"/>
  <c r="O385" i="34"/>
  <c r="P385" i="34"/>
  <c r="Q385" i="34"/>
  <c r="R385" i="34"/>
  <c r="S385" i="34"/>
  <c r="T385" i="34"/>
  <c r="U385" i="34"/>
  <c r="V385" i="34"/>
  <c r="W385" i="34"/>
  <c r="X385" i="34"/>
  <c r="Y385" i="34"/>
  <c r="N386" i="34"/>
  <c r="B386" i="34"/>
  <c r="O386" i="34"/>
  <c r="P386" i="34"/>
  <c r="Q386" i="34"/>
  <c r="R386" i="34"/>
  <c r="S386" i="34"/>
  <c r="T386" i="34"/>
  <c r="U386" i="34"/>
  <c r="V386" i="34"/>
  <c r="W386" i="34"/>
  <c r="X386" i="34"/>
  <c r="Y386" i="34"/>
  <c r="N387" i="34"/>
  <c r="B387" i="34"/>
  <c r="O387" i="34"/>
  <c r="P387" i="34"/>
  <c r="Q387" i="34"/>
  <c r="R387" i="34"/>
  <c r="S387" i="34"/>
  <c r="T387" i="34"/>
  <c r="U387" i="34"/>
  <c r="V387" i="34"/>
  <c r="W387" i="34"/>
  <c r="X387" i="34"/>
  <c r="Y387" i="34"/>
  <c r="N388" i="34"/>
  <c r="B388" i="34"/>
  <c r="O388" i="34"/>
  <c r="P388" i="34"/>
  <c r="Q388" i="34"/>
  <c r="R388" i="34"/>
  <c r="S388" i="34"/>
  <c r="T388" i="34"/>
  <c r="U388" i="34"/>
  <c r="V388" i="34"/>
  <c r="W388" i="34"/>
  <c r="X388" i="34"/>
  <c r="Y388" i="34"/>
  <c r="N389" i="34"/>
  <c r="B389" i="34"/>
  <c r="O389" i="34"/>
  <c r="P389" i="34"/>
  <c r="Q389" i="34"/>
  <c r="R389" i="34"/>
  <c r="S389" i="34"/>
  <c r="T389" i="34"/>
  <c r="U389" i="34"/>
  <c r="V389" i="34"/>
  <c r="W389" i="34"/>
  <c r="X389" i="34"/>
  <c r="Y389" i="34"/>
  <c r="N390" i="34"/>
  <c r="B390" i="34"/>
  <c r="O390" i="34"/>
  <c r="P390" i="34"/>
  <c r="Q390" i="34"/>
  <c r="R390" i="34"/>
  <c r="S390" i="34"/>
  <c r="T390" i="34"/>
  <c r="U390" i="34"/>
  <c r="V390" i="34"/>
  <c r="W390" i="34"/>
  <c r="X390" i="34"/>
  <c r="Y390" i="34"/>
  <c r="N391" i="34"/>
  <c r="B391" i="34"/>
  <c r="O391" i="34"/>
  <c r="P391" i="34"/>
  <c r="Q391" i="34"/>
  <c r="R391" i="34"/>
  <c r="S391" i="34"/>
  <c r="T391" i="34"/>
  <c r="U391" i="34"/>
  <c r="V391" i="34"/>
  <c r="W391" i="34"/>
  <c r="X391" i="34"/>
  <c r="Y391" i="34"/>
  <c r="N392" i="34"/>
  <c r="B392" i="34"/>
  <c r="O392" i="34"/>
  <c r="P392" i="34"/>
  <c r="Q392" i="34"/>
  <c r="R392" i="34"/>
  <c r="S392" i="34"/>
  <c r="T392" i="34"/>
  <c r="U392" i="34"/>
  <c r="V392" i="34"/>
  <c r="W392" i="34"/>
  <c r="X392" i="34"/>
  <c r="Y392" i="34"/>
  <c r="N393" i="34"/>
  <c r="B393" i="34"/>
  <c r="O393" i="34"/>
  <c r="P393" i="34"/>
  <c r="Q393" i="34"/>
  <c r="R393" i="34"/>
  <c r="S393" i="34"/>
  <c r="T393" i="34"/>
  <c r="U393" i="34"/>
  <c r="V393" i="34"/>
  <c r="W393" i="34"/>
  <c r="X393" i="34"/>
  <c r="Y393" i="34"/>
  <c r="N394" i="34"/>
  <c r="B394" i="34"/>
  <c r="O394" i="34"/>
  <c r="P394" i="34"/>
  <c r="Q394" i="34"/>
  <c r="R394" i="34"/>
  <c r="S394" i="34"/>
  <c r="T394" i="34"/>
  <c r="U394" i="34"/>
  <c r="V394" i="34"/>
  <c r="W394" i="34"/>
  <c r="X394" i="34"/>
  <c r="Y394" i="34"/>
  <c r="N395" i="34"/>
  <c r="B395" i="34"/>
  <c r="O395" i="34"/>
  <c r="P395" i="34"/>
  <c r="Q395" i="34"/>
  <c r="R395" i="34"/>
  <c r="S395" i="34"/>
  <c r="T395" i="34"/>
  <c r="U395" i="34"/>
  <c r="V395" i="34"/>
  <c r="W395" i="34"/>
  <c r="X395" i="34"/>
  <c r="Y395" i="34"/>
  <c r="N396" i="34"/>
  <c r="B396" i="34"/>
  <c r="O396" i="34"/>
  <c r="P396" i="34"/>
  <c r="Q396" i="34"/>
  <c r="R396" i="34"/>
  <c r="S396" i="34"/>
  <c r="T396" i="34"/>
  <c r="U396" i="34"/>
  <c r="V396" i="34"/>
  <c r="W396" i="34"/>
  <c r="X396" i="34"/>
  <c r="Y396" i="34"/>
  <c r="N397" i="34"/>
  <c r="B397" i="34"/>
  <c r="O397" i="34"/>
  <c r="P397" i="34"/>
  <c r="Q397" i="34"/>
  <c r="R397" i="34"/>
  <c r="S397" i="34"/>
  <c r="T397" i="34"/>
  <c r="U397" i="34"/>
  <c r="V397" i="34"/>
  <c r="W397" i="34"/>
  <c r="X397" i="34"/>
  <c r="Y397" i="34"/>
  <c r="N398" i="34"/>
  <c r="B398" i="34"/>
  <c r="O398" i="34"/>
  <c r="P398" i="34"/>
  <c r="Q398" i="34"/>
  <c r="R398" i="34"/>
  <c r="S398" i="34"/>
  <c r="T398" i="34"/>
  <c r="U398" i="34"/>
  <c r="V398" i="34"/>
  <c r="W398" i="34"/>
  <c r="X398" i="34"/>
  <c r="Y398" i="34"/>
  <c r="N399" i="34"/>
  <c r="B399" i="34"/>
  <c r="O399" i="34"/>
  <c r="P399" i="34"/>
  <c r="Q399" i="34"/>
  <c r="R399" i="34"/>
  <c r="S399" i="34"/>
  <c r="T399" i="34"/>
  <c r="U399" i="34"/>
  <c r="V399" i="34"/>
  <c r="W399" i="34"/>
  <c r="X399" i="34"/>
  <c r="Y399" i="34"/>
  <c r="N400" i="34"/>
  <c r="B400" i="34"/>
  <c r="O400" i="34"/>
  <c r="P400" i="34"/>
  <c r="Q400" i="34"/>
  <c r="R400" i="34"/>
  <c r="S400" i="34"/>
  <c r="T400" i="34"/>
  <c r="U400" i="34"/>
  <c r="V400" i="34"/>
  <c r="W400" i="34"/>
  <c r="X400" i="34"/>
  <c r="Y400" i="34"/>
  <c r="N401" i="34"/>
  <c r="B401" i="34"/>
  <c r="O401" i="34"/>
  <c r="P401" i="34"/>
  <c r="Q401" i="34"/>
  <c r="R401" i="34"/>
  <c r="S401" i="34"/>
  <c r="T401" i="34"/>
  <c r="U401" i="34"/>
  <c r="V401" i="34"/>
  <c r="W401" i="34"/>
  <c r="X401" i="34"/>
  <c r="Y401" i="34"/>
  <c r="N402" i="34"/>
  <c r="B402" i="34"/>
  <c r="O402" i="34"/>
  <c r="P402" i="34"/>
  <c r="Q402" i="34"/>
  <c r="R402" i="34"/>
  <c r="S402" i="34"/>
  <c r="T402" i="34"/>
  <c r="U402" i="34"/>
  <c r="V402" i="34"/>
  <c r="W402" i="34"/>
  <c r="X402" i="34"/>
  <c r="Y402" i="34"/>
  <c r="N403" i="34"/>
  <c r="B403" i="34"/>
  <c r="O403" i="34"/>
  <c r="P403" i="34"/>
  <c r="Q403" i="34"/>
  <c r="R403" i="34"/>
  <c r="S403" i="34"/>
  <c r="T403" i="34"/>
  <c r="U403" i="34"/>
  <c r="V403" i="34"/>
  <c r="W403" i="34"/>
  <c r="X403" i="34"/>
  <c r="Y403" i="34"/>
  <c r="N404" i="34"/>
  <c r="B404" i="34"/>
  <c r="O404" i="34"/>
  <c r="P404" i="34"/>
  <c r="Q404" i="34"/>
  <c r="R404" i="34"/>
  <c r="S404" i="34"/>
  <c r="T404" i="34"/>
  <c r="U404" i="34"/>
  <c r="V404" i="34"/>
  <c r="W404" i="34"/>
  <c r="X404" i="34"/>
  <c r="Y404" i="34"/>
  <c r="N405" i="34"/>
  <c r="B405" i="34"/>
  <c r="O405" i="34"/>
  <c r="P405" i="34"/>
  <c r="Q405" i="34"/>
  <c r="R405" i="34"/>
  <c r="S405" i="34"/>
  <c r="T405" i="34"/>
  <c r="U405" i="34"/>
  <c r="V405" i="34"/>
  <c r="W405" i="34"/>
  <c r="X405" i="34"/>
  <c r="Y405" i="34"/>
  <c r="N406" i="34"/>
  <c r="B406" i="34"/>
  <c r="O406" i="34"/>
  <c r="P406" i="34"/>
  <c r="Q406" i="34"/>
  <c r="R406" i="34"/>
  <c r="S406" i="34"/>
  <c r="T406" i="34"/>
  <c r="U406" i="34"/>
  <c r="V406" i="34"/>
  <c r="W406" i="34"/>
  <c r="X406" i="34"/>
  <c r="Y406" i="34"/>
  <c r="N407" i="34"/>
  <c r="B407" i="34"/>
  <c r="O407" i="34"/>
  <c r="P407" i="34"/>
  <c r="Q407" i="34"/>
  <c r="R407" i="34"/>
  <c r="S407" i="34"/>
  <c r="T407" i="34"/>
  <c r="U407" i="34"/>
  <c r="V407" i="34"/>
  <c r="W407" i="34"/>
  <c r="X407" i="34"/>
  <c r="Y407" i="34"/>
  <c r="N408" i="34"/>
  <c r="B408" i="34"/>
  <c r="O408" i="34"/>
  <c r="P408" i="34"/>
  <c r="Q408" i="34"/>
  <c r="R408" i="34"/>
  <c r="S408" i="34"/>
  <c r="T408" i="34"/>
  <c r="U408" i="34"/>
  <c r="V408" i="34"/>
  <c r="W408" i="34"/>
  <c r="X408" i="34"/>
  <c r="Y408" i="34"/>
  <c r="N409" i="34"/>
  <c r="B409" i="34"/>
  <c r="O409" i="34"/>
  <c r="P409" i="34"/>
  <c r="Q409" i="34"/>
  <c r="R409" i="34"/>
  <c r="S409" i="34"/>
  <c r="T409" i="34"/>
  <c r="U409" i="34"/>
  <c r="V409" i="34"/>
  <c r="W409" i="34"/>
  <c r="X409" i="34"/>
  <c r="Y409" i="34"/>
  <c r="N410" i="34"/>
  <c r="B410" i="34"/>
  <c r="O410" i="34"/>
  <c r="P410" i="34"/>
  <c r="Q410" i="34"/>
  <c r="R410" i="34"/>
  <c r="S410" i="34"/>
  <c r="T410" i="34"/>
  <c r="U410" i="34"/>
  <c r="V410" i="34"/>
  <c r="W410" i="34"/>
  <c r="X410" i="34"/>
  <c r="Y410" i="34"/>
  <c r="N411" i="34"/>
  <c r="B411" i="34"/>
  <c r="O411" i="34"/>
  <c r="P411" i="34"/>
  <c r="Q411" i="34"/>
  <c r="R411" i="34"/>
  <c r="S411" i="34"/>
  <c r="T411" i="34"/>
  <c r="U411" i="34"/>
  <c r="V411" i="34"/>
  <c r="W411" i="34"/>
  <c r="X411" i="34"/>
  <c r="Y411" i="34"/>
  <c r="N412" i="34"/>
  <c r="B412" i="34"/>
  <c r="O412" i="34"/>
  <c r="P412" i="34"/>
  <c r="Q412" i="34"/>
  <c r="R412" i="34"/>
  <c r="S412" i="34"/>
  <c r="T412" i="34"/>
  <c r="U412" i="34"/>
  <c r="V412" i="34"/>
  <c r="W412" i="34"/>
  <c r="X412" i="34"/>
  <c r="Y412" i="34"/>
  <c r="N413" i="34"/>
  <c r="B413" i="34"/>
  <c r="O413" i="34"/>
  <c r="P413" i="34"/>
  <c r="Q413" i="34"/>
  <c r="R413" i="34"/>
  <c r="S413" i="34"/>
  <c r="T413" i="34"/>
  <c r="U413" i="34"/>
  <c r="V413" i="34"/>
  <c r="W413" i="34"/>
  <c r="X413" i="34"/>
  <c r="Y413" i="34"/>
  <c r="N414" i="34"/>
  <c r="B414" i="34"/>
  <c r="O414" i="34"/>
  <c r="P414" i="34"/>
  <c r="Q414" i="34"/>
  <c r="R414" i="34"/>
  <c r="S414" i="34"/>
  <c r="T414" i="34"/>
  <c r="U414" i="34"/>
  <c r="V414" i="34"/>
  <c r="W414" i="34"/>
  <c r="X414" i="34"/>
  <c r="Y414" i="34"/>
  <c r="N415" i="34"/>
  <c r="B415" i="34"/>
  <c r="O415" i="34"/>
  <c r="P415" i="34"/>
  <c r="Q415" i="34"/>
  <c r="R415" i="34"/>
  <c r="S415" i="34"/>
  <c r="T415" i="34"/>
  <c r="U415" i="34"/>
  <c r="V415" i="34"/>
  <c r="W415" i="34"/>
  <c r="X415" i="34"/>
  <c r="Y415" i="34"/>
  <c r="N416" i="34"/>
  <c r="B416" i="34"/>
  <c r="O416" i="34"/>
  <c r="P416" i="34"/>
  <c r="Q416" i="34"/>
  <c r="R416" i="34"/>
  <c r="S416" i="34"/>
  <c r="T416" i="34"/>
  <c r="U416" i="34"/>
  <c r="V416" i="34"/>
  <c r="W416" i="34"/>
  <c r="X416" i="34"/>
  <c r="Y416" i="34"/>
  <c r="N417" i="34"/>
  <c r="B417" i="34"/>
  <c r="O417" i="34"/>
  <c r="P417" i="34"/>
  <c r="Q417" i="34"/>
  <c r="R417" i="34"/>
  <c r="S417" i="34"/>
  <c r="T417" i="34"/>
  <c r="U417" i="34"/>
  <c r="V417" i="34"/>
  <c r="W417" i="34"/>
  <c r="X417" i="34"/>
  <c r="Y417" i="34"/>
  <c r="N418" i="34"/>
  <c r="B418" i="34"/>
  <c r="O418" i="34"/>
  <c r="P418" i="34"/>
  <c r="Q418" i="34"/>
  <c r="R418" i="34"/>
  <c r="S418" i="34"/>
  <c r="T418" i="34"/>
  <c r="U418" i="34"/>
  <c r="V418" i="34"/>
  <c r="W418" i="34"/>
  <c r="X418" i="34"/>
  <c r="Y418" i="34"/>
  <c r="N419" i="34"/>
  <c r="B419" i="34"/>
  <c r="O419" i="34"/>
  <c r="P419" i="34"/>
  <c r="Q419" i="34"/>
  <c r="R419" i="34"/>
  <c r="S419" i="34"/>
  <c r="T419" i="34"/>
  <c r="U419" i="34"/>
  <c r="V419" i="34"/>
  <c r="W419" i="34"/>
  <c r="X419" i="34"/>
  <c r="Y419" i="34"/>
  <c r="N420" i="34"/>
  <c r="B420" i="34"/>
  <c r="O420" i="34"/>
  <c r="P420" i="34"/>
  <c r="Q420" i="34"/>
  <c r="R420" i="34"/>
  <c r="S420" i="34"/>
  <c r="T420" i="34"/>
  <c r="U420" i="34"/>
  <c r="V420" i="34"/>
  <c r="W420" i="34"/>
  <c r="X420" i="34"/>
  <c r="Y420" i="34"/>
  <c r="N421" i="34"/>
  <c r="B421" i="34"/>
  <c r="O421" i="34"/>
  <c r="P421" i="34"/>
  <c r="Q421" i="34"/>
  <c r="R421" i="34"/>
  <c r="S421" i="34"/>
  <c r="T421" i="34"/>
  <c r="U421" i="34"/>
  <c r="V421" i="34"/>
  <c r="W421" i="34"/>
  <c r="X421" i="34"/>
  <c r="Y421" i="34"/>
  <c r="N422" i="34"/>
  <c r="B422" i="34"/>
  <c r="O422" i="34"/>
  <c r="P422" i="34"/>
  <c r="Q422" i="34"/>
  <c r="R422" i="34"/>
  <c r="S422" i="34"/>
  <c r="T422" i="34"/>
  <c r="U422" i="34"/>
  <c r="V422" i="34"/>
  <c r="W422" i="34"/>
  <c r="X422" i="34"/>
  <c r="Y422" i="34"/>
  <c r="N423" i="34"/>
  <c r="B423" i="34"/>
  <c r="O423" i="34"/>
  <c r="P423" i="34"/>
  <c r="Q423" i="34"/>
  <c r="R423" i="34"/>
  <c r="S423" i="34"/>
  <c r="T423" i="34"/>
  <c r="U423" i="34"/>
  <c r="V423" i="34"/>
  <c r="W423" i="34"/>
  <c r="X423" i="34"/>
  <c r="Y423" i="34"/>
  <c r="N424" i="34"/>
  <c r="B424" i="34"/>
  <c r="O424" i="34"/>
  <c r="P424" i="34"/>
  <c r="Q424" i="34"/>
  <c r="R424" i="34"/>
  <c r="S424" i="34"/>
  <c r="T424" i="34"/>
  <c r="U424" i="34"/>
  <c r="V424" i="34"/>
  <c r="W424" i="34"/>
  <c r="X424" i="34"/>
  <c r="Y424" i="34"/>
  <c r="N425" i="34"/>
  <c r="B425" i="34"/>
  <c r="O425" i="34"/>
  <c r="P425" i="34"/>
  <c r="Q425" i="34"/>
  <c r="R425" i="34"/>
  <c r="S425" i="34"/>
  <c r="T425" i="34"/>
  <c r="U425" i="34"/>
  <c r="V425" i="34"/>
  <c r="W425" i="34"/>
  <c r="X425" i="34"/>
  <c r="Y425" i="34"/>
  <c r="N426" i="34"/>
  <c r="B426" i="34"/>
  <c r="O426" i="34"/>
  <c r="P426" i="34"/>
  <c r="Q426" i="34"/>
  <c r="R426" i="34"/>
  <c r="S426" i="34"/>
  <c r="T426" i="34"/>
  <c r="U426" i="34"/>
  <c r="V426" i="34"/>
  <c r="W426" i="34"/>
  <c r="X426" i="34"/>
  <c r="Y426" i="34"/>
  <c r="N427" i="34"/>
  <c r="B427" i="34"/>
  <c r="O427" i="34"/>
  <c r="P427" i="34"/>
  <c r="Q427" i="34"/>
  <c r="R427" i="34"/>
  <c r="S427" i="34"/>
  <c r="T427" i="34"/>
  <c r="U427" i="34"/>
  <c r="V427" i="34"/>
  <c r="W427" i="34"/>
  <c r="X427" i="34"/>
  <c r="Y427" i="34"/>
  <c r="N428" i="34"/>
  <c r="B428" i="34"/>
  <c r="O428" i="34"/>
  <c r="P428" i="34"/>
  <c r="Q428" i="34"/>
  <c r="R428" i="34"/>
  <c r="S428" i="34"/>
  <c r="T428" i="34"/>
  <c r="U428" i="34"/>
  <c r="V428" i="34"/>
  <c r="W428" i="34"/>
  <c r="X428" i="34"/>
  <c r="Y428" i="34"/>
  <c r="N429" i="34"/>
  <c r="B429" i="34"/>
  <c r="O429" i="34"/>
  <c r="P429" i="34"/>
  <c r="Q429" i="34"/>
  <c r="R429" i="34"/>
  <c r="S429" i="34"/>
  <c r="T429" i="34"/>
  <c r="U429" i="34"/>
  <c r="V429" i="34"/>
  <c r="W429" i="34"/>
  <c r="X429" i="34"/>
  <c r="Y429" i="34"/>
  <c r="N430" i="34"/>
  <c r="B430" i="34"/>
  <c r="O430" i="34"/>
  <c r="P430" i="34"/>
  <c r="Q430" i="34"/>
  <c r="R430" i="34"/>
  <c r="S430" i="34"/>
  <c r="T430" i="34"/>
  <c r="U430" i="34"/>
  <c r="V430" i="34"/>
  <c r="W430" i="34"/>
  <c r="X430" i="34"/>
  <c r="Y430" i="34"/>
  <c r="N431" i="34"/>
  <c r="B431" i="34"/>
  <c r="O431" i="34"/>
  <c r="P431" i="34"/>
  <c r="Q431" i="34"/>
  <c r="R431" i="34"/>
  <c r="S431" i="34"/>
  <c r="T431" i="34"/>
  <c r="U431" i="34"/>
  <c r="V431" i="34"/>
  <c r="W431" i="34"/>
  <c r="X431" i="34"/>
  <c r="Y431" i="34"/>
  <c r="N432" i="34"/>
  <c r="B432" i="34"/>
  <c r="O432" i="34"/>
  <c r="P432" i="34"/>
  <c r="Q432" i="34"/>
  <c r="R432" i="34"/>
  <c r="S432" i="34"/>
  <c r="T432" i="34"/>
  <c r="U432" i="34"/>
  <c r="V432" i="34"/>
  <c r="W432" i="34"/>
  <c r="X432" i="34"/>
  <c r="Y432" i="34"/>
  <c r="N433" i="34"/>
  <c r="B433" i="34"/>
  <c r="O433" i="34"/>
  <c r="P433" i="34"/>
  <c r="Q433" i="34"/>
  <c r="R433" i="34"/>
  <c r="S433" i="34"/>
  <c r="T433" i="34"/>
  <c r="U433" i="34"/>
  <c r="V433" i="34"/>
  <c r="W433" i="34"/>
  <c r="X433" i="34"/>
  <c r="Y433" i="34"/>
  <c r="N434" i="34"/>
  <c r="B434" i="34"/>
  <c r="O434" i="34"/>
  <c r="P434" i="34"/>
  <c r="Q434" i="34"/>
  <c r="R434" i="34"/>
  <c r="S434" i="34"/>
  <c r="T434" i="34"/>
  <c r="U434" i="34"/>
  <c r="V434" i="34"/>
  <c r="W434" i="34"/>
  <c r="X434" i="34"/>
  <c r="Y434" i="34"/>
  <c r="N435" i="34"/>
  <c r="B435" i="34"/>
  <c r="O435" i="34"/>
  <c r="P435" i="34"/>
  <c r="Q435" i="34"/>
  <c r="R435" i="34"/>
  <c r="S435" i="34"/>
  <c r="T435" i="34"/>
  <c r="U435" i="34"/>
  <c r="V435" i="34"/>
  <c r="W435" i="34"/>
  <c r="X435" i="34"/>
  <c r="Y435" i="34"/>
  <c r="N436" i="34"/>
  <c r="B436" i="34"/>
  <c r="O436" i="34"/>
  <c r="P436" i="34"/>
  <c r="Q436" i="34"/>
  <c r="R436" i="34"/>
  <c r="S436" i="34"/>
  <c r="T436" i="34"/>
  <c r="U436" i="34"/>
  <c r="V436" i="34"/>
  <c r="W436" i="34"/>
  <c r="X436" i="34"/>
  <c r="Y436" i="34"/>
  <c r="N437" i="34"/>
  <c r="B437" i="34"/>
  <c r="O437" i="34"/>
  <c r="P437" i="34"/>
  <c r="Q437" i="34"/>
  <c r="R437" i="34"/>
  <c r="S437" i="34"/>
  <c r="T437" i="34"/>
  <c r="U437" i="34"/>
  <c r="V437" i="34"/>
  <c r="W437" i="34"/>
  <c r="X437" i="34"/>
  <c r="Y437" i="34"/>
  <c r="N438" i="34"/>
  <c r="B438" i="34"/>
  <c r="O438" i="34"/>
  <c r="P438" i="34"/>
  <c r="Q438" i="34"/>
  <c r="R438" i="34"/>
  <c r="S438" i="34"/>
  <c r="T438" i="34"/>
  <c r="U438" i="34"/>
  <c r="V438" i="34"/>
  <c r="W438" i="34"/>
  <c r="X438" i="34"/>
  <c r="Y438" i="34"/>
  <c r="N439" i="34"/>
  <c r="B439" i="34"/>
  <c r="O439" i="34"/>
  <c r="P439" i="34"/>
  <c r="Q439" i="34"/>
  <c r="R439" i="34"/>
  <c r="S439" i="34"/>
  <c r="T439" i="34"/>
  <c r="U439" i="34"/>
  <c r="V439" i="34"/>
  <c r="W439" i="34"/>
  <c r="X439" i="34"/>
  <c r="Y439" i="34"/>
  <c r="N440" i="34"/>
  <c r="B440" i="34"/>
  <c r="O440" i="34"/>
  <c r="P440" i="34"/>
  <c r="Q440" i="34"/>
  <c r="R440" i="34"/>
  <c r="S440" i="34"/>
  <c r="T440" i="34"/>
  <c r="U440" i="34"/>
  <c r="V440" i="34"/>
  <c r="W440" i="34"/>
  <c r="X440" i="34"/>
  <c r="Y440" i="34"/>
  <c r="N441" i="34"/>
  <c r="B441" i="34"/>
  <c r="O441" i="34"/>
  <c r="P441" i="34"/>
  <c r="Q441" i="34"/>
  <c r="R441" i="34"/>
  <c r="S441" i="34"/>
  <c r="T441" i="34"/>
  <c r="U441" i="34"/>
  <c r="V441" i="34"/>
  <c r="W441" i="34"/>
  <c r="X441" i="34"/>
  <c r="Y441" i="34"/>
  <c r="N442" i="34"/>
  <c r="B442" i="34"/>
  <c r="O442" i="34"/>
  <c r="P442" i="34"/>
  <c r="Q442" i="34"/>
  <c r="R442" i="34"/>
  <c r="S442" i="34"/>
  <c r="T442" i="34"/>
  <c r="U442" i="34"/>
  <c r="V442" i="34"/>
  <c r="W442" i="34"/>
  <c r="X442" i="34"/>
  <c r="Y442" i="34"/>
  <c r="N443" i="34"/>
  <c r="B443" i="34"/>
  <c r="O443" i="34"/>
  <c r="P443" i="34"/>
  <c r="Q443" i="34"/>
  <c r="R443" i="34"/>
  <c r="S443" i="34"/>
  <c r="T443" i="34"/>
  <c r="U443" i="34"/>
  <c r="V443" i="34"/>
  <c r="W443" i="34"/>
  <c r="X443" i="34"/>
  <c r="Y443" i="34"/>
  <c r="N444" i="34"/>
  <c r="B444" i="34"/>
  <c r="O444" i="34"/>
  <c r="P444" i="34"/>
  <c r="Q444" i="34"/>
  <c r="R444" i="34"/>
  <c r="S444" i="34"/>
  <c r="T444" i="34"/>
  <c r="U444" i="34"/>
  <c r="V444" i="34"/>
  <c r="W444" i="34"/>
  <c r="X444" i="34"/>
  <c r="Y444" i="34"/>
  <c r="N445" i="34"/>
  <c r="B445" i="34"/>
  <c r="O445" i="34"/>
  <c r="P445" i="34"/>
  <c r="Q445" i="34"/>
  <c r="R445" i="34"/>
  <c r="S445" i="34"/>
  <c r="T445" i="34"/>
  <c r="U445" i="34"/>
  <c r="V445" i="34"/>
  <c r="W445" i="34"/>
  <c r="X445" i="34"/>
  <c r="Y445" i="34"/>
  <c r="N446" i="34"/>
  <c r="B446" i="34"/>
  <c r="O446" i="34"/>
  <c r="P446" i="34"/>
  <c r="Q446" i="34"/>
  <c r="R446" i="34"/>
  <c r="S446" i="34"/>
  <c r="T446" i="34"/>
  <c r="U446" i="34"/>
  <c r="V446" i="34"/>
  <c r="W446" i="34"/>
  <c r="X446" i="34"/>
  <c r="Y446" i="34"/>
  <c r="N447" i="34"/>
  <c r="B447" i="34"/>
  <c r="O447" i="34"/>
  <c r="P447" i="34"/>
  <c r="Q447" i="34"/>
  <c r="R447" i="34"/>
  <c r="S447" i="34"/>
  <c r="T447" i="34"/>
  <c r="U447" i="34"/>
  <c r="V447" i="34"/>
  <c r="W447" i="34"/>
  <c r="X447" i="34"/>
  <c r="Y447" i="34"/>
  <c r="N448" i="34"/>
  <c r="B448" i="34"/>
  <c r="O448" i="34"/>
  <c r="P448" i="34"/>
  <c r="Q448" i="34"/>
  <c r="R448" i="34"/>
  <c r="S448" i="34"/>
  <c r="T448" i="34"/>
  <c r="U448" i="34"/>
  <c r="V448" i="34"/>
  <c r="W448" i="34"/>
  <c r="X448" i="34"/>
  <c r="Y448" i="34"/>
  <c r="N449" i="34"/>
  <c r="C449" i="34"/>
  <c r="B449" i="34"/>
  <c r="O449" i="34"/>
  <c r="P449" i="34"/>
  <c r="Q449" i="34"/>
  <c r="R449" i="34"/>
  <c r="S449" i="34"/>
  <c r="T449" i="34"/>
  <c r="U449" i="34"/>
  <c r="V449" i="34"/>
  <c r="W449" i="34"/>
  <c r="X449" i="34"/>
  <c r="Y449" i="34"/>
  <c r="N450" i="34"/>
  <c r="C450" i="34"/>
  <c r="B450" i="34"/>
  <c r="O450" i="34"/>
  <c r="P450" i="34"/>
  <c r="Q450" i="34"/>
  <c r="R450" i="34"/>
  <c r="S450" i="34"/>
  <c r="T450" i="34"/>
  <c r="U450" i="34"/>
  <c r="V450" i="34"/>
  <c r="W450" i="34"/>
  <c r="X450" i="34"/>
  <c r="Y450" i="34"/>
  <c r="N451" i="34"/>
  <c r="C451" i="34"/>
  <c r="B451" i="34"/>
  <c r="O451" i="34"/>
  <c r="P451" i="34"/>
  <c r="Q451" i="34"/>
  <c r="R451" i="34"/>
  <c r="S451" i="34"/>
  <c r="T451" i="34"/>
  <c r="U451" i="34"/>
  <c r="V451" i="34"/>
  <c r="W451" i="34"/>
  <c r="X451" i="34"/>
  <c r="Y451" i="34"/>
  <c r="N452" i="34"/>
  <c r="C452" i="34"/>
  <c r="B452" i="34"/>
  <c r="O452" i="34"/>
  <c r="P452" i="34"/>
  <c r="Q452" i="34"/>
  <c r="R452" i="34"/>
  <c r="S452" i="34"/>
  <c r="T452" i="34"/>
  <c r="U452" i="34"/>
  <c r="V452" i="34"/>
  <c r="W452" i="34"/>
  <c r="X452" i="34"/>
  <c r="Y452" i="34"/>
  <c r="N453" i="34"/>
  <c r="C453" i="34"/>
  <c r="B453" i="34"/>
  <c r="O453" i="34"/>
  <c r="P453" i="34"/>
  <c r="Q453" i="34"/>
  <c r="R453" i="34"/>
  <c r="S453" i="34"/>
  <c r="T453" i="34"/>
  <c r="U453" i="34"/>
  <c r="V453" i="34"/>
  <c r="W453" i="34"/>
  <c r="X453" i="34"/>
  <c r="Y453" i="34"/>
  <c r="N454" i="34"/>
  <c r="C454" i="34"/>
  <c r="B454" i="34"/>
  <c r="O454" i="34"/>
  <c r="P454" i="34"/>
  <c r="Q454" i="34"/>
  <c r="R454" i="34"/>
  <c r="S454" i="34"/>
  <c r="T454" i="34"/>
  <c r="U454" i="34"/>
  <c r="V454" i="34"/>
  <c r="W454" i="34"/>
  <c r="X454" i="34"/>
  <c r="Y454" i="34"/>
  <c r="N455" i="34"/>
  <c r="C455" i="34"/>
  <c r="B455" i="34"/>
  <c r="O455" i="34"/>
  <c r="P455" i="34"/>
  <c r="Q455" i="34"/>
  <c r="R455" i="34"/>
  <c r="S455" i="34"/>
  <c r="T455" i="34"/>
  <c r="U455" i="34"/>
  <c r="V455" i="34"/>
  <c r="W455" i="34"/>
  <c r="X455" i="34"/>
  <c r="Y455" i="34"/>
  <c r="N456" i="34"/>
  <c r="C456" i="34"/>
  <c r="B456" i="34"/>
  <c r="O456" i="34"/>
  <c r="P456" i="34"/>
  <c r="Q456" i="34"/>
  <c r="R456" i="34"/>
  <c r="S456" i="34"/>
  <c r="T456" i="34"/>
  <c r="U456" i="34"/>
  <c r="V456" i="34"/>
  <c r="W456" i="34"/>
  <c r="X456" i="34"/>
  <c r="Y456" i="34"/>
  <c r="N457" i="34"/>
  <c r="C457" i="34"/>
  <c r="B457" i="34"/>
  <c r="O457" i="34"/>
  <c r="P457" i="34"/>
  <c r="Q457" i="34"/>
  <c r="R457" i="34"/>
  <c r="S457" i="34"/>
  <c r="T457" i="34"/>
  <c r="U457" i="34"/>
  <c r="V457" i="34"/>
  <c r="W457" i="34"/>
  <c r="X457" i="34"/>
  <c r="Y457" i="34"/>
  <c r="N458" i="34"/>
  <c r="C458" i="34"/>
  <c r="B458" i="34"/>
  <c r="O458" i="34"/>
  <c r="P458" i="34"/>
  <c r="Q458" i="34"/>
  <c r="R458" i="34"/>
  <c r="S458" i="34"/>
  <c r="T458" i="34"/>
  <c r="U458" i="34"/>
  <c r="V458" i="34"/>
  <c r="W458" i="34"/>
  <c r="X458" i="34"/>
  <c r="Y458" i="34"/>
  <c r="N459" i="34"/>
  <c r="C459" i="34"/>
  <c r="B459" i="34"/>
  <c r="O459" i="34"/>
  <c r="P459" i="34"/>
  <c r="Q459" i="34"/>
  <c r="R459" i="34"/>
  <c r="S459" i="34"/>
  <c r="T459" i="34"/>
  <c r="U459" i="34"/>
  <c r="V459" i="34"/>
  <c r="W459" i="34"/>
  <c r="X459" i="34"/>
  <c r="Y459" i="34"/>
  <c r="N460" i="34"/>
  <c r="C460" i="34"/>
  <c r="B460" i="34"/>
  <c r="O460" i="34"/>
  <c r="P460" i="34"/>
  <c r="Q460" i="34"/>
  <c r="R460" i="34"/>
  <c r="S460" i="34"/>
  <c r="T460" i="34"/>
  <c r="U460" i="34"/>
  <c r="V460" i="34"/>
  <c r="W460" i="34"/>
  <c r="X460" i="34"/>
  <c r="Y460" i="34"/>
  <c r="N461" i="34"/>
  <c r="C461" i="34"/>
  <c r="B461" i="34"/>
  <c r="O461" i="34"/>
  <c r="P461" i="34"/>
  <c r="Q461" i="34"/>
  <c r="R461" i="34"/>
  <c r="S461" i="34"/>
  <c r="T461" i="34"/>
  <c r="U461" i="34"/>
  <c r="V461" i="34"/>
  <c r="W461" i="34"/>
  <c r="X461" i="34"/>
  <c r="Y461" i="34"/>
  <c r="N462" i="34"/>
  <c r="C462" i="34"/>
  <c r="B462" i="34"/>
  <c r="O462" i="34"/>
  <c r="P462" i="34"/>
  <c r="Q462" i="34"/>
  <c r="R462" i="34"/>
  <c r="S462" i="34"/>
  <c r="T462" i="34"/>
  <c r="U462" i="34"/>
  <c r="V462" i="34"/>
  <c r="W462" i="34"/>
  <c r="X462" i="34"/>
  <c r="Y462" i="34"/>
  <c r="N463" i="34"/>
  <c r="C463" i="34"/>
  <c r="B463" i="34"/>
  <c r="O463" i="34"/>
  <c r="P463" i="34"/>
  <c r="Q463" i="34"/>
  <c r="R463" i="34"/>
  <c r="S463" i="34"/>
  <c r="T463" i="34"/>
  <c r="U463" i="34"/>
  <c r="V463" i="34"/>
  <c r="W463" i="34"/>
  <c r="X463" i="34"/>
  <c r="Y463" i="34"/>
  <c r="N464" i="34"/>
  <c r="C464" i="34"/>
  <c r="B464" i="34"/>
  <c r="O464" i="34"/>
  <c r="P464" i="34"/>
  <c r="Q464" i="34"/>
  <c r="R464" i="34"/>
  <c r="S464" i="34"/>
  <c r="T464" i="34"/>
  <c r="U464" i="34"/>
  <c r="V464" i="34"/>
  <c r="W464" i="34"/>
  <c r="X464" i="34"/>
  <c r="Y464" i="34"/>
  <c r="N465" i="34"/>
  <c r="C465" i="34"/>
  <c r="B465" i="34"/>
  <c r="O465" i="34"/>
  <c r="P465" i="34"/>
  <c r="Q465" i="34"/>
  <c r="R465" i="34"/>
  <c r="S465" i="34"/>
  <c r="T465" i="34"/>
  <c r="U465" i="34"/>
  <c r="V465" i="34"/>
  <c r="W465" i="34"/>
  <c r="X465" i="34"/>
  <c r="Y465" i="34"/>
  <c r="N466" i="34"/>
  <c r="C466" i="34"/>
  <c r="B466" i="34"/>
  <c r="O466" i="34"/>
  <c r="P466" i="34"/>
  <c r="Q466" i="34"/>
  <c r="R466" i="34"/>
  <c r="S466" i="34"/>
  <c r="T466" i="34"/>
  <c r="U466" i="34"/>
  <c r="V466" i="34"/>
  <c r="W466" i="34"/>
  <c r="X466" i="34"/>
  <c r="Y466" i="34"/>
  <c r="N467" i="34"/>
  <c r="C467" i="34"/>
  <c r="B467" i="34"/>
  <c r="O467" i="34"/>
  <c r="P467" i="34"/>
  <c r="Q467" i="34"/>
  <c r="R467" i="34"/>
  <c r="S467" i="34"/>
  <c r="T467" i="34"/>
  <c r="U467" i="34"/>
  <c r="V467" i="34"/>
  <c r="W467" i="34"/>
  <c r="X467" i="34"/>
  <c r="Y467" i="34"/>
  <c r="N468" i="34"/>
  <c r="C468" i="34"/>
  <c r="B468" i="34"/>
  <c r="O468" i="34"/>
  <c r="P468" i="34"/>
  <c r="Q468" i="34"/>
  <c r="R468" i="34"/>
  <c r="S468" i="34"/>
  <c r="T468" i="34"/>
  <c r="U468" i="34"/>
  <c r="V468" i="34"/>
  <c r="W468" i="34"/>
  <c r="X468" i="34"/>
  <c r="Y468" i="34"/>
  <c r="N469" i="34"/>
  <c r="C469" i="34"/>
  <c r="B469" i="34"/>
  <c r="O469" i="34"/>
  <c r="P469" i="34"/>
  <c r="Q469" i="34"/>
  <c r="R469" i="34"/>
  <c r="S469" i="34"/>
  <c r="T469" i="34"/>
  <c r="U469" i="34"/>
  <c r="V469" i="34"/>
  <c r="W469" i="34"/>
  <c r="X469" i="34"/>
  <c r="Y469" i="34"/>
  <c r="N470" i="34"/>
  <c r="C470" i="34"/>
  <c r="B470" i="34"/>
  <c r="O470" i="34"/>
  <c r="P470" i="34"/>
  <c r="Q470" i="34"/>
  <c r="R470" i="34"/>
  <c r="S470" i="34"/>
  <c r="T470" i="34"/>
  <c r="U470" i="34"/>
  <c r="V470" i="34"/>
  <c r="W470" i="34"/>
  <c r="X470" i="34"/>
  <c r="Y470" i="34"/>
  <c r="N471" i="34"/>
  <c r="C471" i="34"/>
  <c r="B471" i="34"/>
  <c r="O471" i="34"/>
  <c r="P471" i="34"/>
  <c r="Q471" i="34"/>
  <c r="R471" i="34"/>
  <c r="S471" i="34"/>
  <c r="T471" i="34"/>
  <c r="U471" i="34"/>
  <c r="V471" i="34"/>
  <c r="W471" i="34"/>
  <c r="X471" i="34"/>
  <c r="Y471" i="34"/>
  <c r="N472" i="34"/>
  <c r="C472" i="34"/>
  <c r="B472" i="34"/>
  <c r="O472" i="34"/>
  <c r="P472" i="34"/>
  <c r="Q472" i="34"/>
  <c r="R472" i="34"/>
  <c r="S472" i="34"/>
  <c r="T472" i="34"/>
  <c r="U472" i="34"/>
  <c r="V472" i="34"/>
  <c r="W472" i="34"/>
  <c r="X472" i="34"/>
  <c r="Y472" i="34"/>
  <c r="N473" i="34"/>
  <c r="C473" i="34"/>
  <c r="B473" i="34"/>
  <c r="O473" i="34"/>
  <c r="P473" i="34"/>
  <c r="Q473" i="34"/>
  <c r="R473" i="34"/>
  <c r="S473" i="34"/>
  <c r="T473" i="34"/>
  <c r="U473" i="34"/>
  <c r="V473" i="34"/>
  <c r="W473" i="34"/>
  <c r="X473" i="34"/>
  <c r="Y473" i="34"/>
  <c r="N474" i="34"/>
  <c r="C474" i="34"/>
  <c r="B474" i="34"/>
  <c r="O474" i="34"/>
  <c r="P474" i="34"/>
  <c r="Q474" i="34"/>
  <c r="R474" i="34"/>
  <c r="S474" i="34"/>
  <c r="T474" i="34"/>
  <c r="U474" i="34"/>
  <c r="V474" i="34"/>
  <c r="W474" i="34"/>
  <c r="X474" i="34"/>
  <c r="Y474" i="34"/>
  <c r="N475" i="34"/>
  <c r="C475" i="34"/>
  <c r="B475" i="34"/>
  <c r="O475" i="34"/>
  <c r="P475" i="34"/>
  <c r="Q475" i="34"/>
  <c r="R475" i="34"/>
  <c r="S475" i="34"/>
  <c r="T475" i="34"/>
  <c r="U475" i="34"/>
  <c r="V475" i="34"/>
  <c r="W475" i="34"/>
  <c r="X475" i="34"/>
  <c r="Y475" i="34"/>
  <c r="N476" i="34"/>
  <c r="C476" i="34"/>
  <c r="B476" i="34"/>
  <c r="O476" i="34"/>
  <c r="P476" i="34"/>
  <c r="Q476" i="34"/>
  <c r="R476" i="34"/>
  <c r="S476" i="34"/>
  <c r="T476" i="34"/>
  <c r="U476" i="34"/>
  <c r="V476" i="34"/>
  <c r="W476" i="34"/>
  <c r="X476" i="34"/>
  <c r="Y476" i="34"/>
  <c r="N477" i="34"/>
  <c r="C477" i="34"/>
  <c r="B477" i="34"/>
  <c r="O477" i="34"/>
  <c r="P477" i="34"/>
  <c r="Q477" i="34"/>
  <c r="R477" i="34"/>
  <c r="S477" i="34"/>
  <c r="T477" i="34"/>
  <c r="U477" i="34"/>
  <c r="V477" i="34"/>
  <c r="W477" i="34"/>
  <c r="X477" i="34"/>
  <c r="Y477" i="34"/>
  <c r="N478" i="34"/>
  <c r="C478" i="34"/>
  <c r="B478" i="34"/>
  <c r="O478" i="34"/>
  <c r="P478" i="34"/>
  <c r="Q478" i="34"/>
  <c r="R478" i="34"/>
  <c r="S478" i="34"/>
  <c r="T478" i="34"/>
  <c r="U478" i="34"/>
  <c r="V478" i="34"/>
  <c r="W478" i="34"/>
  <c r="X478" i="34"/>
  <c r="Y478" i="34"/>
  <c r="N479" i="34"/>
  <c r="C479" i="34"/>
  <c r="B479" i="34"/>
  <c r="O479" i="34"/>
  <c r="P479" i="34"/>
  <c r="Q479" i="34"/>
  <c r="R479" i="34"/>
  <c r="S479" i="34"/>
  <c r="T479" i="34"/>
  <c r="U479" i="34"/>
  <c r="V479" i="34"/>
  <c r="W479" i="34"/>
  <c r="X479" i="34"/>
  <c r="Y479" i="34"/>
  <c r="N480" i="34"/>
  <c r="C480" i="34"/>
  <c r="B480" i="34"/>
  <c r="O480" i="34"/>
  <c r="P480" i="34"/>
  <c r="Q480" i="34"/>
  <c r="R480" i="34"/>
  <c r="S480" i="34"/>
  <c r="T480" i="34"/>
  <c r="U480" i="34"/>
  <c r="V480" i="34"/>
  <c r="W480" i="34"/>
  <c r="X480" i="34"/>
  <c r="Y480" i="34"/>
  <c r="N481" i="34"/>
  <c r="C481" i="34"/>
  <c r="B481" i="34"/>
  <c r="O481" i="34"/>
  <c r="P481" i="34"/>
  <c r="Q481" i="34"/>
  <c r="R481" i="34"/>
  <c r="S481" i="34"/>
  <c r="T481" i="34"/>
  <c r="U481" i="34"/>
  <c r="V481" i="34"/>
  <c r="W481" i="34"/>
  <c r="X481" i="34"/>
  <c r="Y481" i="34"/>
  <c r="N482" i="34"/>
  <c r="C482" i="34"/>
  <c r="B482" i="34"/>
  <c r="O482" i="34"/>
  <c r="P482" i="34"/>
  <c r="Q482" i="34"/>
  <c r="R482" i="34"/>
  <c r="S482" i="34"/>
  <c r="T482" i="34"/>
  <c r="U482" i="34"/>
  <c r="V482" i="34"/>
  <c r="W482" i="34"/>
  <c r="X482" i="34"/>
  <c r="Y482" i="34"/>
  <c r="N483" i="34"/>
  <c r="C483" i="34"/>
  <c r="B483" i="34"/>
  <c r="O483" i="34"/>
  <c r="P483" i="34"/>
  <c r="Q483" i="34"/>
  <c r="R483" i="34"/>
  <c r="S483" i="34"/>
  <c r="T483" i="34"/>
  <c r="U483" i="34"/>
  <c r="V483" i="34"/>
  <c r="W483" i="34"/>
  <c r="X483" i="34"/>
  <c r="Y483" i="34"/>
  <c r="N484" i="34"/>
  <c r="C484" i="34"/>
  <c r="B484" i="34"/>
  <c r="O484" i="34"/>
  <c r="P484" i="34"/>
  <c r="Q484" i="34"/>
  <c r="R484" i="34"/>
  <c r="S484" i="34"/>
  <c r="T484" i="34"/>
  <c r="U484" i="34"/>
  <c r="V484" i="34"/>
  <c r="W484" i="34"/>
  <c r="X484" i="34"/>
  <c r="Y484" i="34"/>
  <c r="N485" i="34"/>
  <c r="C485" i="34"/>
  <c r="B485" i="34"/>
  <c r="O485" i="34"/>
  <c r="P485" i="34"/>
  <c r="Q485" i="34"/>
  <c r="R485" i="34"/>
  <c r="S485" i="34"/>
  <c r="T485" i="34"/>
  <c r="U485" i="34"/>
  <c r="V485" i="34"/>
  <c r="W485" i="34"/>
  <c r="X485" i="34"/>
  <c r="Y485" i="34"/>
  <c r="N486" i="34"/>
  <c r="C486" i="34"/>
  <c r="B486" i="34"/>
  <c r="O486" i="34"/>
  <c r="P486" i="34"/>
  <c r="Q486" i="34"/>
  <c r="R486" i="34"/>
  <c r="S486" i="34"/>
  <c r="T486" i="34"/>
  <c r="U486" i="34"/>
  <c r="V486" i="34"/>
  <c r="W486" i="34"/>
  <c r="X486" i="34"/>
  <c r="Y486" i="34"/>
  <c r="N487" i="34"/>
  <c r="C487" i="34"/>
  <c r="B487" i="34"/>
  <c r="O487" i="34"/>
  <c r="P487" i="34"/>
  <c r="Q487" i="34"/>
  <c r="R487" i="34"/>
  <c r="S487" i="34"/>
  <c r="T487" i="34"/>
  <c r="U487" i="34"/>
  <c r="V487" i="34"/>
  <c r="W487" i="34"/>
  <c r="X487" i="34"/>
  <c r="Y487" i="34"/>
  <c r="N488" i="34"/>
  <c r="C488" i="34"/>
  <c r="B488" i="34"/>
  <c r="O488" i="34"/>
  <c r="P488" i="34"/>
  <c r="Q488" i="34"/>
  <c r="R488" i="34"/>
  <c r="S488" i="34"/>
  <c r="T488" i="34"/>
  <c r="U488" i="34"/>
  <c r="V488" i="34"/>
  <c r="W488" i="34"/>
  <c r="X488" i="34"/>
  <c r="Y488" i="34"/>
  <c r="N489" i="34"/>
  <c r="C489" i="34"/>
  <c r="B489" i="34"/>
  <c r="O489" i="34"/>
  <c r="P489" i="34"/>
  <c r="Q489" i="34"/>
  <c r="R489" i="34"/>
  <c r="S489" i="34"/>
  <c r="T489" i="34"/>
  <c r="U489" i="34"/>
  <c r="V489" i="34"/>
  <c r="W489" i="34"/>
  <c r="X489" i="34"/>
  <c r="Y489" i="34"/>
  <c r="N490" i="34"/>
  <c r="C490" i="34"/>
  <c r="B490" i="34"/>
  <c r="O490" i="34"/>
  <c r="P490" i="34"/>
  <c r="Q490" i="34"/>
  <c r="R490" i="34"/>
  <c r="S490" i="34"/>
  <c r="T490" i="34"/>
  <c r="U490" i="34"/>
  <c r="V490" i="34"/>
  <c r="W490" i="34"/>
  <c r="X490" i="34"/>
  <c r="Y490" i="34"/>
  <c r="N491" i="34"/>
  <c r="C491" i="34"/>
  <c r="B491" i="34"/>
  <c r="O491" i="34"/>
  <c r="P491" i="34"/>
  <c r="Q491" i="34"/>
  <c r="R491" i="34"/>
  <c r="S491" i="34"/>
  <c r="T491" i="34"/>
  <c r="U491" i="34"/>
  <c r="V491" i="34"/>
  <c r="W491" i="34"/>
  <c r="X491" i="34"/>
  <c r="Y491" i="34"/>
  <c r="N492" i="34"/>
  <c r="C492" i="34"/>
  <c r="B492" i="34"/>
  <c r="O492" i="34"/>
  <c r="P492" i="34"/>
  <c r="Q492" i="34"/>
  <c r="R492" i="34"/>
  <c r="S492" i="34"/>
  <c r="T492" i="34"/>
  <c r="U492" i="34"/>
  <c r="V492" i="34"/>
  <c r="W492" i="34"/>
  <c r="X492" i="34"/>
  <c r="Y492" i="34"/>
  <c r="N493" i="34"/>
  <c r="C493" i="34"/>
  <c r="B493" i="34"/>
  <c r="O493" i="34"/>
  <c r="P493" i="34"/>
  <c r="Q493" i="34"/>
  <c r="R493" i="34"/>
  <c r="S493" i="34"/>
  <c r="T493" i="34"/>
  <c r="U493" i="34"/>
  <c r="V493" i="34"/>
  <c r="W493" i="34"/>
  <c r="X493" i="34"/>
  <c r="Y493" i="34"/>
  <c r="N494" i="34"/>
  <c r="C494" i="34"/>
  <c r="B494" i="34"/>
  <c r="O494" i="34"/>
  <c r="P494" i="34"/>
  <c r="Q494" i="34"/>
  <c r="R494" i="34"/>
  <c r="S494" i="34"/>
  <c r="T494" i="34"/>
  <c r="U494" i="34"/>
  <c r="V494" i="34"/>
  <c r="W494" i="34"/>
  <c r="X494" i="34"/>
  <c r="Y494" i="34"/>
  <c r="N495" i="34"/>
  <c r="C495" i="34"/>
  <c r="B495" i="34"/>
  <c r="O495" i="34"/>
  <c r="P495" i="34"/>
  <c r="Q495" i="34"/>
  <c r="R495" i="34"/>
  <c r="S495" i="34"/>
  <c r="T495" i="34"/>
  <c r="U495" i="34"/>
  <c r="V495" i="34"/>
  <c r="W495" i="34"/>
  <c r="X495" i="34"/>
  <c r="Y495" i="34"/>
  <c r="N496" i="34"/>
  <c r="C496" i="34"/>
  <c r="B496" i="34"/>
  <c r="O496" i="34"/>
  <c r="P496" i="34"/>
  <c r="Q496" i="34"/>
  <c r="R496" i="34"/>
  <c r="S496" i="34"/>
  <c r="T496" i="34"/>
  <c r="U496" i="34"/>
  <c r="V496" i="34"/>
  <c r="W496" i="34"/>
  <c r="X496" i="34"/>
  <c r="Y496" i="34"/>
  <c r="N497" i="34"/>
  <c r="C497" i="34"/>
  <c r="B497" i="34"/>
  <c r="O497" i="34"/>
  <c r="P497" i="34"/>
  <c r="Q497" i="34"/>
  <c r="R497" i="34"/>
  <c r="S497" i="34"/>
  <c r="T497" i="34"/>
  <c r="U497" i="34"/>
  <c r="V497" i="34"/>
  <c r="W497" i="34"/>
  <c r="X497" i="34"/>
  <c r="Y497" i="34"/>
  <c r="N498" i="34"/>
  <c r="C498" i="34"/>
  <c r="B498" i="34"/>
  <c r="O498" i="34"/>
  <c r="P498" i="34"/>
  <c r="Q498" i="34"/>
  <c r="R498" i="34"/>
  <c r="S498" i="34"/>
  <c r="T498" i="34"/>
  <c r="U498" i="34"/>
  <c r="V498" i="34"/>
  <c r="W498" i="34"/>
  <c r="X498" i="34"/>
  <c r="Y498" i="34"/>
  <c r="N499" i="34"/>
  <c r="C499" i="34"/>
  <c r="B499" i="34"/>
  <c r="O499" i="34"/>
  <c r="P499" i="34"/>
  <c r="Q499" i="34"/>
  <c r="R499" i="34"/>
  <c r="S499" i="34"/>
  <c r="T499" i="34"/>
  <c r="U499" i="34"/>
  <c r="V499" i="34"/>
  <c r="W499" i="34"/>
  <c r="X499" i="34"/>
  <c r="Y499" i="34"/>
  <c r="N500" i="34"/>
  <c r="C500" i="34"/>
  <c r="B500" i="34"/>
  <c r="O500" i="34"/>
  <c r="P500" i="34"/>
  <c r="Q500" i="34"/>
  <c r="R500" i="34"/>
  <c r="S500" i="34"/>
  <c r="T500" i="34"/>
  <c r="U500" i="34"/>
  <c r="V500" i="34"/>
  <c r="W500" i="34"/>
  <c r="X500" i="34"/>
  <c r="Y500" i="34"/>
  <c r="N501" i="34"/>
  <c r="C501" i="34"/>
  <c r="B501" i="34"/>
  <c r="O501" i="34"/>
  <c r="P501" i="34"/>
  <c r="Q501" i="34"/>
  <c r="R501" i="34"/>
  <c r="S501" i="34"/>
  <c r="T501" i="34"/>
  <c r="U501" i="34"/>
  <c r="V501" i="34"/>
  <c r="W501" i="34"/>
  <c r="X501" i="34"/>
  <c r="Y501" i="34"/>
  <c r="N502" i="34"/>
  <c r="C502" i="34"/>
  <c r="B502" i="34"/>
  <c r="O502" i="34"/>
  <c r="P502" i="34"/>
  <c r="Q502" i="34"/>
  <c r="R502" i="34"/>
  <c r="S502" i="34"/>
  <c r="T502" i="34"/>
  <c r="U502" i="34"/>
  <c r="V502" i="34"/>
  <c r="F502" i="34"/>
  <c r="W502" i="34"/>
  <c r="X502" i="34"/>
  <c r="Y502" i="34"/>
  <c r="N503" i="34"/>
  <c r="C503" i="34"/>
  <c r="B503" i="34"/>
  <c r="O503" i="34"/>
  <c r="P503" i="34"/>
  <c r="Q503" i="34"/>
  <c r="R503" i="34"/>
  <c r="S503" i="34"/>
  <c r="T503" i="34"/>
  <c r="U503" i="34"/>
  <c r="V503" i="34"/>
  <c r="W503" i="34"/>
  <c r="X503" i="34"/>
  <c r="Y503" i="34"/>
  <c r="N504" i="34"/>
  <c r="C504" i="34"/>
  <c r="B504" i="34"/>
  <c r="O504" i="34"/>
  <c r="P504" i="34"/>
  <c r="Q504" i="34"/>
  <c r="R504" i="34"/>
  <c r="S504" i="34"/>
  <c r="T504" i="34"/>
  <c r="U504" i="34"/>
  <c r="V504" i="34"/>
  <c r="W504" i="34"/>
  <c r="X504" i="34"/>
  <c r="Y504" i="34"/>
  <c r="N505" i="34"/>
  <c r="B505" i="34"/>
  <c r="O505" i="34"/>
  <c r="P505" i="34"/>
  <c r="Q505" i="34"/>
  <c r="R505" i="34"/>
  <c r="S505" i="34"/>
  <c r="T505" i="34"/>
  <c r="U505" i="34"/>
  <c r="V505" i="34"/>
  <c r="W505" i="34"/>
  <c r="X505" i="34"/>
  <c r="Y505" i="34"/>
  <c r="N506" i="34"/>
  <c r="B506" i="34"/>
  <c r="O506" i="34"/>
  <c r="P506" i="34"/>
  <c r="Q506" i="34"/>
  <c r="R506" i="34"/>
  <c r="S506" i="34"/>
  <c r="T506" i="34"/>
  <c r="U506" i="34"/>
  <c r="V506" i="34"/>
  <c r="W506" i="34"/>
  <c r="X506" i="34"/>
  <c r="Y506" i="34"/>
  <c r="N507" i="34"/>
  <c r="B507" i="34"/>
  <c r="O507" i="34"/>
  <c r="P507" i="34"/>
  <c r="Q507" i="34"/>
  <c r="R507" i="34"/>
  <c r="S507" i="34"/>
  <c r="T507" i="34"/>
  <c r="U507" i="34"/>
  <c r="V507" i="34"/>
  <c r="W507" i="34"/>
  <c r="X507" i="34"/>
  <c r="Y507" i="34"/>
  <c r="N508" i="34"/>
  <c r="B508" i="34"/>
  <c r="O508" i="34"/>
  <c r="P508" i="34"/>
  <c r="Q508" i="34"/>
  <c r="R508" i="34"/>
  <c r="S508" i="34"/>
  <c r="T508" i="34"/>
  <c r="U508" i="34"/>
  <c r="V508" i="34"/>
  <c r="W508" i="34"/>
  <c r="X508" i="34"/>
  <c r="Y508" i="34"/>
  <c r="N509" i="34"/>
  <c r="B509" i="34"/>
  <c r="O509" i="34"/>
  <c r="P509" i="34"/>
  <c r="Q509" i="34"/>
  <c r="R509" i="34"/>
  <c r="S509" i="34"/>
  <c r="T509" i="34"/>
  <c r="U509" i="34"/>
  <c r="V509" i="34"/>
  <c r="W509" i="34"/>
  <c r="X509" i="34"/>
  <c r="Y509" i="34"/>
  <c r="N510" i="34"/>
  <c r="B510" i="34"/>
  <c r="O510" i="34"/>
  <c r="P510" i="34"/>
  <c r="Q510" i="34"/>
  <c r="R510" i="34"/>
  <c r="S510" i="34"/>
  <c r="T510" i="34"/>
  <c r="U510" i="34"/>
  <c r="V510" i="34"/>
  <c r="W510" i="34"/>
  <c r="X510" i="34"/>
  <c r="Y510" i="34"/>
  <c r="N511" i="34"/>
  <c r="B511" i="34"/>
  <c r="O511" i="34"/>
  <c r="P511" i="34"/>
  <c r="Q511" i="34"/>
  <c r="R511" i="34"/>
  <c r="S511" i="34"/>
  <c r="T511" i="34"/>
  <c r="U511" i="34"/>
  <c r="V511" i="34"/>
  <c r="W511" i="34"/>
  <c r="X511" i="34"/>
  <c r="Y511" i="34"/>
  <c r="N512" i="34"/>
  <c r="B512" i="34"/>
  <c r="O512" i="34"/>
  <c r="P512" i="34"/>
  <c r="Q512" i="34"/>
  <c r="R512" i="34"/>
  <c r="S512" i="34"/>
  <c r="T512" i="34"/>
  <c r="U512" i="34"/>
  <c r="V512" i="34"/>
  <c r="W512" i="34"/>
  <c r="X512" i="34"/>
  <c r="Y512" i="34"/>
  <c r="N513" i="34"/>
  <c r="B513" i="34"/>
  <c r="O513" i="34"/>
  <c r="P513" i="34"/>
  <c r="Q513" i="34"/>
  <c r="R513" i="34"/>
  <c r="S513" i="34"/>
  <c r="T513" i="34"/>
  <c r="U513" i="34"/>
  <c r="V513" i="34"/>
  <c r="W513" i="34"/>
  <c r="X513" i="34"/>
  <c r="Y513" i="34"/>
  <c r="N514" i="34"/>
  <c r="B514" i="34"/>
  <c r="O514" i="34"/>
  <c r="P514" i="34"/>
  <c r="Q514" i="34"/>
  <c r="R514" i="34"/>
  <c r="S514" i="34"/>
  <c r="T514" i="34"/>
  <c r="U514" i="34"/>
  <c r="V514" i="34"/>
  <c r="W514" i="34"/>
  <c r="X514" i="34"/>
  <c r="Y514" i="34"/>
  <c r="N515" i="34"/>
  <c r="C515" i="34"/>
  <c r="B515" i="34"/>
  <c r="O515" i="34"/>
  <c r="P515" i="34"/>
  <c r="Q515" i="34"/>
  <c r="R515" i="34"/>
  <c r="S515" i="34"/>
  <c r="T515" i="34"/>
  <c r="U515" i="34"/>
  <c r="V515" i="34"/>
  <c r="W515" i="34"/>
  <c r="X515" i="34"/>
  <c r="Y515" i="34"/>
  <c r="N516" i="34"/>
  <c r="C516" i="34"/>
  <c r="B516" i="34"/>
  <c r="O516" i="34"/>
  <c r="P516" i="34"/>
  <c r="Q516" i="34"/>
  <c r="R516" i="34"/>
  <c r="S516" i="34"/>
  <c r="T516" i="34"/>
  <c r="U516" i="34"/>
  <c r="V516" i="34"/>
  <c r="W516" i="34"/>
  <c r="X516" i="34"/>
  <c r="Y516" i="34"/>
  <c r="N517" i="34"/>
  <c r="C517" i="34"/>
  <c r="B517" i="34"/>
  <c r="O517" i="34"/>
  <c r="P517" i="34"/>
  <c r="Q517" i="34"/>
  <c r="R517" i="34"/>
  <c r="S517" i="34"/>
  <c r="T517" i="34"/>
  <c r="U517" i="34"/>
  <c r="V517" i="34"/>
  <c r="W517" i="34"/>
  <c r="X517" i="34"/>
  <c r="Y517" i="34"/>
  <c r="N518" i="34"/>
  <c r="B518" i="34"/>
  <c r="O518" i="34"/>
  <c r="P518" i="34"/>
  <c r="Q518" i="34"/>
  <c r="R518" i="34"/>
  <c r="S518" i="34"/>
  <c r="T518" i="34"/>
  <c r="U518" i="34"/>
  <c r="V518" i="34"/>
  <c r="W518" i="34"/>
  <c r="X518" i="34"/>
  <c r="Y518" i="34"/>
  <c r="N519" i="34"/>
  <c r="B519" i="34"/>
  <c r="O519" i="34"/>
  <c r="P519" i="34"/>
  <c r="Q519" i="34"/>
  <c r="R519" i="34"/>
  <c r="S519" i="34"/>
  <c r="T519" i="34"/>
  <c r="U519" i="34"/>
  <c r="V519" i="34"/>
  <c r="W519" i="34"/>
  <c r="X519" i="34"/>
  <c r="Y519" i="34"/>
  <c r="N520" i="34"/>
  <c r="B520" i="34"/>
  <c r="O520" i="34"/>
  <c r="P520" i="34"/>
  <c r="Q520" i="34"/>
  <c r="R520" i="34"/>
  <c r="S520" i="34"/>
  <c r="T520" i="34"/>
  <c r="U520" i="34"/>
  <c r="V520" i="34"/>
  <c r="W520" i="34"/>
  <c r="X520" i="34"/>
  <c r="Y520" i="34"/>
  <c r="N521" i="34"/>
  <c r="B521" i="34"/>
  <c r="O521" i="34"/>
  <c r="P521" i="34"/>
  <c r="Q521" i="34"/>
  <c r="R521" i="34"/>
  <c r="S521" i="34"/>
  <c r="T521" i="34"/>
  <c r="U521" i="34"/>
  <c r="V521" i="34"/>
  <c r="W521" i="34"/>
  <c r="X521" i="34"/>
  <c r="Y521" i="34"/>
  <c r="N522" i="34"/>
  <c r="B522" i="34"/>
  <c r="O522" i="34"/>
  <c r="P522" i="34"/>
  <c r="Q522" i="34"/>
  <c r="R522" i="34"/>
  <c r="S522" i="34"/>
  <c r="T522" i="34"/>
  <c r="U522" i="34"/>
  <c r="V522" i="34"/>
  <c r="W522" i="34"/>
  <c r="X522" i="34"/>
  <c r="Y522" i="34"/>
  <c r="N523" i="34"/>
  <c r="B523" i="34"/>
  <c r="O523" i="34"/>
  <c r="P523" i="34"/>
  <c r="Q523" i="34"/>
  <c r="R523" i="34"/>
  <c r="S523" i="34"/>
  <c r="T523" i="34"/>
  <c r="U523" i="34"/>
  <c r="V523" i="34"/>
  <c r="W523" i="34"/>
  <c r="X523" i="34"/>
  <c r="Y523" i="34"/>
  <c r="N524" i="34"/>
  <c r="C524" i="34"/>
  <c r="B524" i="34"/>
  <c r="O524" i="34"/>
  <c r="P524" i="34"/>
  <c r="Q524" i="34"/>
  <c r="R524" i="34"/>
  <c r="S524" i="34"/>
  <c r="T524" i="34"/>
  <c r="U524" i="34"/>
  <c r="V524" i="34"/>
  <c r="W524" i="34"/>
  <c r="X524" i="34"/>
  <c r="Y524" i="34"/>
  <c r="N525" i="34"/>
  <c r="C525" i="34"/>
  <c r="B525" i="34"/>
  <c r="O525" i="34"/>
  <c r="P525" i="34"/>
  <c r="Q525" i="34"/>
  <c r="R525" i="34"/>
  <c r="S525" i="34"/>
  <c r="T525" i="34"/>
  <c r="U525" i="34"/>
  <c r="V525" i="34"/>
  <c r="W525" i="34"/>
  <c r="X525" i="34"/>
  <c r="Y525" i="34"/>
  <c r="N526" i="34"/>
  <c r="C526" i="34"/>
  <c r="B526" i="34"/>
  <c r="O526" i="34"/>
  <c r="P526" i="34"/>
  <c r="Q526" i="34"/>
  <c r="R526" i="34"/>
  <c r="S526" i="34"/>
  <c r="T526" i="34"/>
  <c r="U526" i="34"/>
  <c r="V526" i="34"/>
  <c r="W526" i="34"/>
  <c r="X526" i="34"/>
  <c r="Y526" i="34"/>
  <c r="N527" i="34"/>
  <c r="C527" i="34"/>
  <c r="B527" i="34"/>
  <c r="O527" i="34"/>
  <c r="P527" i="34"/>
  <c r="Q527" i="34"/>
  <c r="R527" i="34"/>
  <c r="S527" i="34"/>
  <c r="T527" i="34"/>
  <c r="U527" i="34"/>
  <c r="V527" i="34"/>
  <c r="W527" i="34"/>
  <c r="X527" i="34"/>
  <c r="Y527" i="34"/>
  <c r="N528" i="34"/>
  <c r="C528" i="34"/>
  <c r="B528" i="34"/>
  <c r="O528" i="34"/>
  <c r="P528" i="34"/>
  <c r="Q528" i="34"/>
  <c r="R528" i="34"/>
  <c r="S528" i="34"/>
  <c r="T528" i="34"/>
  <c r="U528" i="34"/>
  <c r="V528" i="34"/>
  <c r="W528" i="34"/>
  <c r="X528" i="34"/>
  <c r="Y528" i="34"/>
  <c r="N529" i="34"/>
  <c r="C529" i="34"/>
  <c r="B529" i="34"/>
  <c r="O529" i="34"/>
  <c r="P529" i="34"/>
  <c r="Q529" i="34"/>
  <c r="R529" i="34"/>
  <c r="S529" i="34"/>
  <c r="T529" i="34"/>
  <c r="U529" i="34"/>
  <c r="V529" i="34"/>
  <c r="W529" i="34"/>
  <c r="X529" i="34"/>
  <c r="Y529" i="34"/>
  <c r="N530" i="34"/>
  <c r="C530" i="34"/>
  <c r="B530" i="34"/>
  <c r="O530" i="34"/>
  <c r="P530" i="34"/>
  <c r="Q530" i="34"/>
  <c r="R530" i="34"/>
  <c r="S530" i="34"/>
  <c r="T530" i="34"/>
  <c r="U530" i="34"/>
  <c r="V530" i="34"/>
  <c r="W530" i="34"/>
  <c r="X530" i="34"/>
  <c r="Y530" i="34"/>
  <c r="N531" i="34"/>
  <c r="C531" i="34"/>
  <c r="B531" i="34"/>
  <c r="O531" i="34"/>
  <c r="P531" i="34"/>
  <c r="Q531" i="34"/>
  <c r="R531" i="34"/>
  <c r="S531" i="34"/>
  <c r="T531" i="34"/>
  <c r="U531" i="34"/>
  <c r="V531" i="34"/>
  <c r="W531" i="34"/>
  <c r="X531" i="34"/>
  <c r="Y531" i="34"/>
  <c r="N532" i="34"/>
  <c r="C532" i="34"/>
  <c r="B532" i="34"/>
  <c r="O532" i="34"/>
  <c r="P532" i="34"/>
  <c r="Q532" i="34"/>
  <c r="R532" i="34"/>
  <c r="S532" i="34"/>
  <c r="T532" i="34"/>
  <c r="U532" i="34"/>
  <c r="V532" i="34"/>
  <c r="W532" i="34"/>
  <c r="X532" i="34"/>
  <c r="Y532" i="34"/>
  <c r="N533" i="34"/>
  <c r="C533" i="34"/>
  <c r="B533" i="34"/>
  <c r="O533" i="34"/>
  <c r="P533" i="34"/>
  <c r="Q533" i="34"/>
  <c r="R533" i="34"/>
  <c r="S533" i="34"/>
  <c r="T533" i="34"/>
  <c r="U533" i="34"/>
  <c r="V533" i="34"/>
  <c r="W533" i="34"/>
  <c r="X533" i="34"/>
  <c r="Y533" i="34"/>
  <c r="N534" i="34"/>
  <c r="C534" i="34"/>
  <c r="B534" i="34"/>
  <c r="O534" i="34"/>
  <c r="P534" i="34"/>
  <c r="Q534" i="34"/>
  <c r="R534" i="34"/>
  <c r="S534" i="34"/>
  <c r="T534" i="34"/>
  <c r="U534" i="34"/>
  <c r="V534" i="34"/>
  <c r="W534" i="34"/>
  <c r="X534" i="34"/>
  <c r="Y534" i="34"/>
  <c r="N535" i="34"/>
  <c r="C535" i="34"/>
  <c r="B535" i="34"/>
  <c r="O535" i="34"/>
  <c r="P535" i="34"/>
  <c r="Q535" i="34"/>
  <c r="R535" i="34"/>
  <c r="S535" i="34"/>
  <c r="T535" i="34"/>
  <c r="U535" i="34"/>
  <c r="V535" i="34"/>
  <c r="W535" i="34"/>
  <c r="X535" i="34"/>
  <c r="Y535" i="34"/>
  <c r="N536" i="34"/>
  <c r="C536" i="34"/>
  <c r="B536" i="34"/>
  <c r="O536" i="34"/>
  <c r="P536" i="34"/>
  <c r="Q536" i="34"/>
  <c r="R536" i="34"/>
  <c r="S536" i="34"/>
  <c r="T536" i="34"/>
  <c r="U536" i="34"/>
  <c r="V536" i="34"/>
  <c r="W536" i="34"/>
  <c r="X536" i="34"/>
  <c r="Y536" i="34"/>
  <c r="N537" i="34"/>
  <c r="C537" i="34"/>
  <c r="B537" i="34"/>
  <c r="O537" i="34"/>
  <c r="P537" i="34"/>
  <c r="Q537" i="34"/>
  <c r="R537" i="34"/>
  <c r="S537" i="34"/>
  <c r="T537" i="34"/>
  <c r="U537" i="34"/>
  <c r="V537" i="34"/>
  <c r="W537" i="34"/>
  <c r="X537" i="34"/>
  <c r="Y537" i="34"/>
  <c r="N538" i="34"/>
  <c r="C538" i="34"/>
  <c r="B538" i="34"/>
  <c r="O538" i="34"/>
  <c r="P538" i="34"/>
  <c r="Q538" i="34"/>
  <c r="R538" i="34"/>
  <c r="S538" i="34"/>
  <c r="T538" i="34"/>
  <c r="U538" i="34"/>
  <c r="V538" i="34"/>
  <c r="W538" i="34"/>
  <c r="X538" i="34"/>
  <c r="Y538" i="34"/>
  <c r="N539" i="34"/>
  <c r="C539" i="34"/>
  <c r="B539" i="34"/>
  <c r="O539" i="34"/>
  <c r="P539" i="34"/>
  <c r="Q539" i="34"/>
  <c r="R539" i="34"/>
  <c r="S539" i="34"/>
  <c r="T539" i="34"/>
  <c r="U539" i="34"/>
  <c r="V539" i="34"/>
  <c r="W539" i="34"/>
  <c r="X539" i="34"/>
  <c r="Y539" i="34"/>
  <c r="N540" i="34"/>
  <c r="C540" i="34"/>
  <c r="B540" i="34"/>
  <c r="O540" i="34"/>
  <c r="P540" i="34"/>
  <c r="Q540" i="34"/>
  <c r="R540" i="34"/>
  <c r="S540" i="34"/>
  <c r="T540" i="34"/>
  <c r="U540" i="34"/>
  <c r="V540" i="34"/>
  <c r="W540" i="34"/>
  <c r="X540" i="34"/>
  <c r="Y540" i="34"/>
  <c r="N541" i="34"/>
  <c r="C541" i="34"/>
  <c r="B541" i="34"/>
  <c r="O541" i="34"/>
  <c r="P541" i="34"/>
  <c r="Q541" i="34"/>
  <c r="R541" i="34"/>
  <c r="S541" i="34"/>
  <c r="T541" i="34"/>
  <c r="U541" i="34"/>
  <c r="V541" i="34"/>
  <c r="W541" i="34"/>
  <c r="X541" i="34"/>
  <c r="Y541" i="34"/>
  <c r="N542" i="34"/>
  <c r="C542" i="34"/>
  <c r="B542" i="34"/>
  <c r="O542" i="34"/>
  <c r="P542" i="34"/>
  <c r="Q542" i="34"/>
  <c r="R542" i="34"/>
  <c r="S542" i="34"/>
  <c r="T542" i="34"/>
  <c r="U542" i="34"/>
  <c r="V542" i="34"/>
  <c r="W542" i="34"/>
  <c r="X542" i="34"/>
  <c r="Y542" i="34"/>
  <c r="N543" i="34"/>
  <c r="C543" i="34"/>
  <c r="B543" i="34"/>
  <c r="O543" i="34"/>
  <c r="P543" i="34"/>
  <c r="Q543" i="34"/>
  <c r="R543" i="34"/>
  <c r="S543" i="34"/>
  <c r="T543" i="34"/>
  <c r="U543" i="34"/>
  <c r="V543" i="34"/>
  <c r="W543" i="34"/>
  <c r="X543" i="34"/>
  <c r="Y543" i="34"/>
  <c r="N544" i="34"/>
  <c r="C544" i="34"/>
  <c r="B544" i="34"/>
  <c r="O544" i="34"/>
  <c r="P544" i="34"/>
  <c r="Q544" i="34"/>
  <c r="R544" i="34"/>
  <c r="S544" i="34"/>
  <c r="T544" i="34"/>
  <c r="U544" i="34"/>
  <c r="V544" i="34"/>
  <c r="W544" i="34"/>
  <c r="X544" i="34"/>
  <c r="Y544" i="34"/>
  <c r="N545" i="34"/>
  <c r="C545" i="34"/>
  <c r="B545" i="34"/>
  <c r="O545" i="34"/>
  <c r="P545" i="34"/>
  <c r="Q545" i="34"/>
  <c r="R545" i="34"/>
  <c r="S545" i="34"/>
  <c r="T545" i="34"/>
  <c r="U545" i="34"/>
  <c r="V545" i="34"/>
  <c r="W545" i="34"/>
  <c r="X545" i="34"/>
  <c r="Y545" i="34"/>
  <c r="N546" i="34"/>
  <c r="C546" i="34"/>
  <c r="B546" i="34"/>
  <c r="O546" i="34"/>
  <c r="P546" i="34"/>
  <c r="Q546" i="34"/>
  <c r="R546" i="34"/>
  <c r="S546" i="34"/>
  <c r="T546" i="34"/>
  <c r="U546" i="34"/>
  <c r="V546" i="34"/>
  <c r="W546" i="34"/>
  <c r="X546" i="34"/>
  <c r="Y546" i="34"/>
  <c r="N547" i="34"/>
  <c r="C547" i="34"/>
  <c r="B547" i="34"/>
  <c r="O547" i="34"/>
  <c r="P547" i="34"/>
  <c r="Q547" i="34"/>
  <c r="R547" i="34"/>
  <c r="S547" i="34"/>
  <c r="T547" i="34"/>
  <c r="U547" i="34"/>
  <c r="V547" i="34"/>
  <c r="W547" i="34"/>
  <c r="X547" i="34"/>
  <c r="Y547" i="34"/>
  <c r="N548" i="34"/>
  <c r="C548" i="34"/>
  <c r="B548" i="34"/>
  <c r="O548" i="34"/>
  <c r="P548" i="34"/>
  <c r="Q548" i="34"/>
  <c r="R548" i="34"/>
  <c r="S548" i="34"/>
  <c r="T548" i="34"/>
  <c r="U548" i="34"/>
  <c r="V548" i="34"/>
  <c r="W548" i="34"/>
  <c r="X548" i="34"/>
  <c r="Y548" i="34"/>
  <c r="N549" i="34"/>
  <c r="C549" i="34"/>
  <c r="B549" i="34"/>
  <c r="O549" i="34"/>
  <c r="P549" i="34"/>
  <c r="Q549" i="34"/>
  <c r="R549" i="34"/>
  <c r="S549" i="34"/>
  <c r="T549" i="34"/>
  <c r="U549" i="34"/>
  <c r="V549" i="34"/>
  <c r="W549" i="34"/>
  <c r="X549" i="34"/>
  <c r="Y549" i="34"/>
  <c r="N550" i="34"/>
  <c r="C550" i="34"/>
  <c r="B550" i="34"/>
  <c r="O550" i="34"/>
  <c r="P550" i="34"/>
  <c r="Q550" i="34"/>
  <c r="R550" i="34"/>
  <c r="S550" i="34"/>
  <c r="T550" i="34"/>
  <c r="U550" i="34"/>
  <c r="V550" i="34"/>
  <c r="W550" i="34"/>
  <c r="X550" i="34"/>
  <c r="Y550" i="34"/>
  <c r="N551" i="34"/>
  <c r="C551" i="34"/>
  <c r="B551" i="34"/>
  <c r="O551" i="34"/>
  <c r="P551" i="34"/>
  <c r="Q551" i="34"/>
  <c r="R551" i="34"/>
  <c r="S551" i="34"/>
  <c r="T551" i="34"/>
  <c r="U551" i="34"/>
  <c r="V551" i="34"/>
  <c r="W551" i="34"/>
  <c r="X551" i="34"/>
  <c r="Y551" i="34"/>
  <c r="N552" i="34"/>
  <c r="C552" i="34"/>
  <c r="B552" i="34"/>
  <c r="O552" i="34"/>
  <c r="P552" i="34"/>
  <c r="Q552" i="34"/>
  <c r="R552" i="34"/>
  <c r="S552" i="34"/>
  <c r="T552" i="34"/>
  <c r="U552" i="34"/>
  <c r="V552" i="34"/>
  <c r="W552" i="34"/>
  <c r="X552" i="34"/>
  <c r="Y552" i="34"/>
  <c r="N553" i="34"/>
  <c r="C553" i="34"/>
  <c r="B553" i="34"/>
  <c r="O553" i="34"/>
  <c r="P553" i="34"/>
  <c r="Q553" i="34"/>
  <c r="R553" i="34"/>
  <c r="S553" i="34"/>
  <c r="T553" i="34"/>
  <c r="U553" i="34"/>
  <c r="V553" i="34"/>
  <c r="W553" i="34"/>
  <c r="X553" i="34"/>
  <c r="Y553" i="34"/>
  <c r="N554" i="34"/>
  <c r="C554" i="34"/>
  <c r="B554" i="34"/>
  <c r="O554" i="34"/>
  <c r="P554" i="34"/>
  <c r="Q554" i="34"/>
  <c r="R554" i="34"/>
  <c r="S554" i="34"/>
  <c r="T554" i="34"/>
  <c r="U554" i="34"/>
  <c r="V554" i="34"/>
  <c r="W554" i="34"/>
  <c r="X554" i="34"/>
  <c r="Y554" i="34"/>
  <c r="N555" i="34"/>
  <c r="C555" i="34"/>
  <c r="B555" i="34"/>
  <c r="O555" i="34"/>
  <c r="P555" i="34"/>
  <c r="Q555" i="34"/>
  <c r="R555" i="34"/>
  <c r="S555" i="34"/>
  <c r="T555" i="34"/>
  <c r="U555" i="34"/>
  <c r="V555" i="34"/>
  <c r="W555" i="34"/>
  <c r="X555" i="34"/>
  <c r="Y555" i="34"/>
  <c r="N556" i="34"/>
  <c r="C556" i="34"/>
  <c r="B556" i="34"/>
  <c r="O556" i="34"/>
  <c r="P556" i="34"/>
  <c r="Q556" i="34"/>
  <c r="R556" i="34"/>
  <c r="S556" i="34"/>
  <c r="T556" i="34"/>
  <c r="U556" i="34"/>
  <c r="V556" i="34"/>
  <c r="W556" i="34"/>
  <c r="X556" i="34"/>
  <c r="Y556" i="34"/>
  <c r="N557" i="34"/>
  <c r="C557" i="34"/>
  <c r="B557" i="34"/>
  <c r="O557" i="34"/>
  <c r="P557" i="34"/>
  <c r="Q557" i="34"/>
  <c r="R557" i="34"/>
  <c r="S557" i="34"/>
  <c r="T557" i="34"/>
  <c r="U557" i="34"/>
  <c r="V557" i="34"/>
  <c r="W557" i="34"/>
  <c r="X557" i="34"/>
  <c r="Y557" i="34"/>
  <c r="N558" i="34"/>
  <c r="C558" i="34"/>
  <c r="B558" i="34"/>
  <c r="O558" i="34"/>
  <c r="P558" i="34"/>
  <c r="Q558" i="34"/>
  <c r="R558" i="34"/>
  <c r="S558" i="34"/>
  <c r="T558" i="34"/>
  <c r="U558" i="34"/>
  <c r="V558" i="34"/>
  <c r="W558" i="34"/>
  <c r="X558" i="34"/>
  <c r="Y558" i="34"/>
  <c r="N559" i="34"/>
  <c r="C559" i="34"/>
  <c r="B559" i="34"/>
  <c r="O559" i="34"/>
  <c r="P559" i="34"/>
  <c r="Q559" i="34"/>
  <c r="R559" i="34"/>
  <c r="S559" i="34"/>
  <c r="T559" i="34"/>
  <c r="U559" i="34"/>
  <c r="V559" i="34"/>
  <c r="W559" i="34"/>
  <c r="X559" i="34"/>
  <c r="Y559" i="34"/>
  <c r="N560" i="34"/>
  <c r="C560" i="34"/>
  <c r="B560" i="34"/>
  <c r="O560" i="34"/>
  <c r="P560" i="34"/>
  <c r="Q560" i="34"/>
  <c r="R560" i="34"/>
  <c r="S560" i="34"/>
  <c r="T560" i="34"/>
  <c r="U560" i="34"/>
  <c r="V560" i="34"/>
  <c r="W560" i="34"/>
  <c r="X560" i="34"/>
  <c r="Y560" i="34"/>
  <c r="N561" i="34"/>
  <c r="C561" i="34"/>
  <c r="B561" i="34"/>
  <c r="O561" i="34"/>
  <c r="P561" i="34"/>
  <c r="Q561" i="34"/>
  <c r="R561" i="34"/>
  <c r="S561" i="34"/>
  <c r="T561" i="34"/>
  <c r="U561" i="34"/>
  <c r="V561" i="34"/>
  <c r="W561" i="34"/>
  <c r="X561" i="34"/>
  <c r="Y561" i="34"/>
  <c r="N562" i="34"/>
  <c r="C562" i="34"/>
  <c r="B562" i="34"/>
  <c r="O562" i="34"/>
  <c r="P562" i="34"/>
  <c r="Q562" i="34"/>
  <c r="R562" i="34"/>
  <c r="S562" i="34"/>
  <c r="T562" i="34"/>
  <c r="U562" i="34"/>
  <c r="V562" i="34"/>
  <c r="W562" i="34"/>
  <c r="X562" i="34"/>
  <c r="Y562" i="34"/>
  <c r="N563" i="34"/>
  <c r="C563" i="34"/>
  <c r="B563" i="34"/>
  <c r="O563" i="34"/>
  <c r="P563" i="34"/>
  <c r="Q563" i="34"/>
  <c r="R563" i="34"/>
  <c r="S563" i="34"/>
  <c r="T563" i="34"/>
  <c r="U563" i="34"/>
  <c r="V563" i="34"/>
  <c r="W563" i="34"/>
  <c r="X563" i="34"/>
  <c r="Y563" i="34"/>
  <c r="N564" i="34"/>
  <c r="C564" i="34"/>
  <c r="B564" i="34"/>
  <c r="O564" i="34"/>
  <c r="P564" i="34"/>
  <c r="Q564" i="34"/>
  <c r="R564" i="34"/>
  <c r="S564" i="34"/>
  <c r="T564" i="34"/>
  <c r="U564" i="34"/>
  <c r="V564" i="34"/>
  <c r="W564" i="34"/>
  <c r="X564" i="34"/>
  <c r="Y564" i="34"/>
  <c r="N565" i="34"/>
  <c r="C565" i="34"/>
  <c r="B565" i="34"/>
  <c r="O565" i="34"/>
  <c r="P565" i="34"/>
  <c r="Q565" i="34"/>
  <c r="R565" i="34"/>
  <c r="S565" i="34"/>
  <c r="T565" i="34"/>
  <c r="U565" i="34"/>
  <c r="V565" i="34"/>
  <c r="W565" i="34"/>
  <c r="X565" i="34"/>
  <c r="Y565" i="34"/>
  <c r="N566" i="34"/>
  <c r="C566" i="34"/>
  <c r="B566" i="34"/>
  <c r="O566" i="34"/>
  <c r="P566" i="34"/>
  <c r="Q566" i="34"/>
  <c r="R566" i="34"/>
  <c r="S566" i="34"/>
  <c r="T566" i="34"/>
  <c r="U566" i="34"/>
  <c r="V566" i="34"/>
  <c r="W566" i="34"/>
  <c r="X566" i="34"/>
  <c r="Y566" i="34"/>
  <c r="N567" i="34"/>
  <c r="C567" i="34"/>
  <c r="B567" i="34"/>
  <c r="O567" i="34"/>
  <c r="P567" i="34"/>
  <c r="Q567" i="34"/>
  <c r="R567" i="34"/>
  <c r="S567" i="34"/>
  <c r="T567" i="34"/>
  <c r="U567" i="34"/>
  <c r="V567" i="34"/>
  <c r="W567" i="34"/>
  <c r="X567" i="34"/>
  <c r="Y567" i="34"/>
  <c r="N568" i="34"/>
  <c r="C568" i="34"/>
  <c r="B568" i="34"/>
  <c r="O568" i="34"/>
  <c r="P568" i="34"/>
  <c r="Q568" i="34"/>
  <c r="R568" i="34"/>
  <c r="S568" i="34"/>
  <c r="T568" i="34"/>
  <c r="U568" i="34"/>
  <c r="V568" i="34"/>
  <c r="W568" i="34"/>
  <c r="X568" i="34"/>
  <c r="Y568" i="34"/>
  <c r="N569" i="34"/>
  <c r="C569" i="34"/>
  <c r="B569" i="34"/>
  <c r="O569" i="34"/>
  <c r="P569" i="34"/>
  <c r="Q569" i="34"/>
  <c r="R569" i="34"/>
  <c r="S569" i="34"/>
  <c r="T569" i="34"/>
  <c r="U569" i="34"/>
  <c r="V569" i="34"/>
  <c r="W569" i="34"/>
  <c r="X569" i="34"/>
  <c r="Y569" i="34"/>
  <c r="N570" i="34"/>
  <c r="C570" i="34"/>
  <c r="B570" i="34"/>
  <c r="O570" i="34"/>
  <c r="P570" i="34"/>
  <c r="Q570" i="34"/>
  <c r="R570" i="34"/>
  <c r="S570" i="34"/>
  <c r="T570" i="34"/>
  <c r="U570" i="34"/>
  <c r="V570" i="34"/>
  <c r="W570" i="34"/>
  <c r="X570" i="34"/>
  <c r="Y570" i="34"/>
  <c r="N571" i="34"/>
  <c r="C571" i="34"/>
  <c r="B571" i="34"/>
  <c r="O571" i="34"/>
  <c r="P571" i="34"/>
  <c r="Q571" i="34"/>
  <c r="R571" i="34"/>
  <c r="S571" i="34"/>
  <c r="T571" i="34"/>
  <c r="U571" i="34"/>
  <c r="V571" i="34"/>
  <c r="W571" i="34"/>
  <c r="X571" i="34"/>
  <c r="Y571" i="34"/>
  <c r="N572" i="34"/>
  <c r="C572" i="34"/>
  <c r="B572" i="34"/>
  <c r="O572" i="34"/>
  <c r="P572" i="34"/>
  <c r="Q572" i="34"/>
  <c r="R572" i="34"/>
  <c r="S572" i="34"/>
  <c r="T572" i="34"/>
  <c r="U572" i="34"/>
  <c r="V572" i="34"/>
  <c r="W572" i="34"/>
  <c r="X572" i="34"/>
  <c r="Y572" i="34"/>
  <c r="N573" i="34"/>
  <c r="C573" i="34"/>
  <c r="B573" i="34"/>
  <c r="O573" i="34"/>
  <c r="P573" i="34"/>
  <c r="Q573" i="34"/>
  <c r="R573" i="34"/>
  <c r="S573" i="34"/>
  <c r="T573" i="34"/>
  <c r="U573" i="34"/>
  <c r="V573" i="34"/>
  <c r="W573" i="34"/>
  <c r="X573" i="34"/>
  <c r="Y573" i="34"/>
  <c r="N574" i="34"/>
  <c r="C574" i="34"/>
  <c r="B574" i="34"/>
  <c r="O574" i="34"/>
  <c r="P574" i="34"/>
  <c r="Q574" i="34"/>
  <c r="R574" i="34"/>
  <c r="S574" i="34"/>
  <c r="T574" i="34"/>
  <c r="U574" i="34"/>
  <c r="V574" i="34"/>
  <c r="W574" i="34"/>
  <c r="X574" i="34"/>
  <c r="Y574" i="34"/>
  <c r="N575" i="34"/>
  <c r="C575" i="34"/>
  <c r="B575" i="34"/>
  <c r="O575" i="34"/>
  <c r="P575" i="34"/>
  <c r="Q575" i="34"/>
  <c r="R575" i="34"/>
  <c r="S575" i="34"/>
  <c r="T575" i="34"/>
  <c r="U575" i="34"/>
  <c r="V575" i="34"/>
  <c r="W575" i="34"/>
  <c r="X575" i="34"/>
  <c r="Y575" i="34"/>
  <c r="N576" i="34"/>
  <c r="C576" i="34"/>
  <c r="B576" i="34"/>
  <c r="O576" i="34"/>
  <c r="P576" i="34"/>
  <c r="Q576" i="34"/>
  <c r="R576" i="34"/>
  <c r="S576" i="34"/>
  <c r="T576" i="34"/>
  <c r="U576" i="34"/>
  <c r="V576" i="34"/>
  <c r="W576" i="34"/>
  <c r="X576" i="34"/>
  <c r="Y576" i="34"/>
  <c r="N577" i="34"/>
  <c r="C577" i="34"/>
  <c r="B577" i="34"/>
  <c r="O577" i="34"/>
  <c r="P577" i="34"/>
  <c r="Q577" i="34"/>
  <c r="R577" i="34"/>
  <c r="S577" i="34"/>
  <c r="T577" i="34"/>
  <c r="U577" i="34"/>
  <c r="V577" i="34"/>
  <c r="W577" i="34"/>
  <c r="X577" i="34"/>
  <c r="Y577" i="34"/>
  <c r="N578" i="34"/>
  <c r="C578" i="34"/>
  <c r="B578" i="34"/>
  <c r="O578" i="34"/>
  <c r="P578" i="34"/>
  <c r="Q578" i="34"/>
  <c r="R578" i="34"/>
  <c r="S578" i="34"/>
  <c r="T578" i="34"/>
  <c r="U578" i="34"/>
  <c r="V578" i="34"/>
  <c r="W578" i="34"/>
  <c r="X578" i="34"/>
  <c r="Y578" i="34"/>
  <c r="N579" i="34"/>
  <c r="C579" i="34"/>
  <c r="B579" i="34"/>
  <c r="O579" i="34"/>
  <c r="P579" i="34"/>
  <c r="Q579" i="34"/>
  <c r="R579" i="34"/>
  <c r="S579" i="34"/>
  <c r="T579" i="34"/>
  <c r="U579" i="34"/>
  <c r="V579" i="34"/>
  <c r="W579" i="34"/>
  <c r="X579" i="34"/>
  <c r="Y579" i="34"/>
  <c r="N580" i="34"/>
  <c r="C580" i="34"/>
  <c r="B580" i="34"/>
  <c r="O580" i="34"/>
  <c r="P580" i="34"/>
  <c r="Q580" i="34"/>
  <c r="R580" i="34"/>
  <c r="S580" i="34"/>
  <c r="T580" i="34"/>
  <c r="U580" i="34"/>
  <c r="V580" i="34"/>
  <c r="W580" i="34"/>
  <c r="X580" i="34"/>
  <c r="Y580" i="34"/>
  <c r="N581" i="34"/>
  <c r="C581" i="34"/>
  <c r="B581" i="34"/>
  <c r="O581" i="34"/>
  <c r="P581" i="34"/>
  <c r="Q581" i="34"/>
  <c r="R581" i="34"/>
  <c r="S581" i="34"/>
  <c r="T581" i="34"/>
  <c r="U581" i="34"/>
  <c r="V581" i="34"/>
  <c r="W581" i="34"/>
  <c r="X581" i="34"/>
  <c r="Y581" i="34"/>
  <c r="N582" i="34"/>
  <c r="C582" i="34"/>
  <c r="B582" i="34"/>
  <c r="O582" i="34"/>
  <c r="P582" i="34"/>
  <c r="Q582" i="34"/>
  <c r="R582" i="34"/>
  <c r="S582" i="34"/>
  <c r="T582" i="34"/>
  <c r="U582" i="34"/>
  <c r="V582" i="34"/>
  <c r="W582" i="34"/>
  <c r="X582" i="34"/>
  <c r="Y582" i="34"/>
  <c r="N583" i="34"/>
  <c r="C583" i="34"/>
  <c r="B583" i="34"/>
  <c r="O583" i="34"/>
  <c r="P583" i="34"/>
  <c r="Q583" i="34"/>
  <c r="R583" i="34"/>
  <c r="S583" i="34"/>
  <c r="T583" i="34"/>
  <c r="U583" i="34"/>
  <c r="V583" i="34"/>
  <c r="W583" i="34"/>
  <c r="X583" i="34"/>
  <c r="Y583" i="34"/>
  <c r="N584" i="34"/>
  <c r="C584" i="34"/>
  <c r="B584" i="34"/>
  <c r="O584" i="34"/>
  <c r="P584" i="34"/>
  <c r="Q584" i="34"/>
  <c r="R584" i="34"/>
  <c r="S584" i="34"/>
  <c r="T584" i="34"/>
  <c r="U584" i="34"/>
  <c r="V584" i="34"/>
  <c r="W584" i="34"/>
  <c r="X584" i="34"/>
  <c r="Y584" i="34"/>
  <c r="N585" i="34"/>
  <c r="C585" i="34"/>
  <c r="B585" i="34"/>
  <c r="O585" i="34"/>
  <c r="P585" i="34"/>
  <c r="Q585" i="34"/>
  <c r="R585" i="34"/>
  <c r="S585" i="34"/>
  <c r="T585" i="34"/>
  <c r="U585" i="34"/>
  <c r="V585" i="34"/>
  <c r="W585" i="34"/>
  <c r="X585" i="34"/>
  <c r="Y585" i="34"/>
  <c r="N586" i="34"/>
  <c r="C586" i="34"/>
  <c r="B586" i="34"/>
  <c r="O586" i="34"/>
  <c r="P586" i="34"/>
  <c r="Q586" i="34"/>
  <c r="R586" i="34"/>
  <c r="S586" i="34"/>
  <c r="T586" i="34"/>
  <c r="U586" i="34"/>
  <c r="V586" i="34"/>
  <c r="W586" i="34"/>
  <c r="X586" i="34"/>
  <c r="Y586" i="34"/>
  <c r="N587" i="34"/>
  <c r="C587" i="34"/>
  <c r="B587" i="34"/>
  <c r="O587" i="34"/>
  <c r="P587" i="34"/>
  <c r="Q587" i="34"/>
  <c r="R587" i="34"/>
  <c r="S587" i="34"/>
  <c r="T587" i="34"/>
  <c r="U587" i="34"/>
  <c r="V587" i="34"/>
  <c r="W587" i="34"/>
  <c r="X587" i="34"/>
  <c r="Y587" i="34"/>
  <c r="N588" i="34"/>
  <c r="C588" i="34"/>
  <c r="B588" i="34"/>
  <c r="O588" i="34"/>
  <c r="P588" i="34"/>
  <c r="Q588" i="34"/>
  <c r="R588" i="34"/>
  <c r="S588" i="34"/>
  <c r="T588" i="34"/>
  <c r="U588" i="34"/>
  <c r="V588" i="34"/>
  <c r="W588" i="34"/>
  <c r="X588" i="34"/>
  <c r="Y588" i="34"/>
  <c r="N589" i="34"/>
  <c r="C589" i="34"/>
  <c r="B589" i="34"/>
  <c r="O589" i="34"/>
  <c r="P589" i="34"/>
  <c r="Q589" i="34"/>
  <c r="R589" i="34"/>
  <c r="S589" i="34"/>
  <c r="T589" i="34"/>
  <c r="U589" i="34"/>
  <c r="V589" i="34"/>
  <c r="W589" i="34"/>
  <c r="X589" i="34"/>
  <c r="Y589" i="34"/>
  <c r="N590" i="34"/>
  <c r="C590" i="34"/>
  <c r="B590" i="34"/>
  <c r="O590" i="34"/>
  <c r="P590" i="34"/>
  <c r="Q590" i="34"/>
  <c r="R590" i="34"/>
  <c r="S590" i="34"/>
  <c r="T590" i="34"/>
  <c r="U590" i="34"/>
  <c r="V590" i="34"/>
  <c r="W590" i="34"/>
  <c r="X590" i="34"/>
  <c r="Y590" i="34"/>
  <c r="N591" i="34"/>
  <c r="C591" i="34"/>
  <c r="B591" i="34"/>
  <c r="O591" i="34"/>
  <c r="P591" i="34"/>
  <c r="Q591" i="34"/>
  <c r="R591" i="34"/>
  <c r="S591" i="34"/>
  <c r="T591" i="34"/>
  <c r="U591" i="34"/>
  <c r="V591" i="34"/>
  <c r="W591" i="34"/>
  <c r="X591" i="34"/>
  <c r="Y591" i="34"/>
  <c r="N592" i="34"/>
  <c r="C592" i="34"/>
  <c r="B592" i="34"/>
  <c r="O592" i="34"/>
  <c r="P592" i="34"/>
  <c r="Q592" i="34"/>
  <c r="R592" i="34"/>
  <c r="S592" i="34"/>
  <c r="T592" i="34"/>
  <c r="U592" i="34"/>
  <c r="V592" i="34"/>
  <c r="W592" i="34"/>
  <c r="X592" i="34"/>
  <c r="Y592" i="34"/>
  <c r="N593" i="34"/>
  <c r="C593" i="34"/>
  <c r="B593" i="34"/>
  <c r="O593" i="34"/>
  <c r="P593" i="34"/>
  <c r="Q593" i="34"/>
  <c r="R593" i="34"/>
  <c r="S593" i="34"/>
  <c r="T593" i="34"/>
  <c r="U593" i="34"/>
  <c r="V593" i="34"/>
  <c r="W593" i="34"/>
  <c r="X593" i="34"/>
  <c r="Y593" i="34"/>
  <c r="N594" i="34"/>
  <c r="C594" i="34"/>
  <c r="B594" i="34"/>
  <c r="O594" i="34"/>
  <c r="P594" i="34"/>
  <c r="Q594" i="34"/>
  <c r="R594" i="34"/>
  <c r="S594" i="34"/>
  <c r="T594" i="34"/>
  <c r="U594" i="34"/>
  <c r="V594" i="34"/>
  <c r="W594" i="34"/>
  <c r="X594" i="34"/>
  <c r="Y594" i="34"/>
  <c r="N595" i="34"/>
  <c r="C595" i="34"/>
  <c r="B595" i="34"/>
  <c r="O595" i="34"/>
  <c r="P595" i="34"/>
  <c r="Q595" i="34"/>
  <c r="R595" i="34"/>
  <c r="S595" i="34"/>
  <c r="T595" i="34"/>
  <c r="U595" i="34"/>
  <c r="V595" i="34"/>
  <c r="W595" i="34"/>
  <c r="X595" i="34"/>
  <c r="Y595" i="34"/>
  <c r="N596" i="34"/>
  <c r="C596" i="34"/>
  <c r="B596" i="34"/>
  <c r="O596" i="34"/>
  <c r="P596" i="34"/>
  <c r="Q596" i="34"/>
  <c r="R596" i="34"/>
  <c r="S596" i="34"/>
  <c r="T596" i="34"/>
  <c r="U596" i="34"/>
  <c r="V596" i="34"/>
  <c r="W596" i="34"/>
  <c r="X596" i="34"/>
  <c r="Y596" i="34"/>
  <c r="N597" i="34"/>
  <c r="C597" i="34"/>
  <c r="B597" i="34"/>
  <c r="O597" i="34"/>
  <c r="P597" i="34"/>
  <c r="Q597" i="34"/>
  <c r="R597" i="34"/>
  <c r="S597" i="34"/>
  <c r="T597" i="34"/>
  <c r="U597" i="34"/>
  <c r="V597" i="34"/>
  <c r="W597" i="34"/>
  <c r="X597" i="34"/>
  <c r="Y597" i="34"/>
  <c r="N598" i="34"/>
  <c r="C598" i="34"/>
  <c r="B598" i="34"/>
  <c r="O598" i="34"/>
  <c r="P598" i="34"/>
  <c r="Q598" i="34"/>
  <c r="R598" i="34"/>
  <c r="S598" i="34"/>
  <c r="T598" i="34"/>
  <c r="U598" i="34"/>
  <c r="V598" i="34"/>
  <c r="W598" i="34"/>
  <c r="X598" i="34"/>
  <c r="Y598" i="34"/>
  <c r="N599" i="34"/>
  <c r="C599" i="34"/>
  <c r="B599" i="34"/>
  <c r="O599" i="34"/>
  <c r="P599" i="34"/>
  <c r="Q599" i="34"/>
  <c r="R599" i="34"/>
  <c r="S599" i="34"/>
  <c r="T599" i="34"/>
  <c r="U599" i="34"/>
  <c r="V599" i="34"/>
  <c r="W599" i="34"/>
  <c r="X599" i="34"/>
  <c r="Y599" i="34"/>
  <c r="N600" i="34"/>
  <c r="C600" i="34"/>
  <c r="B600" i="34"/>
  <c r="O600" i="34"/>
  <c r="P600" i="34"/>
  <c r="Q600" i="34"/>
  <c r="R600" i="34"/>
  <c r="S600" i="34"/>
  <c r="T600" i="34"/>
  <c r="U600" i="34"/>
  <c r="V600" i="34"/>
  <c r="W600" i="34"/>
  <c r="X600" i="34"/>
  <c r="Y600" i="34"/>
  <c r="N601" i="34"/>
  <c r="C601" i="34"/>
  <c r="B601" i="34"/>
  <c r="O601" i="34"/>
  <c r="P601" i="34"/>
  <c r="Q601" i="34"/>
  <c r="R601" i="34"/>
  <c r="S601" i="34"/>
  <c r="T601" i="34"/>
  <c r="U601" i="34"/>
  <c r="V601" i="34"/>
  <c r="W601" i="34"/>
  <c r="X601" i="34"/>
  <c r="Y601" i="34"/>
  <c r="N602" i="34"/>
  <c r="C602" i="34"/>
  <c r="B602" i="34"/>
  <c r="O602" i="34"/>
  <c r="P602" i="34"/>
  <c r="Q602" i="34"/>
  <c r="R602" i="34"/>
  <c r="S602" i="34"/>
  <c r="T602" i="34"/>
  <c r="U602" i="34"/>
  <c r="V602" i="34"/>
  <c r="W602" i="34"/>
  <c r="X602" i="34"/>
  <c r="Y602" i="34"/>
  <c r="N603" i="34"/>
  <c r="C603" i="34"/>
  <c r="B603" i="34"/>
  <c r="O603" i="34"/>
  <c r="P603" i="34"/>
  <c r="Q603" i="34"/>
  <c r="R603" i="34"/>
  <c r="S603" i="34"/>
  <c r="T603" i="34"/>
  <c r="U603" i="34"/>
  <c r="V603" i="34"/>
  <c r="W603" i="34"/>
  <c r="X603" i="34"/>
  <c r="Y603" i="34"/>
  <c r="N604" i="34"/>
  <c r="C604" i="34"/>
  <c r="B604" i="34"/>
  <c r="O604" i="34"/>
  <c r="P604" i="34"/>
  <c r="Q604" i="34"/>
  <c r="R604" i="34"/>
  <c r="S604" i="34"/>
  <c r="T604" i="34"/>
  <c r="U604" i="34"/>
  <c r="V604" i="34"/>
  <c r="W604" i="34"/>
  <c r="X604" i="34"/>
  <c r="Y604" i="34"/>
  <c r="N605" i="34"/>
  <c r="C605" i="34"/>
  <c r="B605" i="34"/>
  <c r="O605" i="34"/>
  <c r="P605" i="34"/>
  <c r="Q605" i="34"/>
  <c r="R605" i="34"/>
  <c r="S605" i="34"/>
  <c r="T605" i="34"/>
  <c r="U605" i="34"/>
  <c r="V605" i="34"/>
  <c r="W605" i="34"/>
  <c r="X605" i="34"/>
  <c r="Y605" i="34"/>
  <c r="N606" i="34"/>
  <c r="C606" i="34"/>
  <c r="B606" i="34"/>
  <c r="O606" i="34"/>
  <c r="P606" i="34"/>
  <c r="Q606" i="34"/>
  <c r="R606" i="34"/>
  <c r="S606" i="34"/>
  <c r="T606" i="34"/>
  <c r="U606" i="34"/>
  <c r="V606" i="34"/>
  <c r="W606" i="34"/>
  <c r="X606" i="34"/>
  <c r="Y606" i="34"/>
  <c r="N607" i="34"/>
  <c r="C607" i="34"/>
  <c r="B607" i="34"/>
  <c r="O607" i="34"/>
  <c r="P607" i="34"/>
  <c r="Q607" i="34"/>
  <c r="R607" i="34"/>
  <c r="S607" i="34"/>
  <c r="T607" i="34"/>
  <c r="U607" i="34"/>
  <c r="V607" i="34"/>
  <c r="W607" i="34"/>
  <c r="X607" i="34"/>
  <c r="Y607" i="34"/>
  <c r="N608" i="34"/>
  <c r="C608" i="34"/>
  <c r="B608" i="34"/>
  <c r="O608" i="34"/>
  <c r="P608" i="34"/>
  <c r="Q608" i="34"/>
  <c r="R608" i="34"/>
  <c r="S608" i="34"/>
  <c r="T608" i="34"/>
  <c r="U608" i="34"/>
  <c r="V608" i="34"/>
  <c r="W608" i="34"/>
  <c r="X608" i="34"/>
  <c r="Y608" i="34"/>
  <c r="N609" i="34"/>
  <c r="C609" i="34"/>
  <c r="B609" i="34"/>
  <c r="O609" i="34"/>
  <c r="P609" i="34"/>
  <c r="Q609" i="34"/>
  <c r="R609" i="34"/>
  <c r="S609" i="34"/>
  <c r="T609" i="34"/>
  <c r="U609" i="34"/>
  <c r="V609" i="34"/>
  <c r="W609" i="34"/>
  <c r="X609" i="34"/>
  <c r="Y609" i="34"/>
  <c r="N610" i="34"/>
  <c r="C610" i="34"/>
  <c r="B610" i="34"/>
  <c r="O610" i="34"/>
  <c r="P610" i="34"/>
  <c r="Q610" i="34"/>
  <c r="R610" i="34"/>
  <c r="S610" i="34"/>
  <c r="T610" i="34"/>
  <c r="U610" i="34"/>
  <c r="V610" i="34"/>
  <c r="W610" i="34"/>
  <c r="X610" i="34"/>
  <c r="Y610" i="34"/>
  <c r="N611" i="34"/>
  <c r="C611" i="34"/>
  <c r="B611" i="34"/>
  <c r="O611" i="34"/>
  <c r="P611" i="34"/>
  <c r="Q611" i="34"/>
  <c r="R611" i="34"/>
  <c r="S611" i="34"/>
  <c r="T611" i="34"/>
  <c r="U611" i="34"/>
  <c r="V611" i="34"/>
  <c r="W611" i="34"/>
  <c r="X611" i="34"/>
  <c r="Y611" i="34"/>
  <c r="N612" i="34"/>
  <c r="C612" i="34"/>
  <c r="B612" i="34"/>
  <c r="O612" i="34"/>
  <c r="P612" i="34"/>
  <c r="Q612" i="34"/>
  <c r="R612" i="34"/>
  <c r="S612" i="34"/>
  <c r="T612" i="34"/>
  <c r="U612" i="34"/>
  <c r="V612" i="34"/>
  <c r="W612" i="34"/>
  <c r="X612" i="34"/>
  <c r="Y612" i="34"/>
  <c r="N613" i="34"/>
  <c r="C613" i="34"/>
  <c r="B613" i="34"/>
  <c r="O613" i="34"/>
  <c r="P613" i="34"/>
  <c r="Q613" i="34"/>
  <c r="R613" i="34"/>
  <c r="S613" i="34"/>
  <c r="T613" i="34"/>
  <c r="U613" i="34"/>
  <c r="V613" i="34"/>
  <c r="W613" i="34"/>
  <c r="X613" i="34"/>
  <c r="Y613" i="34"/>
  <c r="N614" i="34"/>
  <c r="C614" i="34"/>
  <c r="B614" i="34"/>
  <c r="O614" i="34"/>
  <c r="P614" i="34"/>
  <c r="Q614" i="34"/>
  <c r="R614" i="34"/>
  <c r="S614" i="34"/>
  <c r="T614" i="34"/>
  <c r="U614" i="34"/>
  <c r="V614" i="34"/>
  <c r="W614" i="34"/>
  <c r="X614" i="34"/>
  <c r="Y614" i="34"/>
  <c r="N615" i="34"/>
  <c r="C615" i="34"/>
  <c r="B615" i="34"/>
  <c r="O615" i="34"/>
  <c r="P615" i="34"/>
  <c r="Q615" i="34"/>
  <c r="R615" i="34"/>
  <c r="S615" i="34"/>
  <c r="T615" i="34"/>
  <c r="U615" i="34"/>
  <c r="V615" i="34"/>
  <c r="W615" i="34"/>
  <c r="X615" i="34"/>
  <c r="Y615" i="34"/>
  <c r="N616" i="34"/>
  <c r="C616" i="34"/>
  <c r="B616" i="34"/>
  <c r="O616" i="34"/>
  <c r="P616" i="34"/>
  <c r="Q616" i="34"/>
  <c r="R616" i="34"/>
  <c r="S616" i="34"/>
  <c r="T616" i="34"/>
  <c r="U616" i="34"/>
  <c r="V616" i="34"/>
  <c r="W616" i="34"/>
  <c r="X616" i="34"/>
  <c r="Y616" i="34"/>
  <c r="N617" i="34"/>
  <c r="C617" i="34"/>
  <c r="B617" i="34"/>
  <c r="O617" i="34"/>
  <c r="P617" i="34"/>
  <c r="Q617" i="34"/>
  <c r="R617" i="34"/>
  <c r="S617" i="34"/>
  <c r="T617" i="34"/>
  <c r="U617" i="34"/>
  <c r="V617" i="34"/>
  <c r="W617" i="34"/>
  <c r="X617" i="34"/>
  <c r="Y617" i="34"/>
  <c r="N618" i="34"/>
  <c r="C618" i="34"/>
  <c r="B618" i="34"/>
  <c r="O618" i="34"/>
  <c r="P618" i="34"/>
  <c r="Q618" i="34"/>
  <c r="R618" i="34"/>
  <c r="S618" i="34"/>
  <c r="T618" i="34"/>
  <c r="U618" i="34"/>
  <c r="V618" i="34"/>
  <c r="W618" i="34"/>
  <c r="X618" i="34"/>
  <c r="Y618" i="34"/>
  <c r="N619" i="34"/>
  <c r="C619" i="34"/>
  <c r="B619" i="34"/>
  <c r="O619" i="34"/>
  <c r="P619" i="34"/>
  <c r="Q619" i="34"/>
  <c r="R619" i="34"/>
  <c r="S619" i="34"/>
  <c r="T619" i="34"/>
  <c r="U619" i="34"/>
  <c r="V619" i="34"/>
  <c r="W619" i="34"/>
  <c r="X619" i="34"/>
  <c r="Y619" i="34"/>
  <c r="N620" i="34"/>
  <c r="C620" i="34"/>
  <c r="B620" i="34"/>
  <c r="O620" i="34"/>
  <c r="P620" i="34"/>
  <c r="Q620" i="34"/>
  <c r="R620" i="34"/>
  <c r="S620" i="34"/>
  <c r="T620" i="34"/>
  <c r="U620" i="34"/>
  <c r="V620" i="34"/>
  <c r="W620" i="34"/>
  <c r="X620" i="34"/>
  <c r="Y620" i="34"/>
  <c r="N621" i="34"/>
  <c r="C621" i="34"/>
  <c r="B621" i="34"/>
  <c r="O621" i="34"/>
  <c r="P621" i="34"/>
  <c r="Q621" i="34"/>
  <c r="R621" i="34"/>
  <c r="S621" i="34"/>
  <c r="T621" i="34"/>
  <c r="U621" i="34"/>
  <c r="V621" i="34"/>
  <c r="W621" i="34"/>
  <c r="X621" i="34"/>
  <c r="Y621" i="34"/>
  <c r="N622" i="34"/>
  <c r="C622" i="34"/>
  <c r="B622" i="34"/>
  <c r="O622" i="34"/>
  <c r="P622" i="34"/>
  <c r="Q622" i="34"/>
  <c r="R622" i="34"/>
  <c r="S622" i="34"/>
  <c r="T622" i="34"/>
  <c r="U622" i="34"/>
  <c r="V622" i="34"/>
  <c r="W622" i="34"/>
  <c r="X622" i="34"/>
  <c r="Y622" i="34"/>
  <c r="N623" i="34"/>
  <c r="C623" i="34"/>
  <c r="B623" i="34"/>
  <c r="O623" i="34"/>
  <c r="P623" i="34"/>
  <c r="Q623" i="34"/>
  <c r="R623" i="34"/>
  <c r="S623" i="34"/>
  <c r="T623" i="34"/>
  <c r="U623" i="34"/>
  <c r="V623" i="34"/>
  <c r="W623" i="34"/>
  <c r="X623" i="34"/>
  <c r="Y623" i="34"/>
  <c r="N624" i="34"/>
  <c r="C624" i="34"/>
  <c r="B624" i="34"/>
  <c r="O624" i="34"/>
  <c r="P624" i="34"/>
  <c r="Q624" i="34"/>
  <c r="R624" i="34"/>
  <c r="S624" i="34"/>
  <c r="T624" i="34"/>
  <c r="U624" i="34"/>
  <c r="V624" i="34"/>
  <c r="W624" i="34"/>
  <c r="X624" i="34"/>
  <c r="Y624" i="34"/>
  <c r="N625" i="34"/>
  <c r="C625" i="34"/>
  <c r="B625" i="34"/>
  <c r="O625" i="34"/>
  <c r="P625" i="34"/>
  <c r="Q625" i="34"/>
  <c r="R625" i="34"/>
  <c r="S625" i="34"/>
  <c r="T625" i="34"/>
  <c r="U625" i="34"/>
  <c r="V625" i="34"/>
  <c r="W625" i="34"/>
  <c r="X625" i="34"/>
  <c r="Y625" i="34"/>
  <c r="N626" i="34"/>
  <c r="C626" i="34"/>
  <c r="B626" i="34"/>
  <c r="O626" i="34"/>
  <c r="P626" i="34"/>
  <c r="Q626" i="34"/>
  <c r="R626" i="34"/>
  <c r="S626" i="34"/>
  <c r="T626" i="34"/>
  <c r="U626" i="34"/>
  <c r="V626" i="34"/>
  <c r="W626" i="34"/>
  <c r="X626" i="34"/>
  <c r="Y626" i="34"/>
  <c r="N627" i="34"/>
  <c r="C627" i="34"/>
  <c r="B627" i="34"/>
  <c r="O627" i="34"/>
  <c r="P627" i="34"/>
  <c r="Q627" i="34"/>
  <c r="R627" i="34"/>
  <c r="S627" i="34"/>
  <c r="T627" i="34"/>
  <c r="U627" i="34"/>
  <c r="V627" i="34"/>
  <c r="W627" i="34"/>
  <c r="X627" i="34"/>
  <c r="Y627" i="34"/>
  <c r="N628" i="34"/>
  <c r="C628" i="34"/>
  <c r="B628" i="34"/>
  <c r="O628" i="34"/>
  <c r="P628" i="34"/>
  <c r="Q628" i="34"/>
  <c r="R628" i="34"/>
  <c r="S628" i="34"/>
  <c r="T628" i="34"/>
  <c r="U628" i="34"/>
  <c r="V628" i="34"/>
  <c r="W628" i="34"/>
  <c r="X628" i="34"/>
  <c r="Y628" i="34"/>
  <c r="N629" i="34"/>
  <c r="C629" i="34"/>
  <c r="B629" i="34"/>
  <c r="O629" i="34"/>
  <c r="P629" i="34"/>
  <c r="Q629" i="34"/>
  <c r="R629" i="34"/>
  <c r="S629" i="34"/>
  <c r="T629" i="34"/>
  <c r="U629" i="34"/>
  <c r="V629" i="34"/>
  <c r="W629" i="34"/>
  <c r="X629" i="34"/>
  <c r="Y629" i="34"/>
  <c r="N630" i="34"/>
  <c r="C630" i="34"/>
  <c r="B630" i="34"/>
  <c r="O630" i="34"/>
  <c r="P630" i="34"/>
  <c r="Q630" i="34"/>
  <c r="R630" i="34"/>
  <c r="S630" i="34"/>
  <c r="T630" i="34"/>
  <c r="U630" i="34"/>
  <c r="V630" i="34"/>
  <c r="W630" i="34"/>
  <c r="X630" i="34"/>
  <c r="Y630" i="34"/>
  <c r="N631" i="34"/>
  <c r="C631" i="34"/>
  <c r="B631" i="34"/>
  <c r="O631" i="34"/>
  <c r="P631" i="34"/>
  <c r="Q631" i="34"/>
  <c r="R631" i="34"/>
  <c r="S631" i="34"/>
  <c r="T631" i="34"/>
  <c r="U631" i="34"/>
  <c r="V631" i="34"/>
  <c r="W631" i="34"/>
  <c r="X631" i="34"/>
  <c r="Y631" i="34"/>
  <c r="N632" i="34"/>
  <c r="C632" i="34"/>
  <c r="B632" i="34"/>
  <c r="O632" i="34"/>
  <c r="P632" i="34"/>
  <c r="Q632" i="34"/>
  <c r="R632" i="34"/>
  <c r="S632" i="34"/>
  <c r="T632" i="34"/>
  <c r="U632" i="34"/>
  <c r="V632" i="34"/>
  <c r="W632" i="34"/>
  <c r="X632" i="34"/>
  <c r="Y632" i="34"/>
  <c r="N633" i="34"/>
  <c r="C633" i="34"/>
  <c r="B633" i="34"/>
  <c r="O633" i="34"/>
  <c r="P633" i="34"/>
  <c r="Q633" i="34"/>
  <c r="R633" i="34"/>
  <c r="S633" i="34"/>
  <c r="T633" i="34"/>
  <c r="U633" i="34"/>
  <c r="V633" i="34"/>
  <c r="W633" i="34"/>
  <c r="X633" i="34"/>
  <c r="Y633" i="34"/>
  <c r="N634" i="34"/>
  <c r="C634" i="34"/>
  <c r="B634" i="34"/>
  <c r="O634" i="34"/>
  <c r="P634" i="34"/>
  <c r="Q634" i="34"/>
  <c r="R634" i="34"/>
  <c r="S634" i="34"/>
  <c r="T634" i="34"/>
  <c r="U634" i="34"/>
  <c r="V634" i="34"/>
  <c r="W634" i="34"/>
  <c r="X634" i="34"/>
  <c r="Y634" i="34"/>
  <c r="N635" i="34"/>
  <c r="C635" i="34"/>
  <c r="B635" i="34"/>
  <c r="O635" i="34"/>
  <c r="P635" i="34"/>
  <c r="Q635" i="34"/>
  <c r="R635" i="34"/>
  <c r="S635" i="34"/>
  <c r="T635" i="34"/>
  <c r="U635" i="34"/>
  <c r="V635" i="34"/>
  <c r="W635" i="34"/>
  <c r="X635" i="34"/>
  <c r="Y635" i="34"/>
  <c r="N636" i="34"/>
  <c r="C636" i="34"/>
  <c r="B636" i="34"/>
  <c r="O636" i="34"/>
  <c r="P636" i="34"/>
  <c r="Q636" i="34"/>
  <c r="R636" i="34"/>
  <c r="S636" i="34"/>
  <c r="T636" i="34"/>
  <c r="U636" i="34"/>
  <c r="V636" i="34"/>
  <c r="W636" i="34"/>
  <c r="X636" i="34"/>
  <c r="Y636" i="34"/>
  <c r="N637" i="34"/>
  <c r="C637" i="34"/>
  <c r="B637" i="34"/>
  <c r="O637" i="34"/>
  <c r="P637" i="34"/>
  <c r="Q637" i="34"/>
  <c r="R637" i="34"/>
  <c r="S637" i="34"/>
  <c r="T637" i="34"/>
  <c r="U637" i="34"/>
  <c r="V637" i="34"/>
  <c r="W637" i="34"/>
  <c r="X637" i="34"/>
  <c r="Y637" i="34"/>
  <c r="N638" i="34"/>
  <c r="C638" i="34"/>
  <c r="B638" i="34"/>
  <c r="O638" i="34"/>
  <c r="P638" i="34"/>
  <c r="Q638" i="34"/>
  <c r="R638" i="34"/>
  <c r="S638" i="34"/>
  <c r="T638" i="34"/>
  <c r="U638" i="34"/>
  <c r="V638" i="34"/>
  <c r="W638" i="34"/>
  <c r="X638" i="34"/>
  <c r="Y638" i="34"/>
  <c r="N639" i="34"/>
  <c r="C639" i="34"/>
  <c r="B639" i="34"/>
  <c r="O639" i="34"/>
  <c r="P639" i="34"/>
  <c r="Q639" i="34"/>
  <c r="R639" i="34"/>
  <c r="S639" i="34"/>
  <c r="T639" i="34"/>
  <c r="U639" i="34"/>
  <c r="V639" i="34"/>
  <c r="W639" i="34"/>
  <c r="X639" i="34"/>
  <c r="Y639" i="34"/>
  <c r="N640" i="34"/>
  <c r="C640" i="34"/>
  <c r="B640" i="34"/>
  <c r="O640" i="34"/>
  <c r="P640" i="34"/>
  <c r="Q640" i="34"/>
  <c r="R640" i="34"/>
  <c r="S640" i="34"/>
  <c r="T640" i="34"/>
  <c r="U640" i="34"/>
  <c r="V640" i="34"/>
  <c r="W640" i="34"/>
  <c r="X640" i="34"/>
  <c r="Y640" i="34"/>
  <c r="N641" i="34"/>
  <c r="C641" i="34"/>
  <c r="B641" i="34"/>
  <c r="O641" i="34"/>
  <c r="P641" i="34"/>
  <c r="Q641" i="34"/>
  <c r="R641" i="34"/>
  <c r="S641" i="34"/>
  <c r="T641" i="34"/>
  <c r="U641" i="34"/>
  <c r="V641" i="34"/>
  <c r="W641" i="34"/>
  <c r="X641" i="34"/>
  <c r="Y641" i="34"/>
  <c r="N642" i="34"/>
  <c r="C642" i="34"/>
  <c r="B642" i="34"/>
  <c r="O642" i="34"/>
  <c r="P642" i="34"/>
  <c r="Q642" i="34"/>
  <c r="R642" i="34"/>
  <c r="S642" i="34"/>
  <c r="T642" i="34"/>
  <c r="U642" i="34"/>
  <c r="V642" i="34"/>
  <c r="W642" i="34"/>
  <c r="X642" i="34"/>
  <c r="Y642" i="34"/>
  <c r="N643" i="34"/>
  <c r="C643" i="34"/>
  <c r="B643" i="34"/>
  <c r="O643" i="34"/>
  <c r="P643" i="34"/>
  <c r="Q643" i="34"/>
  <c r="R643" i="34"/>
  <c r="S643" i="34"/>
  <c r="T643" i="34"/>
  <c r="U643" i="34"/>
  <c r="V643" i="34"/>
  <c r="W643" i="34"/>
  <c r="X643" i="34"/>
  <c r="Y643" i="34"/>
  <c r="N644" i="34"/>
  <c r="C644" i="34"/>
  <c r="B644" i="34"/>
  <c r="O644" i="34"/>
  <c r="P644" i="34"/>
  <c r="Q644" i="34"/>
  <c r="R644" i="34"/>
  <c r="S644" i="34"/>
  <c r="T644" i="34"/>
  <c r="U644" i="34"/>
  <c r="V644" i="34"/>
  <c r="W644" i="34"/>
  <c r="X644" i="34"/>
  <c r="Y644" i="34"/>
  <c r="N645" i="34"/>
  <c r="C645" i="34"/>
  <c r="B645" i="34"/>
  <c r="O645" i="34"/>
  <c r="P645" i="34"/>
  <c r="Q645" i="34"/>
  <c r="R645" i="34"/>
  <c r="S645" i="34"/>
  <c r="T645" i="34"/>
  <c r="U645" i="34"/>
  <c r="V645" i="34"/>
  <c r="W645" i="34"/>
  <c r="X645" i="34"/>
  <c r="Y645" i="34"/>
  <c r="N646" i="34"/>
  <c r="C646" i="34"/>
  <c r="B646" i="34"/>
  <c r="O646" i="34"/>
  <c r="P646" i="34"/>
  <c r="Q646" i="34"/>
  <c r="R646" i="34"/>
  <c r="S646" i="34"/>
  <c r="T646" i="34"/>
  <c r="U646" i="34"/>
  <c r="V646" i="34"/>
  <c r="W646" i="34"/>
  <c r="X646" i="34"/>
  <c r="Y646" i="34"/>
  <c r="N647" i="34"/>
  <c r="C647" i="34"/>
  <c r="B647" i="34"/>
  <c r="O647" i="34"/>
  <c r="P647" i="34"/>
  <c r="Q647" i="34"/>
  <c r="R647" i="34"/>
  <c r="S647" i="34"/>
  <c r="T647" i="34"/>
  <c r="U647" i="34"/>
  <c r="V647" i="34"/>
  <c r="W647" i="34"/>
  <c r="X647" i="34"/>
  <c r="Y647" i="34"/>
  <c r="N648" i="34"/>
  <c r="C648" i="34"/>
  <c r="B648" i="34"/>
  <c r="O648" i="34"/>
  <c r="P648" i="34"/>
  <c r="Q648" i="34"/>
  <c r="R648" i="34"/>
  <c r="S648" i="34"/>
  <c r="T648" i="34"/>
  <c r="U648" i="34"/>
  <c r="V648" i="34"/>
  <c r="W648" i="34"/>
  <c r="X648" i="34"/>
  <c r="Y648" i="34"/>
  <c r="N649" i="34"/>
  <c r="C649" i="34"/>
  <c r="B649" i="34"/>
  <c r="O649" i="34"/>
  <c r="P649" i="34"/>
  <c r="Q649" i="34"/>
  <c r="R649" i="34"/>
  <c r="S649" i="34"/>
  <c r="T649" i="34"/>
  <c r="U649" i="34"/>
  <c r="V649" i="34"/>
  <c r="W649" i="34"/>
  <c r="X649" i="34"/>
  <c r="Y649" i="34"/>
  <c r="N650" i="34"/>
  <c r="C650" i="34"/>
  <c r="B650" i="34"/>
  <c r="O650" i="34"/>
  <c r="P650" i="34"/>
  <c r="Q650" i="34"/>
  <c r="R650" i="34"/>
  <c r="S650" i="34"/>
  <c r="T650" i="34"/>
  <c r="U650" i="34"/>
  <c r="V650" i="34"/>
  <c r="W650" i="34"/>
  <c r="X650" i="34"/>
  <c r="Y650" i="34"/>
  <c r="N651" i="34"/>
  <c r="C651" i="34"/>
  <c r="B651" i="34"/>
  <c r="O651" i="34"/>
  <c r="P651" i="34"/>
  <c r="Q651" i="34"/>
  <c r="R651" i="34"/>
  <c r="S651" i="34"/>
  <c r="T651" i="34"/>
  <c r="U651" i="34"/>
  <c r="V651" i="34"/>
  <c r="W651" i="34"/>
  <c r="X651" i="34"/>
  <c r="Y651" i="34"/>
  <c r="N652" i="34"/>
  <c r="C652" i="34"/>
  <c r="B652" i="34"/>
  <c r="O652" i="34"/>
  <c r="P652" i="34"/>
  <c r="Q652" i="34"/>
  <c r="R652" i="34"/>
  <c r="S652" i="34"/>
  <c r="T652" i="34"/>
  <c r="U652" i="34"/>
  <c r="V652" i="34"/>
  <c r="W652" i="34"/>
  <c r="X652" i="34"/>
  <c r="Y652" i="34"/>
  <c r="N653" i="34"/>
  <c r="C653" i="34"/>
  <c r="B653" i="34"/>
  <c r="O653" i="34"/>
  <c r="P653" i="34"/>
  <c r="Q653" i="34"/>
  <c r="R653" i="34"/>
  <c r="S653" i="34"/>
  <c r="T653" i="34"/>
  <c r="U653" i="34"/>
  <c r="V653" i="34"/>
  <c r="W653" i="34"/>
  <c r="X653" i="34"/>
  <c r="Y653" i="34"/>
  <c r="N654" i="34"/>
  <c r="C654" i="34"/>
  <c r="B654" i="34"/>
  <c r="O654" i="34"/>
  <c r="P654" i="34"/>
  <c r="Q654" i="34"/>
  <c r="R654" i="34"/>
  <c r="S654" i="34"/>
  <c r="T654" i="34"/>
  <c r="U654" i="34"/>
  <c r="V654" i="34"/>
  <c r="W654" i="34"/>
  <c r="X654" i="34"/>
  <c r="Y654" i="34"/>
  <c r="N655" i="34"/>
  <c r="C655" i="34"/>
  <c r="B655" i="34"/>
  <c r="O655" i="34"/>
  <c r="P655" i="34"/>
  <c r="Q655" i="34"/>
  <c r="R655" i="34"/>
  <c r="S655" i="34"/>
  <c r="T655" i="34"/>
  <c r="U655" i="34"/>
  <c r="V655" i="34"/>
  <c r="W655" i="34"/>
  <c r="X655" i="34"/>
  <c r="Y655" i="34"/>
  <c r="N656" i="34"/>
  <c r="C656" i="34"/>
  <c r="B656" i="34"/>
  <c r="O656" i="34"/>
  <c r="P656" i="34"/>
  <c r="Q656" i="34"/>
  <c r="R656" i="34"/>
  <c r="S656" i="34"/>
  <c r="T656" i="34"/>
  <c r="U656" i="34"/>
  <c r="V656" i="34"/>
  <c r="W656" i="34"/>
  <c r="X656" i="34"/>
  <c r="Y656" i="34"/>
  <c r="N657" i="34"/>
  <c r="C657" i="34"/>
  <c r="B657" i="34"/>
  <c r="O657" i="34"/>
  <c r="P657" i="34"/>
  <c r="Q657" i="34"/>
  <c r="R657" i="34"/>
  <c r="S657" i="34"/>
  <c r="T657" i="34"/>
  <c r="U657" i="34"/>
  <c r="V657" i="34"/>
  <c r="W657" i="34"/>
  <c r="X657" i="34"/>
  <c r="Y657" i="34"/>
  <c r="N658" i="34"/>
  <c r="C658" i="34"/>
  <c r="B658" i="34"/>
  <c r="O658" i="34"/>
  <c r="P658" i="34"/>
  <c r="Q658" i="34"/>
  <c r="R658" i="34"/>
  <c r="S658" i="34"/>
  <c r="T658" i="34"/>
  <c r="U658" i="34"/>
  <c r="V658" i="34"/>
  <c r="W658" i="34"/>
  <c r="X658" i="34"/>
  <c r="Y658" i="34"/>
  <c r="N659" i="34"/>
  <c r="C659" i="34"/>
  <c r="B659" i="34"/>
  <c r="O659" i="34"/>
  <c r="P659" i="34"/>
  <c r="Q659" i="34"/>
  <c r="R659" i="34"/>
  <c r="S659" i="34"/>
  <c r="T659" i="34"/>
  <c r="U659" i="34"/>
  <c r="V659" i="34"/>
  <c r="W659" i="34"/>
  <c r="X659" i="34"/>
  <c r="Y659" i="34"/>
  <c r="N660" i="34"/>
  <c r="C660" i="34"/>
  <c r="B660" i="34"/>
  <c r="O660" i="34"/>
  <c r="P660" i="34"/>
  <c r="Q660" i="34"/>
  <c r="R660" i="34"/>
  <c r="S660" i="34"/>
  <c r="T660" i="34"/>
  <c r="U660" i="34"/>
  <c r="V660" i="34"/>
  <c r="W660" i="34"/>
  <c r="X660" i="34"/>
  <c r="Y660" i="34"/>
  <c r="N661" i="34"/>
  <c r="C661" i="34"/>
  <c r="B661" i="34"/>
  <c r="O661" i="34"/>
  <c r="P661" i="34"/>
  <c r="Q661" i="34"/>
  <c r="R661" i="34"/>
  <c r="S661" i="34"/>
  <c r="T661" i="34"/>
  <c r="U661" i="34"/>
  <c r="V661" i="34"/>
  <c r="W661" i="34"/>
  <c r="X661" i="34"/>
  <c r="Y661" i="34"/>
  <c r="N662" i="34"/>
  <c r="C662" i="34"/>
  <c r="B662" i="34"/>
  <c r="O662" i="34"/>
  <c r="P662" i="34"/>
  <c r="Q662" i="34"/>
  <c r="R662" i="34"/>
  <c r="S662" i="34"/>
  <c r="T662" i="34"/>
  <c r="U662" i="34"/>
  <c r="V662" i="34"/>
  <c r="W662" i="34"/>
  <c r="X662" i="34"/>
  <c r="Y662" i="34"/>
  <c r="N663" i="34"/>
  <c r="C663" i="34"/>
  <c r="B663" i="34"/>
  <c r="O663" i="34"/>
  <c r="P663" i="34"/>
  <c r="Q663" i="34"/>
  <c r="R663" i="34"/>
  <c r="S663" i="34"/>
  <c r="T663" i="34"/>
  <c r="U663" i="34"/>
  <c r="V663" i="34"/>
  <c r="W663" i="34"/>
  <c r="X663" i="34"/>
  <c r="Y663" i="34"/>
  <c r="N664" i="34"/>
  <c r="C664" i="34"/>
  <c r="B664" i="34"/>
  <c r="O664" i="34"/>
  <c r="P664" i="34"/>
  <c r="Q664" i="34"/>
  <c r="R664" i="34"/>
  <c r="S664" i="34"/>
  <c r="T664" i="34"/>
  <c r="U664" i="34"/>
  <c r="V664" i="34"/>
  <c r="W664" i="34"/>
  <c r="X664" i="34"/>
  <c r="Y664" i="34"/>
  <c r="N665" i="34"/>
  <c r="C665" i="34"/>
  <c r="B665" i="34"/>
  <c r="O665" i="34"/>
  <c r="P665" i="34"/>
  <c r="Q665" i="34"/>
  <c r="R665" i="34"/>
  <c r="S665" i="34"/>
  <c r="T665" i="34"/>
  <c r="U665" i="34"/>
  <c r="V665" i="34"/>
  <c r="W665" i="34"/>
  <c r="X665" i="34"/>
  <c r="Y665" i="34"/>
  <c r="N666" i="34"/>
  <c r="C666" i="34"/>
  <c r="B666" i="34"/>
  <c r="O666" i="34"/>
  <c r="P666" i="34"/>
  <c r="Q666" i="34"/>
  <c r="R666" i="34"/>
  <c r="S666" i="34"/>
  <c r="T666" i="34"/>
  <c r="U666" i="34"/>
  <c r="V666" i="34"/>
  <c r="W666" i="34"/>
  <c r="X666" i="34"/>
  <c r="Y666" i="34"/>
  <c r="N667" i="34"/>
  <c r="C667" i="34"/>
  <c r="B667" i="34"/>
  <c r="O667" i="34"/>
  <c r="P667" i="34"/>
  <c r="Q667" i="34"/>
  <c r="R667" i="34"/>
  <c r="S667" i="34"/>
  <c r="T667" i="34"/>
  <c r="U667" i="34"/>
  <c r="V667" i="34"/>
  <c r="W667" i="34"/>
  <c r="X667" i="34"/>
  <c r="Y667" i="34"/>
  <c r="N668" i="34"/>
  <c r="C668" i="34"/>
  <c r="B668" i="34"/>
  <c r="O668" i="34"/>
  <c r="P668" i="34"/>
  <c r="Q668" i="34"/>
  <c r="R668" i="34"/>
  <c r="S668" i="34"/>
  <c r="T668" i="34"/>
  <c r="U668" i="34"/>
  <c r="V668" i="34"/>
  <c r="W668" i="34"/>
  <c r="X668" i="34"/>
  <c r="Y668" i="34"/>
  <c r="N669" i="34"/>
  <c r="C669" i="34"/>
  <c r="B669" i="34"/>
  <c r="O669" i="34"/>
  <c r="P669" i="34"/>
  <c r="Q669" i="34"/>
  <c r="R669" i="34"/>
  <c r="S669" i="34"/>
  <c r="T669" i="34"/>
  <c r="U669" i="34"/>
  <c r="V669" i="34"/>
  <c r="W669" i="34"/>
  <c r="X669" i="34"/>
  <c r="Y669" i="34"/>
  <c r="N670" i="34"/>
  <c r="C670" i="34"/>
  <c r="B670" i="34"/>
  <c r="O670" i="34"/>
  <c r="P670" i="34"/>
  <c r="Q670" i="34"/>
  <c r="R670" i="34"/>
  <c r="S670" i="34"/>
  <c r="T670" i="34"/>
  <c r="U670" i="34"/>
  <c r="V670" i="34"/>
  <c r="W670" i="34"/>
  <c r="X670" i="34"/>
  <c r="Y670" i="34"/>
  <c r="N671" i="34"/>
  <c r="C671" i="34"/>
  <c r="B671" i="34"/>
  <c r="O671" i="34"/>
  <c r="P671" i="34"/>
  <c r="Q671" i="34"/>
  <c r="R671" i="34"/>
  <c r="S671" i="34"/>
  <c r="T671" i="34"/>
  <c r="U671" i="34"/>
  <c r="V671" i="34"/>
  <c r="W671" i="34"/>
  <c r="X671" i="34"/>
  <c r="Y671" i="34"/>
  <c r="N672" i="34"/>
  <c r="C672" i="34"/>
  <c r="B672" i="34"/>
  <c r="O672" i="34"/>
  <c r="P672" i="34"/>
  <c r="Q672" i="34"/>
  <c r="R672" i="34"/>
  <c r="S672" i="34"/>
  <c r="T672" i="34"/>
  <c r="U672" i="34"/>
  <c r="V672" i="34"/>
  <c r="W672" i="34"/>
  <c r="X672" i="34"/>
  <c r="Y672" i="34"/>
  <c r="N673" i="34"/>
  <c r="C673" i="34"/>
  <c r="B673" i="34"/>
  <c r="O673" i="34"/>
  <c r="P673" i="34"/>
  <c r="Q673" i="34"/>
  <c r="R673" i="34"/>
  <c r="S673" i="34"/>
  <c r="T673" i="34"/>
  <c r="U673" i="34"/>
  <c r="V673" i="34"/>
  <c r="W673" i="34"/>
  <c r="X673" i="34"/>
  <c r="Y673" i="34"/>
  <c r="N674" i="34"/>
  <c r="C674" i="34"/>
  <c r="B674" i="34"/>
  <c r="O674" i="34"/>
  <c r="P674" i="34"/>
  <c r="Q674" i="34"/>
  <c r="R674" i="34"/>
  <c r="S674" i="34"/>
  <c r="T674" i="34"/>
  <c r="U674" i="34"/>
  <c r="V674" i="34"/>
  <c r="W674" i="34"/>
  <c r="X674" i="34"/>
  <c r="Y674" i="34"/>
  <c r="N675" i="34"/>
  <c r="C675" i="34"/>
  <c r="B675" i="34"/>
  <c r="O675" i="34"/>
  <c r="P675" i="34"/>
  <c r="Q675" i="34"/>
  <c r="R675" i="34"/>
  <c r="S675" i="34"/>
  <c r="T675" i="34"/>
  <c r="U675" i="34"/>
  <c r="V675" i="34"/>
  <c r="W675" i="34"/>
  <c r="X675" i="34"/>
  <c r="Y675" i="34"/>
  <c r="N676" i="34"/>
  <c r="C676" i="34"/>
  <c r="B676" i="34"/>
  <c r="O676" i="34"/>
  <c r="P676" i="34"/>
  <c r="Q676" i="34"/>
  <c r="R676" i="34"/>
  <c r="S676" i="34"/>
  <c r="T676" i="34"/>
  <c r="U676" i="34"/>
  <c r="V676" i="34"/>
  <c r="W676" i="34"/>
  <c r="X676" i="34"/>
  <c r="Y676" i="34"/>
  <c r="N677" i="34"/>
  <c r="C677" i="34"/>
  <c r="B677" i="34"/>
  <c r="O677" i="34"/>
  <c r="P677" i="34"/>
  <c r="Q677" i="34"/>
  <c r="R677" i="34"/>
  <c r="S677" i="34"/>
  <c r="T677" i="34"/>
  <c r="U677" i="34"/>
  <c r="V677" i="34"/>
  <c r="W677" i="34"/>
  <c r="X677" i="34"/>
  <c r="Y677" i="34"/>
  <c r="N678" i="34"/>
  <c r="C678" i="34"/>
  <c r="B678" i="34"/>
  <c r="O678" i="34"/>
  <c r="P678" i="34"/>
  <c r="Q678" i="34"/>
  <c r="R678" i="34"/>
  <c r="S678" i="34"/>
  <c r="T678" i="34"/>
  <c r="U678" i="34"/>
  <c r="V678" i="34"/>
  <c r="W678" i="34"/>
  <c r="X678" i="34"/>
  <c r="Y678" i="34"/>
  <c r="N679" i="34"/>
  <c r="C679" i="34"/>
  <c r="B679" i="34"/>
  <c r="O679" i="34"/>
  <c r="P679" i="34"/>
  <c r="Q679" i="34"/>
  <c r="R679" i="34"/>
  <c r="S679" i="34"/>
  <c r="T679" i="34"/>
  <c r="U679" i="34"/>
  <c r="V679" i="34"/>
  <c r="W679" i="34"/>
  <c r="X679" i="34"/>
  <c r="Y679" i="34"/>
  <c r="N680" i="34"/>
  <c r="C680" i="34"/>
  <c r="B680" i="34"/>
  <c r="O680" i="34"/>
  <c r="P680" i="34"/>
  <c r="Q680" i="34"/>
  <c r="R680" i="34"/>
  <c r="S680" i="34"/>
  <c r="T680" i="34"/>
  <c r="U680" i="34"/>
  <c r="V680" i="34"/>
  <c r="W680" i="34"/>
  <c r="X680" i="34"/>
  <c r="Y680" i="34"/>
  <c r="N681" i="34"/>
  <c r="C681" i="34"/>
  <c r="B681" i="34"/>
  <c r="O681" i="34"/>
  <c r="P681" i="34"/>
  <c r="Q681" i="34"/>
  <c r="R681" i="34"/>
  <c r="S681" i="34"/>
  <c r="T681" i="34"/>
  <c r="U681" i="34"/>
  <c r="V681" i="34"/>
  <c r="W681" i="34"/>
  <c r="X681" i="34"/>
  <c r="Y681" i="34"/>
  <c r="N682" i="34"/>
  <c r="C682" i="34"/>
  <c r="B682" i="34"/>
  <c r="O682" i="34"/>
  <c r="P682" i="34"/>
  <c r="Q682" i="34"/>
  <c r="R682" i="34"/>
  <c r="S682" i="34"/>
  <c r="T682" i="34"/>
  <c r="U682" i="34"/>
  <c r="V682" i="34"/>
  <c r="W682" i="34"/>
  <c r="X682" i="34"/>
  <c r="Y682" i="34"/>
  <c r="N683" i="34"/>
  <c r="C683" i="34"/>
  <c r="B683" i="34"/>
  <c r="O683" i="34"/>
  <c r="P683" i="34"/>
  <c r="Q683" i="34"/>
  <c r="R683" i="34"/>
  <c r="S683" i="34"/>
  <c r="T683" i="34"/>
  <c r="U683" i="34"/>
  <c r="V683" i="34"/>
  <c r="W683" i="34"/>
  <c r="X683" i="34"/>
  <c r="Y683" i="34"/>
  <c r="N684" i="34"/>
  <c r="C684" i="34"/>
  <c r="B684" i="34"/>
  <c r="O684" i="34"/>
  <c r="P684" i="34"/>
  <c r="Q684" i="34"/>
  <c r="R684" i="34"/>
  <c r="S684" i="34"/>
  <c r="T684" i="34"/>
  <c r="U684" i="34"/>
  <c r="V684" i="34"/>
  <c r="W684" i="34"/>
  <c r="X684" i="34"/>
  <c r="Y684" i="34"/>
  <c r="N685" i="34"/>
  <c r="C685" i="34"/>
  <c r="B685" i="34"/>
  <c r="O685" i="34"/>
  <c r="P685" i="34"/>
  <c r="Q685" i="34"/>
  <c r="R685" i="34"/>
  <c r="S685" i="34"/>
  <c r="T685" i="34"/>
  <c r="U685" i="34"/>
  <c r="V685" i="34"/>
  <c r="W685" i="34"/>
  <c r="X685" i="34"/>
  <c r="Y685" i="34"/>
  <c r="N686" i="34"/>
  <c r="C686" i="34"/>
  <c r="B686" i="34"/>
  <c r="O686" i="34"/>
  <c r="P686" i="34"/>
  <c r="Q686" i="34"/>
  <c r="R686" i="34"/>
  <c r="S686" i="34"/>
  <c r="T686" i="34"/>
  <c r="U686" i="34"/>
  <c r="V686" i="34"/>
  <c r="W686" i="34"/>
  <c r="X686" i="34"/>
  <c r="Y686" i="34"/>
  <c r="N687" i="34"/>
  <c r="C687" i="34"/>
  <c r="B687" i="34"/>
  <c r="O687" i="34"/>
  <c r="P687" i="34"/>
  <c r="Q687" i="34"/>
  <c r="R687" i="34"/>
  <c r="S687" i="34"/>
  <c r="T687" i="34"/>
  <c r="U687" i="34"/>
  <c r="V687" i="34"/>
  <c r="W687" i="34"/>
  <c r="X687" i="34"/>
  <c r="Y687" i="34"/>
  <c r="N688" i="34"/>
  <c r="C688" i="34"/>
  <c r="B688" i="34"/>
  <c r="O688" i="34"/>
  <c r="P688" i="34"/>
  <c r="Q688" i="34"/>
  <c r="R688" i="34"/>
  <c r="S688" i="34"/>
  <c r="T688" i="34"/>
  <c r="U688" i="34"/>
  <c r="V688" i="34"/>
  <c r="W688" i="34"/>
  <c r="X688" i="34"/>
  <c r="Y688" i="34"/>
  <c r="N689" i="34"/>
  <c r="C689" i="34"/>
  <c r="B689" i="34"/>
  <c r="O689" i="34"/>
  <c r="P689" i="34"/>
  <c r="Q689" i="34"/>
  <c r="R689" i="34"/>
  <c r="S689" i="34"/>
  <c r="T689" i="34"/>
  <c r="U689" i="34"/>
  <c r="V689" i="34"/>
  <c r="W689" i="34"/>
  <c r="X689" i="34"/>
  <c r="Y689" i="34"/>
  <c r="N690" i="34"/>
  <c r="C690" i="34"/>
  <c r="B690" i="34"/>
  <c r="O690" i="34"/>
  <c r="P690" i="34"/>
  <c r="Q690" i="34"/>
  <c r="R690" i="34"/>
  <c r="S690" i="34"/>
  <c r="T690" i="34"/>
  <c r="U690" i="34"/>
  <c r="V690" i="34"/>
  <c r="W690" i="34"/>
  <c r="X690" i="34"/>
  <c r="Y690" i="34"/>
  <c r="N691" i="34"/>
  <c r="C691" i="34"/>
  <c r="B691" i="34"/>
  <c r="O691" i="34"/>
  <c r="P691" i="34"/>
  <c r="Q691" i="34"/>
  <c r="R691" i="34"/>
  <c r="S691" i="34"/>
  <c r="T691" i="34"/>
  <c r="U691" i="34"/>
  <c r="V691" i="34"/>
  <c r="W691" i="34"/>
  <c r="X691" i="34"/>
  <c r="Y691" i="34"/>
  <c r="N692" i="34"/>
  <c r="C692" i="34"/>
  <c r="B692" i="34"/>
  <c r="O692" i="34"/>
  <c r="P692" i="34"/>
  <c r="Q692" i="34"/>
  <c r="R692" i="34"/>
  <c r="S692" i="34"/>
  <c r="T692" i="34"/>
  <c r="U692" i="34"/>
  <c r="V692" i="34"/>
  <c r="W692" i="34"/>
  <c r="X692" i="34"/>
  <c r="Y692" i="34"/>
  <c r="N693" i="34"/>
  <c r="C693" i="34"/>
  <c r="B693" i="34"/>
  <c r="O693" i="34"/>
  <c r="P693" i="34"/>
  <c r="Q693" i="34"/>
  <c r="R693" i="34"/>
  <c r="S693" i="34"/>
  <c r="T693" i="34"/>
  <c r="U693" i="34"/>
  <c r="V693" i="34"/>
  <c r="W693" i="34"/>
  <c r="X693" i="34"/>
  <c r="Y693" i="34"/>
  <c r="N694" i="34"/>
  <c r="C694" i="34"/>
  <c r="B694" i="34"/>
  <c r="O694" i="34"/>
  <c r="P694" i="34"/>
  <c r="Q694" i="34"/>
  <c r="R694" i="34"/>
  <c r="S694" i="34"/>
  <c r="T694" i="34"/>
  <c r="U694" i="34"/>
  <c r="V694" i="34"/>
  <c r="W694" i="34"/>
  <c r="X694" i="34"/>
  <c r="Y694" i="34"/>
  <c r="N695" i="34"/>
  <c r="C695" i="34"/>
  <c r="B695" i="34"/>
  <c r="O695" i="34"/>
  <c r="P695" i="34"/>
  <c r="Q695" i="34"/>
  <c r="R695" i="34"/>
  <c r="S695" i="34"/>
  <c r="T695" i="34"/>
  <c r="U695" i="34"/>
  <c r="V695" i="34"/>
  <c r="W695" i="34"/>
  <c r="X695" i="34"/>
  <c r="Y695" i="34"/>
  <c r="N696" i="34"/>
  <c r="C696" i="34"/>
  <c r="B696" i="34"/>
  <c r="O696" i="34"/>
  <c r="P696" i="34"/>
  <c r="Q696" i="34"/>
  <c r="R696" i="34"/>
  <c r="S696" i="34"/>
  <c r="T696" i="34"/>
  <c r="U696" i="34"/>
  <c r="V696" i="34"/>
  <c r="W696" i="34"/>
  <c r="X696" i="34"/>
  <c r="Y696" i="34"/>
  <c r="N697" i="34"/>
  <c r="C697" i="34"/>
  <c r="B697" i="34"/>
  <c r="O697" i="34"/>
  <c r="P697" i="34"/>
  <c r="Q697" i="34"/>
  <c r="R697" i="34"/>
  <c r="S697" i="34"/>
  <c r="T697" i="34"/>
  <c r="U697" i="34"/>
  <c r="V697" i="34"/>
  <c r="W697" i="34"/>
  <c r="X697" i="34"/>
  <c r="Y697" i="34"/>
  <c r="N698" i="34"/>
  <c r="C698" i="34"/>
  <c r="B698" i="34"/>
  <c r="O698" i="34"/>
  <c r="P698" i="34"/>
  <c r="Q698" i="34"/>
  <c r="R698" i="34"/>
  <c r="S698" i="34"/>
  <c r="T698" i="34"/>
  <c r="U698" i="34"/>
  <c r="V698" i="34"/>
  <c r="W698" i="34"/>
  <c r="X698" i="34"/>
  <c r="Y698" i="34"/>
  <c r="N699" i="34"/>
  <c r="C699" i="34"/>
  <c r="B699" i="34"/>
  <c r="O699" i="34"/>
  <c r="P699" i="34"/>
  <c r="Q699" i="34"/>
  <c r="R699" i="34"/>
  <c r="S699" i="34"/>
  <c r="T699" i="34"/>
  <c r="U699" i="34"/>
  <c r="V699" i="34"/>
  <c r="W699" i="34"/>
  <c r="X699" i="34"/>
  <c r="Y699" i="34"/>
  <c r="N700" i="34"/>
  <c r="C700" i="34"/>
  <c r="B700" i="34"/>
  <c r="O700" i="34"/>
  <c r="P700" i="34"/>
  <c r="Q700" i="34"/>
  <c r="R700" i="34"/>
  <c r="S700" i="34"/>
  <c r="T700" i="34"/>
  <c r="U700" i="34"/>
  <c r="V700" i="34"/>
  <c r="W700" i="34"/>
  <c r="X700" i="34"/>
  <c r="Y700" i="34"/>
  <c r="N701" i="34"/>
  <c r="C701" i="34"/>
  <c r="B701" i="34"/>
  <c r="O701" i="34"/>
  <c r="P701" i="34"/>
  <c r="Q701" i="34"/>
  <c r="R701" i="34"/>
  <c r="S701" i="34"/>
  <c r="T701" i="34"/>
  <c r="U701" i="34"/>
  <c r="V701" i="34"/>
  <c r="W701" i="34"/>
  <c r="X701" i="34"/>
  <c r="Y701" i="34"/>
  <c r="N702" i="34"/>
  <c r="C702" i="34"/>
  <c r="B702" i="34"/>
  <c r="O702" i="34"/>
  <c r="P702" i="34"/>
  <c r="Q702" i="34"/>
  <c r="R702" i="34"/>
  <c r="S702" i="34"/>
  <c r="T702" i="34"/>
  <c r="U702" i="34"/>
  <c r="V702" i="34"/>
  <c r="W702" i="34"/>
  <c r="X702" i="34"/>
  <c r="Y702" i="34"/>
  <c r="N703" i="34"/>
  <c r="C703" i="34"/>
  <c r="B703" i="34"/>
  <c r="O703" i="34"/>
  <c r="P703" i="34"/>
  <c r="Q703" i="34"/>
  <c r="R703" i="34"/>
  <c r="S703" i="34"/>
  <c r="T703" i="34"/>
  <c r="U703" i="34"/>
  <c r="V703" i="34"/>
  <c r="W703" i="34"/>
  <c r="X703" i="34"/>
  <c r="Y703" i="34"/>
  <c r="N704" i="34"/>
  <c r="C704" i="34"/>
  <c r="B704" i="34"/>
  <c r="O704" i="34"/>
  <c r="P704" i="34"/>
  <c r="Q704" i="34"/>
  <c r="R704" i="34"/>
  <c r="S704" i="34"/>
  <c r="T704" i="34"/>
  <c r="U704" i="34"/>
  <c r="V704" i="34"/>
  <c r="W704" i="34"/>
  <c r="X704" i="34"/>
  <c r="Y704" i="34"/>
  <c r="N705" i="34"/>
  <c r="C705" i="34"/>
  <c r="B705" i="34"/>
  <c r="O705" i="34"/>
  <c r="P705" i="34"/>
  <c r="Q705" i="34"/>
  <c r="R705" i="34"/>
  <c r="S705" i="34"/>
  <c r="T705" i="34"/>
  <c r="U705" i="34"/>
  <c r="V705" i="34"/>
  <c r="W705" i="34"/>
  <c r="X705" i="34"/>
  <c r="Y705" i="34"/>
  <c r="N706" i="34"/>
  <c r="C706" i="34"/>
  <c r="B706" i="34"/>
  <c r="O706" i="34"/>
  <c r="P706" i="34"/>
  <c r="Q706" i="34"/>
  <c r="R706" i="34"/>
  <c r="S706" i="34"/>
  <c r="T706" i="34"/>
  <c r="U706" i="34"/>
  <c r="V706" i="34"/>
  <c r="W706" i="34"/>
  <c r="X706" i="34"/>
  <c r="Y706" i="34"/>
  <c r="N707" i="34"/>
  <c r="C707" i="34"/>
  <c r="B707" i="34"/>
  <c r="O707" i="34"/>
  <c r="P707" i="34"/>
  <c r="Q707" i="34"/>
  <c r="R707" i="34"/>
  <c r="S707" i="34"/>
  <c r="T707" i="34"/>
  <c r="U707" i="34"/>
  <c r="V707" i="34"/>
  <c r="W707" i="34"/>
  <c r="X707" i="34"/>
  <c r="Y707" i="34"/>
  <c r="N708" i="34"/>
  <c r="C708" i="34"/>
  <c r="B708" i="34"/>
  <c r="O708" i="34"/>
  <c r="P708" i="34"/>
  <c r="Q708" i="34"/>
  <c r="R708" i="34"/>
  <c r="S708" i="34"/>
  <c r="T708" i="34"/>
  <c r="U708" i="34"/>
  <c r="V708" i="34"/>
  <c r="W708" i="34"/>
  <c r="X708" i="34"/>
  <c r="Y708" i="34"/>
  <c r="N709" i="34"/>
  <c r="C709" i="34"/>
  <c r="B709" i="34"/>
  <c r="O709" i="34"/>
  <c r="P709" i="34"/>
  <c r="Q709" i="34"/>
  <c r="R709" i="34"/>
  <c r="S709" i="34"/>
  <c r="T709" i="34"/>
  <c r="U709" i="34"/>
  <c r="V709" i="34"/>
  <c r="W709" i="34"/>
  <c r="X709" i="34"/>
  <c r="Y709" i="34"/>
  <c r="N710" i="34"/>
  <c r="C710" i="34"/>
  <c r="B710" i="34"/>
  <c r="O710" i="34"/>
  <c r="P710" i="34"/>
  <c r="Q710" i="34"/>
  <c r="R710" i="34"/>
  <c r="S710" i="34"/>
  <c r="T710" i="34"/>
  <c r="U710" i="34"/>
  <c r="V710" i="34"/>
  <c r="W710" i="34"/>
  <c r="X710" i="34"/>
  <c r="Y710" i="34"/>
  <c r="N711" i="34"/>
  <c r="C711" i="34"/>
  <c r="B711" i="34"/>
  <c r="O711" i="34"/>
  <c r="P711" i="34"/>
  <c r="Q711" i="34"/>
  <c r="R711" i="34"/>
  <c r="S711" i="34"/>
  <c r="T711" i="34"/>
  <c r="U711" i="34"/>
  <c r="V711" i="34"/>
  <c r="W711" i="34"/>
  <c r="X711" i="34"/>
  <c r="Y711" i="34"/>
  <c r="N712" i="34"/>
  <c r="C712" i="34"/>
  <c r="B712" i="34"/>
  <c r="O712" i="34"/>
  <c r="P712" i="34"/>
  <c r="Q712" i="34"/>
  <c r="R712" i="34"/>
  <c r="S712" i="34"/>
  <c r="T712" i="34"/>
  <c r="U712" i="34"/>
  <c r="V712" i="34"/>
  <c r="W712" i="34"/>
  <c r="X712" i="34"/>
  <c r="Y712" i="34"/>
  <c r="N713" i="34"/>
  <c r="C713" i="34"/>
  <c r="B713" i="34"/>
  <c r="O713" i="34"/>
  <c r="P713" i="34"/>
  <c r="Q713" i="34"/>
  <c r="R713" i="34"/>
  <c r="S713" i="34"/>
  <c r="T713" i="34"/>
  <c r="U713" i="34"/>
  <c r="V713" i="34"/>
  <c r="W713" i="34"/>
  <c r="X713" i="34"/>
  <c r="Y713" i="34"/>
  <c r="N714" i="34"/>
  <c r="C714" i="34"/>
  <c r="B714" i="34"/>
  <c r="O714" i="34"/>
  <c r="P714" i="34"/>
  <c r="Q714" i="34"/>
  <c r="R714" i="34"/>
  <c r="S714" i="34"/>
  <c r="T714" i="34"/>
  <c r="U714" i="34"/>
  <c r="V714" i="34"/>
  <c r="W714" i="34"/>
  <c r="X714" i="34"/>
  <c r="Y714" i="34"/>
  <c r="N715" i="34"/>
  <c r="C715" i="34"/>
  <c r="B715" i="34"/>
  <c r="O715" i="34"/>
  <c r="P715" i="34"/>
  <c r="Q715" i="34"/>
  <c r="R715" i="34"/>
  <c r="S715" i="34"/>
  <c r="T715" i="34"/>
  <c r="U715" i="34"/>
  <c r="V715" i="34"/>
  <c r="W715" i="34"/>
  <c r="X715" i="34"/>
  <c r="Y715" i="34"/>
  <c r="N716" i="34"/>
  <c r="C716" i="34"/>
  <c r="B716" i="34"/>
  <c r="O716" i="34"/>
  <c r="P716" i="34"/>
  <c r="Q716" i="34"/>
  <c r="R716" i="34"/>
  <c r="S716" i="34"/>
  <c r="T716" i="34"/>
  <c r="U716" i="34"/>
  <c r="V716" i="34"/>
  <c r="W716" i="34"/>
  <c r="X716" i="34"/>
  <c r="Y716" i="34"/>
  <c r="N717" i="34"/>
  <c r="C717" i="34"/>
  <c r="B717" i="34"/>
  <c r="O717" i="34"/>
  <c r="P717" i="34"/>
  <c r="Q717" i="34"/>
  <c r="R717" i="34"/>
  <c r="S717" i="34"/>
  <c r="T717" i="34"/>
  <c r="U717" i="34"/>
  <c r="V717" i="34"/>
  <c r="W717" i="34"/>
  <c r="X717" i="34"/>
  <c r="Y717" i="34"/>
  <c r="N718" i="34"/>
  <c r="C718" i="34"/>
  <c r="B718" i="34"/>
  <c r="O718" i="34"/>
  <c r="P718" i="34"/>
  <c r="Q718" i="34"/>
  <c r="R718" i="34"/>
  <c r="S718" i="34"/>
  <c r="T718" i="34"/>
  <c r="U718" i="34"/>
  <c r="V718" i="34"/>
  <c r="W718" i="34"/>
  <c r="X718" i="34"/>
  <c r="Y718" i="34"/>
  <c r="N719" i="34"/>
  <c r="C719" i="34"/>
  <c r="B719" i="34"/>
  <c r="O719" i="34"/>
  <c r="P719" i="34"/>
  <c r="Q719" i="34"/>
  <c r="R719" i="34"/>
  <c r="S719" i="34"/>
  <c r="T719" i="34"/>
  <c r="U719" i="34"/>
  <c r="V719" i="34"/>
  <c r="W719" i="34"/>
  <c r="X719" i="34"/>
  <c r="Y719" i="34"/>
  <c r="N720" i="34"/>
  <c r="C720" i="34"/>
  <c r="B720" i="34"/>
  <c r="O720" i="34"/>
  <c r="P720" i="34"/>
  <c r="Q720" i="34"/>
  <c r="R720" i="34"/>
  <c r="S720" i="34"/>
  <c r="T720" i="34"/>
  <c r="U720" i="34"/>
  <c r="V720" i="34"/>
  <c r="W720" i="34"/>
  <c r="X720" i="34"/>
  <c r="Y720" i="34"/>
  <c r="N721" i="34"/>
  <c r="C721" i="34"/>
  <c r="B721" i="34"/>
  <c r="O721" i="34"/>
  <c r="P721" i="34"/>
  <c r="Q721" i="34"/>
  <c r="R721" i="34"/>
  <c r="S721" i="34"/>
  <c r="T721" i="34"/>
  <c r="U721" i="34"/>
  <c r="V721" i="34"/>
  <c r="W721" i="34"/>
  <c r="X721" i="34"/>
  <c r="Y721" i="34"/>
  <c r="N722" i="34"/>
  <c r="C722" i="34"/>
  <c r="B722" i="34"/>
  <c r="O722" i="34"/>
  <c r="P722" i="34"/>
  <c r="Q722" i="34"/>
  <c r="R722" i="34"/>
  <c r="S722" i="34"/>
  <c r="T722" i="34"/>
  <c r="U722" i="34"/>
  <c r="V722" i="34"/>
  <c r="W722" i="34"/>
  <c r="X722" i="34"/>
  <c r="Y722" i="34"/>
  <c r="N723" i="34"/>
  <c r="C723" i="34"/>
  <c r="B723" i="34"/>
  <c r="O723" i="34"/>
  <c r="P723" i="34"/>
  <c r="Q723" i="34"/>
  <c r="R723" i="34"/>
  <c r="S723" i="34"/>
  <c r="T723" i="34"/>
  <c r="U723" i="34"/>
  <c r="V723" i="34"/>
  <c r="W723" i="34"/>
  <c r="X723" i="34"/>
  <c r="Y723" i="34"/>
  <c r="N724" i="34"/>
  <c r="C724" i="34"/>
  <c r="B724" i="34"/>
  <c r="O724" i="34"/>
  <c r="P724" i="34"/>
  <c r="Q724" i="34"/>
  <c r="R724" i="34"/>
  <c r="S724" i="34"/>
  <c r="T724" i="34"/>
  <c r="U724" i="34"/>
  <c r="V724" i="34"/>
  <c r="W724" i="34"/>
  <c r="X724" i="34"/>
  <c r="Y724" i="34"/>
  <c r="N725" i="34"/>
  <c r="C725" i="34"/>
  <c r="B725" i="34"/>
  <c r="O725" i="34"/>
  <c r="P725" i="34"/>
  <c r="Q725" i="34"/>
  <c r="R725" i="34"/>
  <c r="S725" i="34"/>
  <c r="T725" i="34"/>
  <c r="U725" i="34"/>
  <c r="V725" i="34"/>
  <c r="W725" i="34"/>
  <c r="X725" i="34"/>
  <c r="Y725" i="34"/>
  <c r="N726" i="34"/>
  <c r="C726" i="34"/>
  <c r="B726" i="34"/>
  <c r="O726" i="34"/>
  <c r="P726" i="34"/>
  <c r="Q726" i="34"/>
  <c r="R726" i="34"/>
  <c r="S726" i="34"/>
  <c r="T726" i="34"/>
  <c r="U726" i="34"/>
  <c r="V726" i="34"/>
  <c r="W726" i="34"/>
  <c r="X726" i="34"/>
  <c r="Y726" i="34"/>
  <c r="N727" i="34"/>
  <c r="C727" i="34"/>
  <c r="B727" i="34"/>
  <c r="O727" i="34"/>
  <c r="P727" i="34"/>
  <c r="Q727" i="34"/>
  <c r="R727" i="34"/>
  <c r="S727" i="34"/>
  <c r="T727" i="34"/>
  <c r="U727" i="34"/>
  <c r="V727" i="34"/>
  <c r="W727" i="34"/>
  <c r="X727" i="34"/>
  <c r="Y727" i="34"/>
  <c r="N728" i="34"/>
  <c r="C728" i="34"/>
  <c r="B728" i="34"/>
  <c r="O728" i="34"/>
  <c r="P728" i="34"/>
  <c r="Q728" i="34"/>
  <c r="R728" i="34"/>
  <c r="S728" i="34"/>
  <c r="T728" i="34"/>
  <c r="U728" i="34"/>
  <c r="V728" i="34"/>
  <c r="W728" i="34"/>
  <c r="X728" i="34"/>
  <c r="Y728" i="34"/>
  <c r="N729" i="34"/>
  <c r="C729" i="34"/>
  <c r="B729" i="34"/>
  <c r="O729" i="34"/>
  <c r="P729" i="34"/>
  <c r="Q729" i="34"/>
  <c r="R729" i="34"/>
  <c r="S729" i="34"/>
  <c r="T729" i="34"/>
  <c r="U729" i="34"/>
  <c r="V729" i="34"/>
  <c r="W729" i="34"/>
  <c r="X729" i="34"/>
  <c r="Y729" i="34"/>
  <c r="N730" i="34"/>
  <c r="C730" i="34"/>
  <c r="B730" i="34"/>
  <c r="O730" i="34"/>
  <c r="P730" i="34"/>
  <c r="Q730" i="34"/>
  <c r="R730" i="34"/>
  <c r="S730" i="34"/>
  <c r="T730" i="34"/>
  <c r="U730" i="34"/>
  <c r="V730" i="34"/>
  <c r="W730" i="34"/>
  <c r="X730" i="34"/>
  <c r="Y730" i="34"/>
  <c r="N731" i="34"/>
  <c r="C731" i="34"/>
  <c r="B731" i="34"/>
  <c r="O731" i="34"/>
  <c r="P731" i="34"/>
  <c r="Q731" i="34"/>
  <c r="R731" i="34"/>
  <c r="S731" i="34"/>
  <c r="T731" i="34"/>
  <c r="U731" i="34"/>
  <c r="V731" i="34"/>
  <c r="W731" i="34"/>
  <c r="X731" i="34"/>
  <c r="Y731" i="34"/>
  <c r="N732" i="34"/>
  <c r="C732" i="34"/>
  <c r="B732" i="34"/>
  <c r="O732" i="34"/>
  <c r="P732" i="34"/>
  <c r="Q732" i="34"/>
  <c r="R732" i="34"/>
  <c r="S732" i="34"/>
  <c r="T732" i="34"/>
  <c r="U732" i="34"/>
  <c r="V732" i="34"/>
  <c r="W732" i="34"/>
  <c r="X732" i="34"/>
  <c r="Y732" i="34"/>
  <c r="N733" i="34"/>
  <c r="C733" i="34"/>
  <c r="B733" i="34"/>
  <c r="O733" i="34"/>
  <c r="P733" i="34"/>
  <c r="Q733" i="34"/>
  <c r="R733" i="34"/>
  <c r="S733" i="34"/>
  <c r="T733" i="34"/>
  <c r="U733" i="34"/>
  <c r="V733" i="34"/>
  <c r="W733" i="34"/>
  <c r="X733" i="34"/>
  <c r="Y733" i="34"/>
  <c r="N734" i="34"/>
  <c r="C734" i="34"/>
  <c r="B734" i="34"/>
  <c r="O734" i="34"/>
  <c r="P734" i="34"/>
  <c r="Q734" i="34"/>
  <c r="R734" i="34"/>
  <c r="S734" i="34"/>
  <c r="T734" i="34"/>
  <c r="U734" i="34"/>
  <c r="V734" i="34"/>
  <c r="W734" i="34"/>
  <c r="X734" i="34"/>
  <c r="Y734" i="34"/>
  <c r="N735" i="34"/>
  <c r="C735" i="34"/>
  <c r="B735" i="34"/>
  <c r="O735" i="34"/>
  <c r="P735" i="34"/>
  <c r="Q735" i="34"/>
  <c r="R735" i="34"/>
  <c r="S735" i="34"/>
  <c r="T735" i="34"/>
  <c r="U735" i="34"/>
  <c r="V735" i="34"/>
  <c r="W735" i="34"/>
  <c r="X735" i="34"/>
  <c r="Y735" i="34"/>
  <c r="N736" i="34"/>
  <c r="C736" i="34"/>
  <c r="B736" i="34"/>
  <c r="O736" i="34"/>
  <c r="P736" i="34"/>
  <c r="Q736" i="34"/>
  <c r="R736" i="34"/>
  <c r="S736" i="34"/>
  <c r="T736" i="34"/>
  <c r="U736" i="34"/>
  <c r="V736" i="34"/>
  <c r="W736" i="34"/>
  <c r="X736" i="34"/>
  <c r="Y736" i="34"/>
  <c r="N737" i="34"/>
  <c r="C737" i="34"/>
  <c r="B737" i="34"/>
  <c r="O737" i="34"/>
  <c r="P737" i="34"/>
  <c r="Q737" i="34"/>
  <c r="R737" i="34"/>
  <c r="S737" i="34"/>
  <c r="T737" i="34"/>
  <c r="U737" i="34"/>
  <c r="V737" i="34"/>
  <c r="W737" i="34"/>
  <c r="X737" i="34"/>
  <c r="Y737" i="34"/>
  <c r="N738" i="34"/>
  <c r="C738" i="34"/>
  <c r="B738" i="34"/>
  <c r="O738" i="34"/>
  <c r="P738" i="34"/>
  <c r="Q738" i="34"/>
  <c r="R738" i="34"/>
  <c r="S738" i="34"/>
  <c r="T738" i="34"/>
  <c r="U738" i="34"/>
  <c r="V738" i="34"/>
  <c r="W738" i="34"/>
  <c r="X738" i="34"/>
  <c r="Y738" i="34"/>
  <c r="N739" i="34"/>
  <c r="C739" i="34"/>
  <c r="B739" i="34"/>
  <c r="O739" i="34"/>
  <c r="P739" i="34"/>
  <c r="Q739" i="34"/>
  <c r="R739" i="34"/>
  <c r="S739" i="34"/>
  <c r="T739" i="34"/>
  <c r="U739" i="34"/>
  <c r="V739" i="34"/>
  <c r="W739" i="34"/>
  <c r="X739" i="34"/>
  <c r="Y739" i="34"/>
  <c r="N740" i="34"/>
  <c r="C740" i="34"/>
  <c r="B740" i="34"/>
  <c r="O740" i="34"/>
  <c r="P740" i="34"/>
  <c r="Q740" i="34"/>
  <c r="R740" i="34"/>
  <c r="S740" i="34"/>
  <c r="T740" i="34"/>
  <c r="U740" i="34"/>
  <c r="V740" i="34"/>
  <c r="W740" i="34"/>
  <c r="X740" i="34"/>
  <c r="Y740" i="34"/>
  <c r="N741" i="34"/>
  <c r="B741" i="34"/>
  <c r="O741" i="34"/>
  <c r="P741" i="34"/>
  <c r="Q741" i="34"/>
  <c r="R741" i="34"/>
  <c r="S741" i="34"/>
  <c r="T741" i="34"/>
  <c r="U741" i="34"/>
  <c r="V741" i="34"/>
  <c r="W741" i="34"/>
  <c r="X741" i="34"/>
  <c r="Y741" i="34"/>
  <c r="N742" i="34"/>
  <c r="B742" i="34"/>
  <c r="O742" i="34"/>
  <c r="P742" i="34"/>
  <c r="Q742" i="34"/>
  <c r="R742" i="34"/>
  <c r="S742" i="34"/>
  <c r="T742" i="34"/>
  <c r="U742" i="34"/>
  <c r="V742" i="34"/>
  <c r="W742" i="34"/>
  <c r="X742" i="34"/>
  <c r="Y742" i="34"/>
  <c r="N743" i="34"/>
  <c r="B743" i="34"/>
  <c r="O743" i="34"/>
  <c r="P743" i="34"/>
  <c r="Q743" i="34"/>
  <c r="R743" i="34"/>
  <c r="S743" i="34"/>
  <c r="T743" i="34"/>
  <c r="U743" i="34"/>
  <c r="V743" i="34"/>
  <c r="W743" i="34"/>
  <c r="X743" i="34"/>
  <c r="Y743" i="34"/>
  <c r="N744" i="34"/>
  <c r="B744" i="34"/>
  <c r="O744" i="34"/>
  <c r="P744" i="34"/>
  <c r="Q744" i="34"/>
  <c r="R744" i="34"/>
  <c r="S744" i="34"/>
  <c r="T744" i="34"/>
  <c r="U744" i="34"/>
  <c r="V744" i="34"/>
  <c r="W744" i="34"/>
  <c r="X744" i="34"/>
  <c r="Y744" i="34"/>
  <c r="N745" i="34"/>
  <c r="B745" i="34"/>
  <c r="O745" i="34"/>
  <c r="P745" i="34"/>
  <c r="Q745" i="34"/>
  <c r="R745" i="34"/>
  <c r="S745" i="34"/>
  <c r="T745" i="34"/>
  <c r="U745" i="34"/>
  <c r="V745" i="34"/>
  <c r="W745" i="34"/>
  <c r="X745" i="34"/>
  <c r="Y745" i="34"/>
  <c r="N746" i="34"/>
  <c r="B746" i="34"/>
  <c r="O746" i="34"/>
  <c r="P746" i="34"/>
  <c r="Q746" i="34"/>
  <c r="R746" i="34"/>
  <c r="S746" i="34"/>
  <c r="T746" i="34"/>
  <c r="U746" i="34"/>
  <c r="V746" i="34"/>
  <c r="W746" i="34"/>
  <c r="X746" i="34"/>
  <c r="Y746" i="34"/>
  <c r="N747" i="34"/>
  <c r="B747" i="34"/>
  <c r="O747" i="34"/>
  <c r="P747" i="34"/>
  <c r="Q747" i="34"/>
  <c r="R747" i="34"/>
  <c r="S747" i="34"/>
  <c r="T747" i="34"/>
  <c r="U747" i="34"/>
  <c r="V747" i="34"/>
  <c r="W747" i="34"/>
  <c r="X747" i="34"/>
  <c r="Y747" i="34"/>
  <c r="N748" i="34"/>
  <c r="B748" i="34"/>
  <c r="O748" i="34"/>
  <c r="P748" i="34"/>
  <c r="Q748" i="34"/>
  <c r="R748" i="34"/>
  <c r="S748" i="34"/>
  <c r="T748" i="34"/>
  <c r="U748" i="34"/>
  <c r="V748" i="34"/>
  <c r="W748" i="34"/>
  <c r="X748" i="34"/>
  <c r="Y748" i="34"/>
  <c r="N749" i="34"/>
  <c r="B749" i="34"/>
  <c r="O749" i="34"/>
  <c r="P749" i="34"/>
  <c r="Q749" i="34"/>
  <c r="R749" i="34"/>
  <c r="S749" i="34"/>
  <c r="T749" i="34"/>
  <c r="U749" i="34"/>
  <c r="V749" i="34"/>
  <c r="W749" i="34"/>
  <c r="X749" i="34"/>
  <c r="Y749" i="34"/>
  <c r="N750" i="34"/>
  <c r="B750" i="34"/>
  <c r="O750" i="34"/>
  <c r="P750" i="34"/>
  <c r="Q750" i="34"/>
  <c r="R750" i="34"/>
  <c r="S750" i="34"/>
  <c r="T750" i="34"/>
  <c r="U750" i="34"/>
  <c r="V750" i="34"/>
  <c r="W750" i="34"/>
  <c r="X750" i="34"/>
  <c r="Y750" i="34"/>
  <c r="N751" i="34"/>
  <c r="B751" i="34"/>
  <c r="O751" i="34"/>
  <c r="P751" i="34"/>
  <c r="Q751" i="34"/>
  <c r="R751" i="34"/>
  <c r="S751" i="34"/>
  <c r="T751" i="34"/>
  <c r="U751" i="34"/>
  <c r="V751" i="34"/>
  <c r="W751" i="34"/>
  <c r="X751" i="34"/>
  <c r="Y751" i="34"/>
  <c r="N752" i="34"/>
  <c r="B752" i="34"/>
  <c r="O752" i="34"/>
  <c r="P752" i="34"/>
  <c r="Q752" i="34"/>
  <c r="R752" i="34"/>
  <c r="S752" i="34"/>
  <c r="T752" i="34"/>
  <c r="U752" i="34"/>
  <c r="V752" i="34"/>
  <c r="W752" i="34"/>
  <c r="X752" i="34"/>
  <c r="Y752" i="34"/>
  <c r="N753" i="34"/>
  <c r="B753" i="34"/>
  <c r="O753" i="34"/>
  <c r="P753" i="34"/>
  <c r="Q753" i="34"/>
  <c r="R753" i="34"/>
  <c r="S753" i="34"/>
  <c r="T753" i="34"/>
  <c r="U753" i="34"/>
  <c r="V753" i="34"/>
  <c r="W753" i="34"/>
  <c r="X753" i="34"/>
  <c r="Y753" i="34"/>
  <c r="N754" i="34"/>
  <c r="B754" i="34"/>
  <c r="O754" i="34"/>
  <c r="P754" i="34"/>
  <c r="Q754" i="34"/>
  <c r="R754" i="34"/>
  <c r="S754" i="34"/>
  <c r="T754" i="34"/>
  <c r="U754" i="34"/>
  <c r="V754" i="34"/>
  <c r="W754" i="34"/>
  <c r="X754" i="34"/>
  <c r="Y754" i="34"/>
  <c r="N755" i="34"/>
  <c r="B755" i="34"/>
  <c r="O755" i="34"/>
  <c r="P755" i="34"/>
  <c r="Q755" i="34"/>
  <c r="R755" i="34"/>
  <c r="S755" i="34"/>
  <c r="T755" i="34"/>
  <c r="U755" i="34"/>
  <c r="V755" i="34"/>
  <c r="W755" i="34"/>
  <c r="X755" i="34"/>
  <c r="Y755" i="34"/>
  <c r="N756" i="34"/>
  <c r="B756" i="34"/>
  <c r="O756" i="34"/>
  <c r="P756" i="34"/>
  <c r="Q756" i="34"/>
  <c r="R756" i="34"/>
  <c r="S756" i="34"/>
  <c r="T756" i="34"/>
  <c r="U756" i="34"/>
  <c r="V756" i="34"/>
  <c r="W756" i="34"/>
  <c r="X756" i="34"/>
  <c r="Y756" i="34"/>
  <c r="N757" i="34"/>
  <c r="B757" i="34"/>
  <c r="O757" i="34"/>
  <c r="P757" i="34"/>
  <c r="Q757" i="34"/>
  <c r="R757" i="34"/>
  <c r="S757" i="34"/>
  <c r="T757" i="34"/>
  <c r="U757" i="34"/>
  <c r="V757" i="34"/>
  <c r="W757" i="34"/>
  <c r="X757" i="34"/>
  <c r="Y757" i="34"/>
  <c r="N758" i="34"/>
  <c r="B758" i="34"/>
  <c r="O758" i="34"/>
  <c r="P758" i="34"/>
  <c r="Q758" i="34"/>
  <c r="R758" i="34"/>
  <c r="S758" i="34"/>
  <c r="T758" i="34"/>
  <c r="U758" i="34"/>
  <c r="V758" i="34"/>
  <c r="W758" i="34"/>
  <c r="X758" i="34"/>
  <c r="Y758" i="34"/>
  <c r="N759" i="34"/>
  <c r="B759" i="34"/>
  <c r="O759" i="34"/>
  <c r="P759" i="34"/>
  <c r="Q759" i="34"/>
  <c r="R759" i="34"/>
  <c r="S759" i="34"/>
  <c r="T759" i="34"/>
  <c r="U759" i="34"/>
  <c r="V759" i="34"/>
  <c r="W759" i="34"/>
  <c r="X759" i="34"/>
  <c r="Y759" i="34"/>
  <c r="N760" i="34"/>
  <c r="B760" i="34"/>
  <c r="O760" i="34"/>
  <c r="P760" i="34"/>
  <c r="Q760" i="34"/>
  <c r="R760" i="34"/>
  <c r="S760" i="34"/>
  <c r="T760" i="34"/>
  <c r="U760" i="34"/>
  <c r="V760" i="34"/>
  <c r="W760" i="34"/>
  <c r="X760" i="34"/>
  <c r="Y760" i="34"/>
  <c r="N761" i="34"/>
  <c r="B761" i="34"/>
  <c r="O761" i="34"/>
  <c r="P761" i="34"/>
  <c r="Q761" i="34"/>
  <c r="R761" i="34"/>
  <c r="S761" i="34"/>
  <c r="T761" i="34"/>
  <c r="U761" i="34"/>
  <c r="V761" i="34"/>
  <c r="W761" i="34"/>
  <c r="X761" i="34"/>
  <c r="Y761" i="34"/>
  <c r="N762" i="34"/>
  <c r="B762" i="34"/>
  <c r="O762" i="34"/>
  <c r="P762" i="34"/>
  <c r="Q762" i="34"/>
  <c r="R762" i="34"/>
  <c r="S762" i="34"/>
  <c r="T762" i="34"/>
  <c r="U762" i="34"/>
  <c r="V762" i="34"/>
  <c r="W762" i="34"/>
  <c r="X762" i="34"/>
  <c r="Y762" i="34"/>
  <c r="N763" i="34"/>
  <c r="B763" i="34"/>
  <c r="O763" i="34"/>
  <c r="P763" i="34"/>
  <c r="Q763" i="34"/>
  <c r="R763" i="34"/>
  <c r="S763" i="34"/>
  <c r="T763" i="34"/>
  <c r="U763" i="34"/>
  <c r="V763" i="34"/>
  <c r="W763" i="34"/>
  <c r="X763" i="34"/>
  <c r="Y763" i="34"/>
  <c r="N764" i="34"/>
  <c r="B764" i="34"/>
  <c r="O764" i="34"/>
  <c r="P764" i="34"/>
  <c r="Q764" i="34"/>
  <c r="R764" i="34"/>
  <c r="S764" i="34"/>
  <c r="T764" i="34"/>
  <c r="U764" i="34"/>
  <c r="V764" i="34"/>
  <c r="W764" i="34"/>
  <c r="X764" i="34"/>
  <c r="Y764" i="34"/>
  <c r="N765" i="34"/>
  <c r="B765" i="34"/>
  <c r="O765" i="34"/>
  <c r="P765" i="34"/>
  <c r="Q765" i="34"/>
  <c r="R765" i="34"/>
  <c r="S765" i="34"/>
  <c r="T765" i="34"/>
  <c r="U765" i="34"/>
  <c r="V765" i="34"/>
  <c r="W765" i="34"/>
  <c r="X765" i="34"/>
  <c r="Y765" i="34"/>
  <c r="N766" i="34"/>
  <c r="B766" i="34"/>
  <c r="O766" i="34"/>
  <c r="P766" i="34"/>
  <c r="Q766" i="34"/>
  <c r="R766" i="34"/>
  <c r="S766" i="34"/>
  <c r="T766" i="34"/>
  <c r="U766" i="34"/>
  <c r="V766" i="34"/>
  <c r="W766" i="34"/>
  <c r="X766" i="34"/>
  <c r="Y766" i="34"/>
  <c r="N767" i="34"/>
  <c r="B767" i="34"/>
  <c r="O767" i="34"/>
  <c r="P767" i="34"/>
  <c r="Q767" i="34"/>
  <c r="R767" i="34"/>
  <c r="S767" i="34"/>
  <c r="T767" i="34"/>
  <c r="U767" i="34"/>
  <c r="V767" i="34"/>
  <c r="W767" i="34"/>
  <c r="X767" i="34"/>
  <c r="Y767" i="34"/>
  <c r="N768" i="34"/>
  <c r="B768" i="34"/>
  <c r="O768" i="34"/>
  <c r="P768" i="34"/>
  <c r="Q768" i="34"/>
  <c r="R768" i="34"/>
  <c r="S768" i="34"/>
  <c r="T768" i="34"/>
  <c r="U768" i="34"/>
  <c r="V768" i="34"/>
  <c r="W768" i="34"/>
  <c r="X768" i="34"/>
  <c r="Y768" i="34"/>
  <c r="N769" i="34"/>
  <c r="B769" i="34"/>
  <c r="O769" i="34"/>
  <c r="P769" i="34"/>
  <c r="Q769" i="34"/>
  <c r="R769" i="34"/>
  <c r="S769" i="34"/>
  <c r="T769" i="34"/>
  <c r="U769" i="34"/>
  <c r="V769" i="34"/>
  <c r="W769" i="34"/>
  <c r="X769" i="34"/>
  <c r="Y769" i="34"/>
  <c r="N770" i="34"/>
  <c r="B770" i="34"/>
  <c r="O770" i="34"/>
  <c r="P770" i="34"/>
  <c r="Q770" i="34"/>
  <c r="R770" i="34"/>
  <c r="S770" i="34"/>
  <c r="T770" i="34"/>
  <c r="U770" i="34"/>
  <c r="V770" i="34"/>
  <c r="W770" i="34"/>
  <c r="X770" i="34"/>
  <c r="Y770" i="34"/>
  <c r="N771" i="34"/>
  <c r="B771" i="34"/>
  <c r="O771" i="34"/>
  <c r="P771" i="34"/>
  <c r="Q771" i="34"/>
  <c r="R771" i="34"/>
  <c r="S771" i="34"/>
  <c r="T771" i="34"/>
  <c r="U771" i="34"/>
  <c r="V771" i="34"/>
  <c r="W771" i="34"/>
  <c r="X771" i="34"/>
  <c r="Y771" i="34"/>
  <c r="N772" i="34"/>
  <c r="B772" i="34"/>
  <c r="O772" i="34"/>
  <c r="P772" i="34"/>
  <c r="Q772" i="34"/>
  <c r="R772" i="34"/>
  <c r="S772" i="34"/>
  <c r="T772" i="34"/>
  <c r="U772" i="34"/>
  <c r="V772" i="34"/>
  <c r="W772" i="34"/>
  <c r="X772" i="34"/>
  <c r="Y772" i="34"/>
  <c r="N773" i="34"/>
  <c r="B773" i="34"/>
  <c r="O773" i="34"/>
  <c r="P773" i="34"/>
  <c r="Q773" i="34"/>
  <c r="R773" i="34"/>
  <c r="S773" i="34"/>
  <c r="T773" i="34"/>
  <c r="U773" i="34"/>
  <c r="V773" i="34"/>
  <c r="W773" i="34"/>
  <c r="X773" i="34"/>
  <c r="Y773" i="34"/>
  <c r="N774" i="34"/>
  <c r="B774" i="34"/>
  <c r="O774" i="34"/>
  <c r="P774" i="34"/>
  <c r="Q774" i="34"/>
  <c r="R774" i="34"/>
  <c r="S774" i="34"/>
  <c r="T774" i="34"/>
  <c r="U774" i="34"/>
  <c r="V774" i="34"/>
  <c r="W774" i="34"/>
  <c r="X774" i="34"/>
  <c r="Y774" i="34"/>
  <c r="N775" i="34"/>
  <c r="B775" i="34"/>
  <c r="O775" i="34"/>
  <c r="P775" i="34"/>
  <c r="Q775" i="34"/>
  <c r="R775" i="34"/>
  <c r="S775" i="34"/>
  <c r="T775" i="34"/>
  <c r="U775" i="34"/>
  <c r="V775" i="34"/>
  <c r="W775" i="34"/>
  <c r="X775" i="34"/>
  <c r="Y775" i="34"/>
  <c r="N776" i="34"/>
  <c r="B776" i="34"/>
  <c r="O776" i="34"/>
  <c r="P776" i="34"/>
  <c r="Q776" i="34"/>
  <c r="R776" i="34"/>
  <c r="S776" i="34"/>
  <c r="T776" i="34"/>
  <c r="U776" i="34"/>
  <c r="V776" i="34"/>
  <c r="W776" i="34"/>
  <c r="X776" i="34"/>
  <c r="Y776" i="34"/>
  <c r="N777" i="34"/>
  <c r="B777" i="34"/>
  <c r="O777" i="34"/>
  <c r="P777" i="34"/>
  <c r="Q777" i="34"/>
  <c r="R777" i="34"/>
  <c r="S777" i="34"/>
  <c r="T777" i="34"/>
  <c r="U777" i="34"/>
  <c r="V777" i="34"/>
  <c r="W777" i="34"/>
  <c r="X777" i="34"/>
  <c r="Y777" i="34"/>
  <c r="N778" i="34"/>
  <c r="B778" i="34"/>
  <c r="O778" i="34"/>
  <c r="P778" i="34"/>
  <c r="Q778" i="34"/>
  <c r="R778" i="34"/>
  <c r="S778" i="34"/>
  <c r="T778" i="34"/>
  <c r="U778" i="34"/>
  <c r="V778" i="34"/>
  <c r="W778" i="34"/>
  <c r="X778" i="34"/>
  <c r="Y778" i="34"/>
  <c r="N779" i="34"/>
  <c r="B779" i="34"/>
  <c r="O779" i="34"/>
  <c r="P779" i="34"/>
  <c r="Q779" i="34"/>
  <c r="R779" i="34"/>
  <c r="S779" i="34"/>
  <c r="T779" i="34"/>
  <c r="U779" i="34"/>
  <c r="V779" i="34"/>
  <c r="W779" i="34"/>
  <c r="X779" i="34"/>
  <c r="Y779" i="34"/>
  <c r="N780" i="34"/>
  <c r="B780" i="34"/>
  <c r="O780" i="34"/>
  <c r="P780" i="34"/>
  <c r="Q780" i="34"/>
  <c r="R780" i="34"/>
  <c r="S780" i="34"/>
  <c r="T780" i="34"/>
  <c r="U780" i="34"/>
  <c r="V780" i="34"/>
  <c r="W780" i="34"/>
  <c r="X780" i="34"/>
  <c r="Y780" i="34"/>
  <c r="N781" i="34"/>
  <c r="B781" i="34"/>
  <c r="O781" i="34"/>
  <c r="P781" i="34"/>
  <c r="Q781" i="34"/>
  <c r="R781" i="34"/>
  <c r="S781" i="34"/>
  <c r="T781" i="34"/>
  <c r="U781" i="34"/>
  <c r="V781" i="34"/>
  <c r="W781" i="34"/>
  <c r="X781" i="34"/>
  <c r="Y781" i="34"/>
  <c r="N782" i="34"/>
  <c r="B782" i="34"/>
  <c r="O782" i="34"/>
  <c r="P782" i="34"/>
  <c r="Q782" i="34"/>
  <c r="R782" i="34"/>
  <c r="S782" i="34"/>
  <c r="T782" i="34"/>
  <c r="U782" i="34"/>
  <c r="V782" i="34"/>
  <c r="W782" i="34"/>
  <c r="X782" i="34"/>
  <c r="Y782" i="34"/>
  <c r="N783" i="34"/>
  <c r="B783" i="34"/>
  <c r="O783" i="34"/>
  <c r="P783" i="34"/>
  <c r="Q783" i="34"/>
  <c r="R783" i="34"/>
  <c r="S783" i="34"/>
  <c r="T783" i="34"/>
  <c r="U783" i="34"/>
  <c r="V783" i="34"/>
  <c r="W783" i="34"/>
  <c r="X783" i="34"/>
  <c r="Y783" i="34"/>
  <c r="N784" i="34"/>
  <c r="B784" i="34"/>
  <c r="O784" i="34"/>
  <c r="P784" i="34"/>
  <c r="Q784" i="34"/>
  <c r="R784" i="34"/>
  <c r="S784" i="34"/>
  <c r="T784" i="34"/>
  <c r="U784" i="34"/>
  <c r="V784" i="34"/>
  <c r="W784" i="34"/>
  <c r="X784" i="34"/>
  <c r="Y784" i="34"/>
  <c r="N785" i="34"/>
  <c r="B785" i="34"/>
  <c r="O785" i="34"/>
  <c r="P785" i="34"/>
  <c r="Q785" i="34"/>
  <c r="R785" i="34"/>
  <c r="S785" i="34"/>
  <c r="T785" i="34"/>
  <c r="U785" i="34"/>
  <c r="V785" i="34"/>
  <c r="W785" i="34"/>
  <c r="X785" i="34"/>
  <c r="Y785" i="34"/>
  <c r="N786" i="34"/>
  <c r="B786" i="34"/>
  <c r="O786" i="34"/>
  <c r="P786" i="34"/>
  <c r="Q786" i="34"/>
  <c r="R786" i="34"/>
  <c r="S786" i="34"/>
  <c r="T786" i="34"/>
  <c r="U786" i="34"/>
  <c r="V786" i="34"/>
  <c r="W786" i="34"/>
  <c r="X786" i="34"/>
  <c r="Y786" i="34"/>
  <c r="N787" i="34"/>
  <c r="B787" i="34"/>
  <c r="O787" i="34"/>
  <c r="P787" i="34"/>
  <c r="Q787" i="34"/>
  <c r="R787" i="34"/>
  <c r="S787" i="34"/>
  <c r="T787" i="34"/>
  <c r="U787" i="34"/>
  <c r="V787" i="34"/>
  <c r="W787" i="34"/>
  <c r="X787" i="34"/>
  <c r="Y787" i="34"/>
  <c r="N788" i="34"/>
  <c r="B788" i="34"/>
  <c r="O788" i="34"/>
  <c r="P788" i="34"/>
  <c r="Q788" i="34"/>
  <c r="R788" i="34"/>
  <c r="S788" i="34"/>
  <c r="T788" i="34"/>
  <c r="U788" i="34"/>
  <c r="V788" i="34"/>
  <c r="W788" i="34"/>
  <c r="X788" i="34"/>
  <c r="Y788" i="34"/>
  <c r="N789" i="34"/>
  <c r="B789" i="34"/>
  <c r="O789" i="34"/>
  <c r="P789" i="34"/>
  <c r="Q789" i="34"/>
  <c r="R789" i="34"/>
  <c r="S789" i="34"/>
  <c r="T789" i="34"/>
  <c r="U789" i="34"/>
  <c r="V789" i="34"/>
  <c r="W789" i="34"/>
  <c r="X789" i="34"/>
  <c r="Y789" i="34"/>
  <c r="N790" i="34"/>
  <c r="B790" i="34"/>
  <c r="O790" i="34"/>
  <c r="P790" i="34"/>
  <c r="Q790" i="34"/>
  <c r="R790" i="34"/>
  <c r="S790" i="34"/>
  <c r="T790" i="34"/>
  <c r="U790" i="34"/>
  <c r="V790" i="34"/>
  <c r="W790" i="34"/>
  <c r="X790" i="34"/>
  <c r="Y790" i="34"/>
  <c r="N791" i="34"/>
  <c r="B791" i="34"/>
  <c r="O791" i="34"/>
  <c r="P791" i="34"/>
  <c r="Q791" i="34"/>
  <c r="R791" i="34"/>
  <c r="S791" i="34"/>
  <c r="T791" i="34"/>
  <c r="U791" i="34"/>
  <c r="V791" i="34"/>
  <c r="W791" i="34"/>
  <c r="X791" i="34"/>
  <c r="Y791" i="34"/>
  <c r="N792" i="34"/>
  <c r="B792" i="34"/>
  <c r="O792" i="34"/>
  <c r="P792" i="34"/>
  <c r="Q792" i="34"/>
  <c r="R792" i="34"/>
  <c r="S792" i="34"/>
  <c r="T792" i="34"/>
  <c r="U792" i="34"/>
  <c r="V792" i="34"/>
  <c r="W792" i="34"/>
  <c r="X792" i="34"/>
  <c r="Y792" i="34"/>
  <c r="N793" i="34"/>
  <c r="B793" i="34"/>
  <c r="O793" i="34"/>
  <c r="P793" i="34"/>
  <c r="Q793" i="34"/>
  <c r="R793" i="34"/>
  <c r="S793" i="34"/>
  <c r="T793" i="34"/>
  <c r="U793" i="34"/>
  <c r="V793" i="34"/>
  <c r="W793" i="34"/>
  <c r="X793" i="34"/>
  <c r="Y793" i="34"/>
  <c r="N794" i="34"/>
  <c r="B794" i="34"/>
  <c r="O794" i="34"/>
  <c r="P794" i="34"/>
  <c r="Q794" i="34"/>
  <c r="R794" i="34"/>
  <c r="S794" i="34"/>
  <c r="T794" i="34"/>
  <c r="U794" i="34"/>
  <c r="V794" i="34"/>
  <c r="W794" i="34"/>
  <c r="X794" i="34"/>
  <c r="Y794" i="34"/>
  <c r="N795" i="34"/>
  <c r="B795" i="34"/>
  <c r="O795" i="34"/>
  <c r="P795" i="34"/>
  <c r="Q795" i="34"/>
  <c r="R795" i="34"/>
  <c r="S795" i="34"/>
  <c r="T795" i="34"/>
  <c r="U795" i="34"/>
  <c r="V795" i="34"/>
  <c r="W795" i="34"/>
  <c r="X795" i="34"/>
  <c r="Y795" i="34"/>
  <c r="N796" i="34"/>
  <c r="B796" i="34"/>
  <c r="O796" i="34"/>
  <c r="P796" i="34"/>
  <c r="Q796" i="34"/>
  <c r="R796" i="34"/>
  <c r="S796" i="34"/>
  <c r="T796" i="34"/>
  <c r="U796" i="34"/>
  <c r="V796" i="34"/>
  <c r="W796" i="34"/>
  <c r="X796" i="34"/>
  <c r="Y796" i="34"/>
  <c r="N797" i="34"/>
  <c r="B797" i="34"/>
  <c r="O797" i="34"/>
  <c r="P797" i="34"/>
  <c r="Q797" i="34"/>
  <c r="R797" i="34"/>
  <c r="S797" i="34"/>
  <c r="T797" i="34"/>
  <c r="U797" i="34"/>
  <c r="V797" i="34"/>
  <c r="W797" i="34"/>
  <c r="X797" i="34"/>
  <c r="Y797" i="34"/>
  <c r="N798" i="34"/>
  <c r="B798" i="34"/>
  <c r="O798" i="34"/>
  <c r="P798" i="34"/>
  <c r="Q798" i="34"/>
  <c r="R798" i="34"/>
  <c r="S798" i="34"/>
  <c r="T798" i="34"/>
  <c r="U798" i="34"/>
  <c r="V798" i="34"/>
  <c r="W798" i="34"/>
  <c r="X798" i="34"/>
  <c r="Y798" i="34"/>
  <c r="N799" i="34"/>
  <c r="B799" i="34"/>
  <c r="O799" i="34"/>
  <c r="P799" i="34"/>
  <c r="Q799" i="34"/>
  <c r="R799" i="34"/>
  <c r="S799" i="34"/>
  <c r="T799" i="34"/>
  <c r="U799" i="34"/>
  <c r="V799" i="34"/>
  <c r="W799" i="34"/>
  <c r="X799" i="34"/>
  <c r="Y799" i="34"/>
  <c r="N800" i="34"/>
  <c r="B800" i="34"/>
  <c r="O800" i="34"/>
  <c r="P800" i="34"/>
  <c r="Q800" i="34"/>
  <c r="R800" i="34"/>
  <c r="S800" i="34"/>
  <c r="T800" i="34"/>
  <c r="U800" i="34"/>
  <c r="V800" i="34"/>
  <c r="W800" i="34"/>
  <c r="X800" i="34"/>
  <c r="Y800" i="34"/>
  <c r="N801" i="34"/>
  <c r="B801" i="34"/>
  <c r="O801" i="34"/>
  <c r="P801" i="34"/>
  <c r="Q801" i="34"/>
  <c r="R801" i="34"/>
  <c r="S801" i="34"/>
  <c r="T801" i="34"/>
  <c r="U801" i="34"/>
  <c r="V801" i="34"/>
  <c r="W801" i="34"/>
  <c r="X801" i="34"/>
  <c r="Y801" i="34"/>
  <c r="N802" i="34"/>
  <c r="B802" i="34"/>
  <c r="O802" i="34"/>
  <c r="P802" i="34"/>
  <c r="Q802" i="34"/>
  <c r="R802" i="34"/>
  <c r="S802" i="34"/>
  <c r="T802" i="34"/>
  <c r="U802" i="34"/>
  <c r="V802" i="34"/>
  <c r="W802" i="34"/>
  <c r="X802" i="34"/>
  <c r="Y802" i="34"/>
  <c r="N803" i="34"/>
  <c r="B803" i="34"/>
  <c r="O803" i="34"/>
  <c r="P803" i="34"/>
  <c r="Q803" i="34"/>
  <c r="R803" i="34"/>
  <c r="S803" i="34"/>
  <c r="T803" i="34"/>
  <c r="U803" i="34"/>
  <c r="V803" i="34"/>
  <c r="W803" i="34"/>
  <c r="X803" i="34"/>
  <c r="Y803" i="34"/>
  <c r="N804" i="34"/>
  <c r="B804" i="34"/>
  <c r="O804" i="34"/>
  <c r="P804" i="34"/>
  <c r="Q804" i="34"/>
  <c r="R804" i="34"/>
  <c r="S804" i="34"/>
  <c r="T804" i="34"/>
  <c r="U804" i="34"/>
  <c r="V804" i="34"/>
  <c r="W804" i="34"/>
  <c r="X804" i="34"/>
  <c r="Y804" i="34"/>
  <c r="N805" i="34"/>
  <c r="B805" i="34"/>
  <c r="O805" i="34"/>
  <c r="P805" i="34"/>
  <c r="Q805" i="34"/>
  <c r="R805" i="34"/>
  <c r="S805" i="34"/>
  <c r="T805" i="34"/>
  <c r="U805" i="34"/>
  <c r="V805" i="34"/>
  <c r="W805" i="34"/>
  <c r="X805" i="34"/>
  <c r="Y805" i="34"/>
  <c r="N806" i="34"/>
  <c r="B806" i="34"/>
  <c r="O806" i="34"/>
  <c r="P806" i="34"/>
  <c r="Q806" i="34"/>
  <c r="R806" i="34"/>
  <c r="S806" i="34"/>
  <c r="T806" i="34"/>
  <c r="U806" i="34"/>
  <c r="V806" i="34"/>
  <c r="W806" i="34"/>
  <c r="X806" i="34"/>
  <c r="Y806" i="34"/>
  <c r="N807" i="34"/>
  <c r="B807" i="34"/>
  <c r="O807" i="34"/>
  <c r="P807" i="34"/>
  <c r="Q807" i="34"/>
  <c r="R807" i="34"/>
  <c r="S807" i="34"/>
  <c r="T807" i="34"/>
  <c r="U807" i="34"/>
  <c r="V807" i="34"/>
  <c r="W807" i="34"/>
  <c r="X807" i="34"/>
  <c r="Y807" i="34"/>
  <c r="N808" i="34"/>
  <c r="B808" i="34"/>
  <c r="O808" i="34"/>
  <c r="P808" i="34"/>
  <c r="Q808" i="34"/>
  <c r="R808" i="34"/>
  <c r="S808" i="34"/>
  <c r="T808" i="34"/>
  <c r="U808" i="34"/>
  <c r="V808" i="34"/>
  <c r="W808" i="34"/>
  <c r="X808" i="34"/>
  <c r="Y808" i="34"/>
  <c r="N809" i="34"/>
  <c r="B809" i="34"/>
  <c r="O809" i="34"/>
  <c r="P809" i="34"/>
  <c r="Q809" i="34"/>
  <c r="R809" i="34"/>
  <c r="S809" i="34"/>
  <c r="T809" i="34"/>
  <c r="U809" i="34"/>
  <c r="V809" i="34"/>
  <c r="W809" i="34"/>
  <c r="X809" i="34"/>
  <c r="Y809" i="34"/>
  <c r="N810" i="34"/>
  <c r="B810" i="34"/>
  <c r="O810" i="34"/>
  <c r="P810" i="34"/>
  <c r="Q810" i="34"/>
  <c r="R810" i="34"/>
  <c r="S810" i="34"/>
  <c r="T810" i="34"/>
  <c r="U810" i="34"/>
  <c r="V810" i="34"/>
  <c r="W810" i="34"/>
  <c r="X810" i="34"/>
  <c r="Y810" i="34"/>
  <c r="N811" i="34"/>
  <c r="B811" i="34"/>
  <c r="O811" i="34"/>
  <c r="P811" i="34"/>
  <c r="Q811" i="34"/>
  <c r="R811" i="34"/>
  <c r="S811" i="34"/>
  <c r="T811" i="34"/>
  <c r="U811" i="34"/>
  <c r="V811" i="34"/>
  <c r="W811" i="34"/>
  <c r="X811" i="34"/>
  <c r="Y811" i="34"/>
  <c r="N812" i="34"/>
  <c r="B812" i="34"/>
  <c r="O812" i="34"/>
  <c r="P812" i="34"/>
  <c r="Q812" i="34"/>
  <c r="R812" i="34"/>
  <c r="S812" i="34"/>
  <c r="T812" i="34"/>
  <c r="U812" i="34"/>
  <c r="V812" i="34"/>
  <c r="W812" i="34"/>
  <c r="X812" i="34"/>
  <c r="Y812" i="34"/>
  <c r="N813" i="34"/>
  <c r="B813" i="34"/>
  <c r="O813" i="34"/>
  <c r="P813" i="34"/>
  <c r="Q813" i="34"/>
  <c r="R813" i="34"/>
  <c r="S813" i="34"/>
  <c r="T813" i="34"/>
  <c r="U813" i="34"/>
  <c r="V813" i="34"/>
  <c r="W813" i="34"/>
  <c r="X813" i="34"/>
  <c r="Y813" i="34"/>
  <c r="N814" i="34"/>
  <c r="B814" i="34"/>
  <c r="O814" i="34"/>
  <c r="P814" i="34"/>
  <c r="Q814" i="34"/>
  <c r="R814" i="34"/>
  <c r="S814" i="34"/>
  <c r="T814" i="34"/>
  <c r="U814" i="34"/>
  <c r="V814" i="34"/>
  <c r="W814" i="34"/>
  <c r="X814" i="34"/>
  <c r="Y814" i="34"/>
  <c r="N815" i="34"/>
  <c r="B815" i="34"/>
  <c r="O815" i="34"/>
  <c r="P815" i="34"/>
  <c r="Q815" i="34"/>
  <c r="R815" i="34"/>
  <c r="S815" i="34"/>
  <c r="T815" i="34"/>
  <c r="U815" i="34"/>
  <c r="V815" i="34"/>
  <c r="W815" i="34"/>
  <c r="X815" i="34"/>
  <c r="Y815" i="34"/>
  <c r="N816" i="34"/>
  <c r="B816" i="34"/>
  <c r="O816" i="34"/>
  <c r="P816" i="34"/>
  <c r="Q816" i="34"/>
  <c r="R816" i="34"/>
  <c r="S816" i="34"/>
  <c r="T816" i="34"/>
  <c r="U816" i="34"/>
  <c r="V816" i="34"/>
  <c r="W816" i="34"/>
  <c r="X816" i="34"/>
  <c r="Y816" i="34"/>
  <c r="N817" i="34"/>
  <c r="B817" i="34"/>
  <c r="O817" i="34"/>
  <c r="P817" i="34"/>
  <c r="Q817" i="34"/>
  <c r="R817" i="34"/>
  <c r="S817" i="34"/>
  <c r="T817" i="34"/>
  <c r="U817" i="34"/>
  <c r="V817" i="34"/>
  <c r="W817" i="34"/>
  <c r="X817" i="34"/>
  <c r="Y817" i="34"/>
  <c r="N818" i="34"/>
  <c r="B818" i="34"/>
  <c r="O818" i="34"/>
  <c r="P818" i="34"/>
  <c r="Q818" i="34"/>
  <c r="R818" i="34"/>
  <c r="S818" i="34"/>
  <c r="T818" i="34"/>
  <c r="U818" i="34"/>
  <c r="V818" i="34"/>
  <c r="W818" i="34"/>
  <c r="X818" i="34"/>
  <c r="Y818" i="34"/>
  <c r="N819" i="34"/>
  <c r="B819" i="34"/>
  <c r="O819" i="34"/>
  <c r="P819" i="34"/>
  <c r="Q819" i="34"/>
  <c r="R819" i="34"/>
  <c r="S819" i="34"/>
  <c r="T819" i="34"/>
  <c r="U819" i="34"/>
  <c r="V819" i="34"/>
  <c r="W819" i="34"/>
  <c r="X819" i="34"/>
  <c r="Y819" i="34"/>
  <c r="N820" i="34"/>
  <c r="B820" i="34"/>
  <c r="O820" i="34"/>
  <c r="P820" i="34"/>
  <c r="Q820" i="34"/>
  <c r="R820" i="34"/>
  <c r="S820" i="34"/>
  <c r="T820" i="34"/>
  <c r="U820" i="34"/>
  <c r="V820" i="34"/>
  <c r="W820" i="34"/>
  <c r="X820" i="34"/>
  <c r="Y820" i="34"/>
  <c r="N821" i="34"/>
  <c r="B821" i="34"/>
  <c r="O821" i="34"/>
  <c r="P821" i="34"/>
  <c r="Q821" i="34"/>
  <c r="R821" i="34"/>
  <c r="S821" i="34"/>
  <c r="T821" i="34"/>
  <c r="U821" i="34"/>
  <c r="V821" i="34"/>
  <c r="W821" i="34"/>
  <c r="X821" i="34"/>
  <c r="Y821" i="34"/>
  <c r="N822" i="34"/>
  <c r="B822" i="34"/>
  <c r="O822" i="34"/>
  <c r="P822" i="34"/>
  <c r="Q822" i="34"/>
  <c r="R822" i="34"/>
  <c r="S822" i="34"/>
  <c r="T822" i="34"/>
  <c r="U822" i="34"/>
  <c r="V822" i="34"/>
  <c r="W822" i="34"/>
  <c r="X822" i="34"/>
  <c r="Y822" i="34"/>
  <c r="N823" i="34"/>
  <c r="B823" i="34"/>
  <c r="O823" i="34"/>
  <c r="P823" i="34"/>
  <c r="Q823" i="34"/>
  <c r="R823" i="34"/>
  <c r="S823" i="34"/>
  <c r="T823" i="34"/>
  <c r="U823" i="34"/>
  <c r="V823" i="34"/>
  <c r="W823" i="34"/>
  <c r="X823" i="34"/>
  <c r="Y823" i="34"/>
  <c r="N824" i="34"/>
  <c r="B824" i="34"/>
  <c r="O824" i="34"/>
  <c r="P824" i="34"/>
  <c r="Q824" i="34"/>
  <c r="R824" i="34"/>
  <c r="S824" i="34"/>
  <c r="T824" i="34"/>
  <c r="U824" i="34"/>
  <c r="V824" i="34"/>
  <c r="W824" i="34"/>
  <c r="X824" i="34"/>
  <c r="Y824" i="34"/>
  <c r="N825" i="34"/>
  <c r="B825" i="34"/>
  <c r="O825" i="34"/>
  <c r="P825" i="34"/>
  <c r="Q825" i="34"/>
  <c r="R825" i="34"/>
  <c r="S825" i="34"/>
  <c r="T825" i="34"/>
  <c r="U825" i="34"/>
  <c r="V825" i="34"/>
  <c r="W825" i="34"/>
  <c r="X825" i="34"/>
  <c r="Y825" i="34"/>
  <c r="N826" i="34"/>
  <c r="B826" i="34"/>
  <c r="O826" i="34"/>
  <c r="P826" i="34"/>
  <c r="Q826" i="34"/>
  <c r="R826" i="34"/>
  <c r="S826" i="34"/>
  <c r="T826" i="34"/>
  <c r="U826" i="34"/>
  <c r="V826" i="34"/>
  <c r="W826" i="34"/>
  <c r="X826" i="34"/>
  <c r="Y826" i="34"/>
  <c r="N827" i="34"/>
  <c r="B827" i="34"/>
  <c r="O827" i="34"/>
  <c r="P827" i="34"/>
  <c r="Q827" i="34"/>
  <c r="R827" i="34"/>
  <c r="S827" i="34"/>
  <c r="T827" i="34"/>
  <c r="U827" i="34"/>
  <c r="V827" i="34"/>
  <c r="W827" i="34"/>
  <c r="X827" i="34"/>
  <c r="Y827" i="34"/>
  <c r="N828" i="34"/>
  <c r="B828" i="34"/>
  <c r="O828" i="34"/>
  <c r="P828" i="34"/>
  <c r="Q828" i="34"/>
  <c r="R828" i="34"/>
  <c r="S828" i="34"/>
  <c r="T828" i="34"/>
  <c r="U828" i="34"/>
  <c r="V828" i="34"/>
  <c r="W828" i="34"/>
  <c r="X828" i="34"/>
  <c r="Y828" i="34"/>
  <c r="N829" i="34"/>
  <c r="B829" i="34"/>
  <c r="O829" i="34"/>
  <c r="P829" i="34"/>
  <c r="Q829" i="34"/>
  <c r="R829" i="34"/>
  <c r="S829" i="34"/>
  <c r="T829" i="34"/>
  <c r="U829" i="34"/>
  <c r="V829" i="34"/>
  <c r="W829" i="34"/>
  <c r="X829" i="34"/>
  <c r="Y829" i="34"/>
  <c r="N830" i="34"/>
  <c r="B830" i="34"/>
  <c r="O830" i="34"/>
  <c r="P830" i="34"/>
  <c r="Q830" i="34"/>
  <c r="R830" i="34"/>
  <c r="S830" i="34"/>
  <c r="T830" i="34"/>
  <c r="U830" i="34"/>
  <c r="V830" i="34"/>
  <c r="W830" i="34"/>
  <c r="X830" i="34"/>
  <c r="Y830" i="34"/>
  <c r="N831" i="34"/>
  <c r="B831" i="34"/>
  <c r="O831" i="34"/>
  <c r="P831" i="34"/>
  <c r="Q831" i="34"/>
  <c r="R831" i="34"/>
  <c r="S831" i="34"/>
  <c r="T831" i="34"/>
  <c r="U831" i="34"/>
  <c r="V831" i="34"/>
  <c r="W831" i="34"/>
  <c r="X831" i="34"/>
  <c r="Y831" i="34"/>
  <c r="N832" i="34"/>
  <c r="B832" i="34"/>
  <c r="O832" i="34"/>
  <c r="P832" i="34"/>
  <c r="Q832" i="34"/>
  <c r="R832" i="34"/>
  <c r="S832" i="34"/>
  <c r="T832" i="34"/>
  <c r="U832" i="34"/>
  <c r="V832" i="34"/>
  <c r="W832" i="34"/>
  <c r="X832" i="34"/>
  <c r="Y832" i="34"/>
  <c r="N833" i="34"/>
  <c r="B833" i="34"/>
  <c r="O833" i="34"/>
  <c r="P833" i="34"/>
  <c r="Q833" i="34"/>
  <c r="R833" i="34"/>
  <c r="S833" i="34"/>
  <c r="T833" i="34"/>
  <c r="U833" i="34"/>
  <c r="V833" i="34"/>
  <c r="W833" i="34"/>
  <c r="X833" i="34"/>
  <c r="Y833" i="34"/>
  <c r="N834" i="34"/>
  <c r="B834" i="34"/>
  <c r="O834" i="34"/>
  <c r="P834" i="34"/>
  <c r="Q834" i="34"/>
  <c r="R834" i="34"/>
  <c r="S834" i="34"/>
  <c r="T834" i="34"/>
  <c r="U834" i="34"/>
  <c r="V834" i="34"/>
  <c r="W834" i="34"/>
  <c r="X834" i="34"/>
  <c r="Y834" i="34"/>
  <c r="N835" i="34"/>
  <c r="B835" i="34"/>
  <c r="O835" i="34"/>
  <c r="P835" i="34"/>
  <c r="Q835" i="34"/>
  <c r="R835" i="34"/>
  <c r="S835" i="34"/>
  <c r="T835" i="34"/>
  <c r="U835" i="34"/>
  <c r="V835" i="34"/>
  <c r="W835" i="34"/>
  <c r="X835" i="34"/>
  <c r="Y835" i="34"/>
  <c r="N836" i="34"/>
  <c r="B836" i="34"/>
  <c r="O836" i="34"/>
  <c r="P836" i="34"/>
  <c r="Q836" i="34"/>
  <c r="R836" i="34"/>
  <c r="S836" i="34"/>
  <c r="T836" i="34"/>
  <c r="U836" i="34"/>
  <c r="V836" i="34"/>
  <c r="W836" i="34"/>
  <c r="X836" i="34"/>
  <c r="Y836" i="34"/>
  <c r="N837" i="34"/>
  <c r="B837" i="34"/>
  <c r="O837" i="34"/>
  <c r="P837" i="34"/>
  <c r="Q837" i="34"/>
  <c r="R837" i="34"/>
  <c r="S837" i="34"/>
  <c r="T837" i="34"/>
  <c r="U837" i="34"/>
  <c r="V837" i="34"/>
  <c r="W837" i="34"/>
  <c r="X837" i="34"/>
  <c r="Y837" i="34"/>
  <c r="N838" i="34"/>
  <c r="B838" i="34"/>
  <c r="O838" i="34"/>
  <c r="P838" i="34"/>
  <c r="Q838" i="34"/>
  <c r="R838" i="34"/>
  <c r="S838" i="34"/>
  <c r="T838" i="34"/>
  <c r="U838" i="34"/>
  <c r="V838" i="34"/>
  <c r="W838" i="34"/>
  <c r="X838" i="34"/>
  <c r="Y838" i="34"/>
  <c r="N839" i="34"/>
  <c r="B839" i="34"/>
  <c r="O839" i="34"/>
  <c r="P839" i="34"/>
  <c r="Q839" i="34"/>
  <c r="R839" i="34"/>
  <c r="S839" i="34"/>
  <c r="T839" i="34"/>
  <c r="U839" i="34"/>
  <c r="V839" i="34"/>
  <c r="W839" i="34"/>
  <c r="X839" i="34"/>
  <c r="Y839" i="34"/>
  <c r="N840" i="34"/>
  <c r="B840" i="34"/>
  <c r="O840" i="34"/>
  <c r="P840" i="34"/>
  <c r="Q840" i="34"/>
  <c r="R840" i="34"/>
  <c r="S840" i="34"/>
  <c r="T840" i="34"/>
  <c r="U840" i="34"/>
  <c r="V840" i="34"/>
  <c r="W840" i="34"/>
  <c r="X840" i="34"/>
  <c r="Y840" i="34"/>
  <c r="N841" i="34"/>
  <c r="B841" i="34"/>
  <c r="O841" i="34"/>
  <c r="P841" i="34"/>
  <c r="Q841" i="34"/>
  <c r="R841" i="34"/>
  <c r="S841" i="34"/>
  <c r="T841" i="34"/>
  <c r="U841" i="34"/>
  <c r="V841" i="34"/>
  <c r="W841" i="34"/>
  <c r="X841" i="34"/>
  <c r="Y841" i="34"/>
  <c r="N842" i="34"/>
  <c r="B842" i="34"/>
  <c r="O842" i="34"/>
  <c r="P842" i="34"/>
  <c r="Q842" i="34"/>
  <c r="R842" i="34"/>
  <c r="S842" i="34"/>
  <c r="T842" i="34"/>
  <c r="U842" i="34"/>
  <c r="V842" i="34"/>
  <c r="W842" i="34"/>
  <c r="X842" i="34"/>
  <c r="Y842" i="34"/>
  <c r="N843" i="34"/>
  <c r="B843" i="34"/>
  <c r="O843" i="34"/>
  <c r="P843" i="34"/>
  <c r="Q843" i="34"/>
  <c r="R843" i="34"/>
  <c r="S843" i="34"/>
  <c r="T843" i="34"/>
  <c r="U843" i="34"/>
  <c r="V843" i="34"/>
  <c r="W843" i="34"/>
  <c r="X843" i="34"/>
  <c r="Y843" i="34"/>
  <c r="N844" i="34"/>
  <c r="B844" i="34"/>
  <c r="O844" i="34"/>
  <c r="P844" i="34"/>
  <c r="Q844" i="34"/>
  <c r="R844" i="34"/>
  <c r="S844" i="34"/>
  <c r="T844" i="34"/>
  <c r="U844" i="34"/>
  <c r="V844" i="34"/>
  <c r="W844" i="34"/>
  <c r="X844" i="34"/>
  <c r="Y844" i="34"/>
  <c r="N845" i="34"/>
  <c r="B845" i="34"/>
  <c r="O845" i="34"/>
  <c r="P845" i="34"/>
  <c r="Q845" i="34"/>
  <c r="R845" i="34"/>
  <c r="S845" i="34"/>
  <c r="T845" i="34"/>
  <c r="U845" i="34"/>
  <c r="V845" i="34"/>
  <c r="W845" i="34"/>
  <c r="X845" i="34"/>
  <c r="Y845" i="34"/>
  <c r="N846" i="34"/>
  <c r="B846" i="34"/>
  <c r="O846" i="34"/>
  <c r="P846" i="34"/>
  <c r="Q846" i="34"/>
  <c r="R846" i="34"/>
  <c r="S846" i="34"/>
  <c r="T846" i="34"/>
  <c r="U846" i="34"/>
  <c r="V846" i="34"/>
  <c r="W846" i="34"/>
  <c r="X846" i="34"/>
  <c r="Y846" i="34"/>
  <c r="N847" i="34"/>
  <c r="B847" i="34"/>
  <c r="O847" i="34"/>
  <c r="P847" i="34"/>
  <c r="Q847" i="34"/>
  <c r="R847" i="34"/>
  <c r="S847" i="34"/>
  <c r="T847" i="34"/>
  <c r="U847" i="34"/>
  <c r="V847" i="34"/>
  <c r="W847" i="34"/>
  <c r="X847" i="34"/>
  <c r="Y847" i="34"/>
  <c r="N848" i="34"/>
  <c r="B848" i="34"/>
  <c r="O848" i="34"/>
  <c r="P848" i="34"/>
  <c r="Q848" i="34"/>
  <c r="R848" i="34"/>
  <c r="S848" i="34"/>
  <c r="T848" i="34"/>
  <c r="U848" i="34"/>
  <c r="V848" i="34"/>
  <c r="W848" i="34"/>
  <c r="X848" i="34"/>
  <c r="Y848" i="34"/>
  <c r="N849" i="34"/>
  <c r="B849" i="34"/>
  <c r="O849" i="34"/>
  <c r="P849" i="34"/>
  <c r="Q849" i="34"/>
  <c r="R849" i="34"/>
  <c r="S849" i="34"/>
  <c r="T849" i="34"/>
  <c r="U849" i="34"/>
  <c r="V849" i="34"/>
  <c r="W849" i="34"/>
  <c r="X849" i="34"/>
  <c r="Y849" i="34"/>
  <c r="N850" i="34"/>
  <c r="B850" i="34"/>
  <c r="O850" i="34"/>
  <c r="P850" i="34"/>
  <c r="Q850" i="34"/>
  <c r="R850" i="34"/>
  <c r="S850" i="34"/>
  <c r="T850" i="34"/>
  <c r="U850" i="34"/>
  <c r="V850" i="34"/>
  <c r="W850" i="34"/>
  <c r="X850" i="34"/>
  <c r="Y850" i="34"/>
  <c r="N851" i="34"/>
  <c r="B851" i="34"/>
  <c r="O851" i="34"/>
  <c r="P851" i="34"/>
  <c r="Q851" i="34"/>
  <c r="R851" i="34"/>
  <c r="S851" i="34"/>
  <c r="T851" i="34"/>
  <c r="U851" i="34"/>
  <c r="V851" i="34"/>
  <c r="W851" i="34"/>
  <c r="X851" i="34"/>
  <c r="Y851" i="34"/>
  <c r="N852" i="34"/>
  <c r="B852" i="34"/>
  <c r="O852" i="34"/>
  <c r="P852" i="34"/>
  <c r="Q852" i="34"/>
  <c r="R852" i="34"/>
  <c r="S852" i="34"/>
  <c r="T852" i="34"/>
  <c r="U852" i="34"/>
  <c r="V852" i="34"/>
  <c r="W852" i="34"/>
  <c r="X852" i="34"/>
  <c r="Y852" i="34"/>
  <c r="N853" i="34"/>
  <c r="B853" i="34"/>
  <c r="O853" i="34"/>
  <c r="P853" i="34"/>
  <c r="Q853" i="34"/>
  <c r="R853" i="34"/>
  <c r="S853" i="34"/>
  <c r="T853" i="34"/>
  <c r="U853" i="34"/>
  <c r="V853" i="34"/>
  <c r="W853" i="34"/>
  <c r="X853" i="34"/>
  <c r="Y853" i="34"/>
  <c r="N854" i="34"/>
  <c r="B854" i="34"/>
  <c r="O854" i="34"/>
  <c r="P854" i="34"/>
  <c r="Q854" i="34"/>
  <c r="R854" i="34"/>
  <c r="S854" i="34"/>
  <c r="T854" i="34"/>
  <c r="U854" i="34"/>
  <c r="V854" i="34"/>
  <c r="W854" i="34"/>
  <c r="X854" i="34"/>
  <c r="Y854" i="34"/>
  <c r="N855" i="34"/>
  <c r="B855" i="34"/>
  <c r="O855" i="34"/>
  <c r="P855" i="34"/>
  <c r="Q855" i="34"/>
  <c r="R855" i="34"/>
  <c r="S855" i="34"/>
  <c r="T855" i="34"/>
  <c r="U855" i="34"/>
  <c r="V855" i="34"/>
  <c r="W855" i="34"/>
  <c r="X855" i="34"/>
  <c r="Y855" i="34"/>
  <c r="N856" i="34"/>
  <c r="B856" i="34"/>
  <c r="O856" i="34"/>
  <c r="P856" i="34"/>
  <c r="Q856" i="34"/>
  <c r="R856" i="34"/>
  <c r="S856" i="34"/>
  <c r="T856" i="34"/>
  <c r="U856" i="34"/>
  <c r="V856" i="34"/>
  <c r="W856" i="34"/>
  <c r="X856" i="34"/>
  <c r="Y856" i="34"/>
  <c r="N857" i="34"/>
  <c r="B857" i="34"/>
  <c r="O857" i="34"/>
  <c r="P857" i="34"/>
  <c r="Q857" i="34"/>
  <c r="R857" i="34"/>
  <c r="S857" i="34"/>
  <c r="T857" i="34"/>
  <c r="U857" i="34"/>
  <c r="V857" i="34"/>
  <c r="W857" i="34"/>
  <c r="X857" i="34"/>
  <c r="Y857" i="34"/>
  <c r="N858" i="34"/>
  <c r="B858" i="34"/>
  <c r="O858" i="34"/>
  <c r="P858" i="34"/>
  <c r="Q858" i="34"/>
  <c r="R858" i="34"/>
  <c r="S858" i="34"/>
  <c r="T858" i="34"/>
  <c r="U858" i="34"/>
  <c r="V858" i="34"/>
  <c r="W858" i="34"/>
  <c r="X858" i="34"/>
  <c r="Y858" i="34"/>
  <c r="N859" i="34"/>
  <c r="B859" i="34"/>
  <c r="O859" i="34"/>
  <c r="P859" i="34"/>
  <c r="Q859" i="34"/>
  <c r="R859" i="34"/>
  <c r="S859" i="34"/>
  <c r="T859" i="34"/>
  <c r="U859" i="34"/>
  <c r="V859" i="34"/>
  <c r="W859" i="34"/>
  <c r="X859" i="34"/>
  <c r="Y859" i="34"/>
  <c r="N860" i="34"/>
  <c r="B860" i="34"/>
  <c r="O860" i="34"/>
  <c r="P860" i="34"/>
  <c r="Q860" i="34"/>
  <c r="R860" i="34"/>
  <c r="S860" i="34"/>
  <c r="T860" i="34"/>
  <c r="U860" i="34"/>
  <c r="V860" i="34"/>
  <c r="W860" i="34"/>
  <c r="X860" i="34"/>
  <c r="Y860" i="34"/>
  <c r="N861" i="34"/>
  <c r="B861" i="34"/>
  <c r="O861" i="34"/>
  <c r="P861" i="34"/>
  <c r="Q861" i="34"/>
  <c r="R861" i="34"/>
  <c r="S861" i="34"/>
  <c r="T861" i="34"/>
  <c r="U861" i="34"/>
  <c r="V861" i="34"/>
  <c r="W861" i="34"/>
  <c r="X861" i="34"/>
  <c r="Y861" i="34"/>
  <c r="N862" i="34"/>
  <c r="B862" i="34"/>
  <c r="O862" i="34"/>
  <c r="P862" i="34"/>
  <c r="Q862" i="34"/>
  <c r="R862" i="34"/>
  <c r="S862" i="34"/>
  <c r="T862" i="34"/>
  <c r="U862" i="34"/>
  <c r="V862" i="34"/>
  <c r="W862" i="34"/>
  <c r="X862" i="34"/>
  <c r="Y862" i="34"/>
  <c r="N863" i="34"/>
  <c r="B863" i="34"/>
  <c r="O863" i="34"/>
  <c r="P863" i="34"/>
  <c r="Q863" i="34"/>
  <c r="R863" i="34"/>
  <c r="S863" i="34"/>
  <c r="T863" i="34"/>
  <c r="U863" i="34"/>
  <c r="V863" i="34"/>
  <c r="W863" i="34"/>
  <c r="X863" i="34"/>
  <c r="Y863" i="34"/>
  <c r="N864" i="34"/>
  <c r="B864" i="34"/>
  <c r="O864" i="34"/>
  <c r="P864" i="34"/>
  <c r="Q864" i="34"/>
  <c r="R864" i="34"/>
  <c r="S864" i="34"/>
  <c r="T864" i="34"/>
  <c r="U864" i="34"/>
  <c r="V864" i="34"/>
  <c r="W864" i="34"/>
  <c r="X864" i="34"/>
  <c r="Y864" i="34"/>
  <c r="N865" i="34"/>
  <c r="B865" i="34"/>
  <c r="O865" i="34"/>
  <c r="P865" i="34"/>
  <c r="Q865" i="34"/>
  <c r="R865" i="34"/>
  <c r="S865" i="34"/>
  <c r="T865" i="34"/>
  <c r="U865" i="34"/>
  <c r="V865" i="34"/>
  <c r="W865" i="34"/>
  <c r="X865" i="34"/>
  <c r="Y865" i="34"/>
  <c r="N866" i="34"/>
  <c r="B866" i="34"/>
  <c r="O866" i="34"/>
  <c r="P866" i="34"/>
  <c r="Q866" i="34"/>
  <c r="R866" i="34"/>
  <c r="S866" i="34"/>
  <c r="T866" i="34"/>
  <c r="U866" i="34"/>
  <c r="V866" i="34"/>
  <c r="W866" i="34"/>
  <c r="X866" i="34"/>
  <c r="Y866" i="34"/>
  <c r="N867" i="34"/>
  <c r="B867" i="34"/>
  <c r="O867" i="34"/>
  <c r="P867" i="34"/>
  <c r="Q867" i="34"/>
  <c r="R867" i="34"/>
  <c r="S867" i="34"/>
  <c r="T867" i="34"/>
  <c r="U867" i="34"/>
  <c r="V867" i="34"/>
  <c r="W867" i="34"/>
  <c r="X867" i="34"/>
  <c r="Y867" i="34"/>
  <c r="N868" i="34"/>
  <c r="B868" i="34"/>
  <c r="O868" i="34"/>
  <c r="P868" i="34"/>
  <c r="Q868" i="34"/>
  <c r="R868" i="34"/>
  <c r="S868" i="34"/>
  <c r="T868" i="34"/>
  <c r="U868" i="34"/>
  <c r="V868" i="34"/>
  <c r="W868" i="34"/>
  <c r="X868" i="34"/>
  <c r="Y868" i="34"/>
  <c r="N869" i="34"/>
  <c r="B869" i="34"/>
  <c r="O869" i="34"/>
  <c r="P869" i="34"/>
  <c r="Q869" i="34"/>
  <c r="R869" i="34"/>
  <c r="S869" i="34"/>
  <c r="T869" i="34"/>
  <c r="U869" i="34"/>
  <c r="V869" i="34"/>
  <c r="W869" i="34"/>
  <c r="X869" i="34"/>
  <c r="Y869" i="34"/>
  <c r="N870" i="34"/>
  <c r="B870" i="34"/>
  <c r="O870" i="34"/>
  <c r="P870" i="34"/>
  <c r="Q870" i="34"/>
  <c r="R870" i="34"/>
  <c r="S870" i="34"/>
  <c r="T870" i="34"/>
  <c r="U870" i="34"/>
  <c r="V870" i="34"/>
  <c r="W870" i="34"/>
  <c r="X870" i="34"/>
  <c r="Y870" i="34"/>
  <c r="N871" i="34"/>
  <c r="B871" i="34"/>
  <c r="O871" i="34"/>
  <c r="P871" i="34"/>
  <c r="Q871" i="34"/>
  <c r="R871" i="34"/>
  <c r="S871" i="34"/>
  <c r="T871" i="34"/>
  <c r="U871" i="34"/>
  <c r="V871" i="34"/>
  <c r="W871" i="34"/>
  <c r="X871" i="34"/>
  <c r="Y871" i="34"/>
  <c r="N872" i="34"/>
  <c r="B872" i="34"/>
  <c r="O872" i="34"/>
  <c r="P872" i="34"/>
  <c r="Q872" i="34"/>
  <c r="R872" i="34"/>
  <c r="S872" i="34"/>
  <c r="T872" i="34"/>
  <c r="U872" i="34"/>
  <c r="V872" i="34"/>
  <c r="W872" i="34"/>
  <c r="X872" i="34"/>
  <c r="Y872" i="34"/>
  <c r="N873" i="34"/>
  <c r="B873" i="34"/>
  <c r="O873" i="34"/>
  <c r="P873" i="34"/>
  <c r="Q873" i="34"/>
  <c r="R873" i="34"/>
  <c r="S873" i="34"/>
  <c r="T873" i="34"/>
  <c r="U873" i="34"/>
  <c r="V873" i="34"/>
  <c r="W873" i="34"/>
  <c r="X873" i="34"/>
  <c r="Y873" i="34"/>
  <c r="N874" i="34"/>
  <c r="B874" i="34"/>
  <c r="O874" i="34"/>
  <c r="P874" i="34"/>
  <c r="Q874" i="34"/>
  <c r="R874" i="34"/>
  <c r="S874" i="34"/>
  <c r="T874" i="34"/>
  <c r="U874" i="34"/>
  <c r="V874" i="34"/>
  <c r="W874" i="34"/>
  <c r="X874" i="34"/>
  <c r="Y874" i="34"/>
  <c r="N875" i="34"/>
  <c r="B875" i="34"/>
  <c r="O875" i="34"/>
  <c r="P875" i="34"/>
  <c r="Q875" i="34"/>
  <c r="R875" i="34"/>
  <c r="S875" i="34"/>
  <c r="T875" i="34"/>
  <c r="U875" i="34"/>
  <c r="V875" i="34"/>
  <c r="W875" i="34"/>
  <c r="X875" i="34"/>
  <c r="Y875" i="34"/>
  <c r="N876" i="34"/>
  <c r="B876" i="34"/>
  <c r="O876" i="34"/>
  <c r="P876" i="34"/>
  <c r="Q876" i="34"/>
  <c r="R876" i="34"/>
  <c r="S876" i="34"/>
  <c r="T876" i="34"/>
  <c r="U876" i="34"/>
  <c r="V876" i="34"/>
  <c r="W876" i="34"/>
  <c r="X876" i="34"/>
  <c r="Y876" i="34"/>
  <c r="N877" i="34"/>
  <c r="B877" i="34"/>
  <c r="O877" i="34"/>
  <c r="P877" i="34"/>
  <c r="Q877" i="34"/>
  <c r="R877" i="34"/>
  <c r="S877" i="34"/>
  <c r="T877" i="34"/>
  <c r="U877" i="34"/>
  <c r="V877" i="34"/>
  <c r="W877" i="34"/>
  <c r="X877" i="34"/>
  <c r="Y877" i="34"/>
  <c r="N878" i="34"/>
  <c r="B878" i="34"/>
  <c r="O878" i="34"/>
  <c r="P878" i="34"/>
  <c r="Q878" i="34"/>
  <c r="R878" i="34"/>
  <c r="S878" i="34"/>
  <c r="T878" i="34"/>
  <c r="U878" i="34"/>
  <c r="V878" i="34"/>
  <c r="W878" i="34"/>
  <c r="X878" i="34"/>
  <c r="Y878" i="34"/>
  <c r="N879" i="34"/>
  <c r="B879" i="34"/>
  <c r="O879" i="34"/>
  <c r="P879" i="34"/>
  <c r="Q879" i="34"/>
  <c r="R879" i="34"/>
  <c r="S879" i="34"/>
  <c r="T879" i="34"/>
  <c r="U879" i="34"/>
  <c r="V879" i="34"/>
  <c r="W879" i="34"/>
  <c r="X879" i="34"/>
  <c r="Y879" i="34"/>
  <c r="N880" i="34"/>
  <c r="B880" i="34"/>
  <c r="O880" i="34"/>
  <c r="P880" i="34"/>
  <c r="Q880" i="34"/>
  <c r="R880" i="34"/>
  <c r="S880" i="34"/>
  <c r="T880" i="34"/>
  <c r="U880" i="34"/>
  <c r="V880" i="34"/>
  <c r="W880" i="34"/>
  <c r="X880" i="34"/>
  <c r="Y880" i="34"/>
  <c r="N881" i="34"/>
  <c r="B881" i="34"/>
  <c r="O881" i="34"/>
  <c r="P881" i="34"/>
  <c r="Q881" i="34"/>
  <c r="R881" i="34"/>
  <c r="S881" i="34"/>
  <c r="T881" i="34"/>
  <c r="U881" i="34"/>
  <c r="V881" i="34"/>
  <c r="W881" i="34"/>
  <c r="X881" i="34"/>
  <c r="Y881" i="34"/>
  <c r="N882" i="34"/>
  <c r="B882" i="34"/>
  <c r="O882" i="34"/>
  <c r="P882" i="34"/>
  <c r="Q882" i="34"/>
  <c r="R882" i="34"/>
  <c r="S882" i="34"/>
  <c r="T882" i="34"/>
  <c r="U882" i="34"/>
  <c r="V882" i="34"/>
  <c r="W882" i="34"/>
  <c r="X882" i="34"/>
  <c r="Y882" i="34"/>
  <c r="N883" i="34"/>
  <c r="B883" i="34"/>
  <c r="O883" i="34"/>
  <c r="P883" i="34"/>
  <c r="Q883" i="34"/>
  <c r="R883" i="34"/>
  <c r="S883" i="34"/>
  <c r="T883" i="34"/>
  <c r="U883" i="34"/>
  <c r="V883" i="34"/>
  <c r="W883" i="34"/>
  <c r="X883" i="34"/>
  <c r="Y883" i="34"/>
  <c r="N884" i="34"/>
  <c r="B884" i="34"/>
  <c r="O884" i="34"/>
  <c r="P884" i="34"/>
  <c r="Q884" i="34"/>
  <c r="R884" i="34"/>
  <c r="S884" i="34"/>
  <c r="T884" i="34"/>
  <c r="U884" i="34"/>
  <c r="V884" i="34"/>
  <c r="W884" i="34"/>
  <c r="X884" i="34"/>
  <c r="Y884" i="34"/>
  <c r="N885" i="34"/>
  <c r="B885" i="34"/>
  <c r="O885" i="34"/>
  <c r="P885" i="34"/>
  <c r="Q885" i="34"/>
  <c r="R885" i="34"/>
  <c r="S885" i="34"/>
  <c r="T885" i="34"/>
  <c r="U885" i="34"/>
  <c r="V885" i="34"/>
  <c r="W885" i="34"/>
  <c r="X885" i="34"/>
  <c r="Y885" i="34"/>
  <c r="N886" i="34"/>
  <c r="B886" i="34"/>
  <c r="O886" i="34"/>
  <c r="P886" i="34"/>
  <c r="Q886" i="34"/>
  <c r="R886" i="34"/>
  <c r="S886" i="34"/>
  <c r="T886" i="34"/>
  <c r="U886" i="34"/>
  <c r="V886" i="34"/>
  <c r="W886" i="34"/>
  <c r="X886" i="34"/>
  <c r="Y886" i="34"/>
  <c r="N887" i="34"/>
  <c r="B887" i="34"/>
  <c r="O887" i="34"/>
  <c r="P887" i="34"/>
  <c r="Q887" i="34"/>
  <c r="R887" i="34"/>
  <c r="S887" i="34"/>
  <c r="T887" i="34"/>
  <c r="U887" i="34"/>
  <c r="V887" i="34"/>
  <c r="W887" i="34"/>
  <c r="X887" i="34"/>
  <c r="Y887" i="34"/>
  <c r="N888" i="34"/>
  <c r="B888" i="34"/>
  <c r="O888" i="34"/>
  <c r="P888" i="34"/>
  <c r="Q888" i="34"/>
  <c r="R888" i="34"/>
  <c r="S888" i="34"/>
  <c r="T888" i="34"/>
  <c r="U888" i="34"/>
  <c r="V888" i="34"/>
  <c r="W888" i="34"/>
  <c r="X888" i="34"/>
  <c r="Y888" i="34"/>
  <c r="N889" i="34"/>
  <c r="B889" i="34"/>
  <c r="O889" i="34"/>
  <c r="P889" i="34"/>
  <c r="Q889" i="34"/>
  <c r="R889" i="34"/>
  <c r="S889" i="34"/>
  <c r="T889" i="34"/>
  <c r="U889" i="34"/>
  <c r="V889" i="34"/>
  <c r="W889" i="34"/>
  <c r="X889" i="34"/>
  <c r="Y889" i="34"/>
  <c r="N890" i="34"/>
  <c r="B890" i="34"/>
  <c r="O890" i="34"/>
  <c r="P890" i="34"/>
  <c r="Q890" i="34"/>
  <c r="R890" i="34"/>
  <c r="S890" i="34"/>
  <c r="T890" i="34"/>
  <c r="U890" i="34"/>
  <c r="V890" i="34"/>
  <c r="W890" i="34"/>
  <c r="X890" i="34"/>
  <c r="Y890" i="34"/>
  <c r="N891" i="34"/>
  <c r="B891" i="34"/>
  <c r="O891" i="34"/>
  <c r="P891" i="34"/>
  <c r="Q891" i="34"/>
  <c r="R891" i="34"/>
  <c r="S891" i="34"/>
  <c r="T891" i="34"/>
  <c r="U891" i="34"/>
  <c r="V891" i="34"/>
  <c r="W891" i="34"/>
  <c r="X891" i="34"/>
  <c r="Y891" i="34"/>
  <c r="N892" i="34"/>
  <c r="B892" i="34"/>
  <c r="O892" i="34"/>
  <c r="P892" i="34"/>
  <c r="Q892" i="34"/>
  <c r="R892" i="34"/>
  <c r="S892" i="34"/>
  <c r="T892" i="34"/>
  <c r="U892" i="34"/>
  <c r="V892" i="34"/>
  <c r="W892" i="34"/>
  <c r="X892" i="34"/>
  <c r="Y892" i="34"/>
  <c r="N893" i="34"/>
  <c r="B893" i="34"/>
  <c r="O893" i="34"/>
  <c r="P893" i="34"/>
  <c r="Q893" i="34"/>
  <c r="R893" i="34"/>
  <c r="S893" i="34"/>
  <c r="T893" i="34"/>
  <c r="U893" i="34"/>
  <c r="V893" i="34"/>
  <c r="W893" i="34"/>
  <c r="X893" i="34"/>
  <c r="Y893" i="34"/>
  <c r="N894" i="34"/>
  <c r="B894" i="34"/>
  <c r="O894" i="34"/>
  <c r="P894" i="34"/>
  <c r="Q894" i="34"/>
  <c r="R894" i="34"/>
  <c r="S894" i="34"/>
  <c r="T894" i="34"/>
  <c r="U894" i="34"/>
  <c r="V894" i="34"/>
  <c r="W894" i="34"/>
  <c r="X894" i="34"/>
  <c r="Y894" i="34"/>
  <c r="N895" i="34"/>
  <c r="B895" i="34"/>
  <c r="O895" i="34"/>
  <c r="P895" i="34"/>
  <c r="Q895" i="34"/>
  <c r="R895" i="34"/>
  <c r="S895" i="34"/>
  <c r="T895" i="34"/>
  <c r="U895" i="34"/>
  <c r="V895" i="34"/>
  <c r="W895" i="34"/>
  <c r="X895" i="34"/>
  <c r="Y895" i="34"/>
  <c r="N896" i="34"/>
  <c r="B896" i="34"/>
  <c r="O896" i="34"/>
  <c r="P896" i="34"/>
  <c r="Q896" i="34"/>
  <c r="R896" i="34"/>
  <c r="S896" i="34"/>
  <c r="T896" i="34"/>
  <c r="U896" i="34"/>
  <c r="V896" i="34"/>
  <c r="W896" i="34"/>
  <c r="X896" i="34"/>
  <c r="Y896" i="34"/>
  <c r="N897" i="34"/>
  <c r="B897" i="34"/>
  <c r="O897" i="34"/>
  <c r="P897" i="34"/>
  <c r="Q897" i="34"/>
  <c r="R897" i="34"/>
  <c r="S897" i="34"/>
  <c r="T897" i="34"/>
  <c r="U897" i="34"/>
  <c r="V897" i="34"/>
  <c r="W897" i="34"/>
  <c r="X897" i="34"/>
  <c r="Y897" i="34"/>
  <c r="N898" i="34"/>
  <c r="B898" i="34"/>
  <c r="O898" i="34"/>
  <c r="P898" i="34"/>
  <c r="Q898" i="34"/>
  <c r="R898" i="34"/>
  <c r="S898" i="34"/>
  <c r="T898" i="34"/>
  <c r="U898" i="34"/>
  <c r="V898" i="34"/>
  <c r="W898" i="34"/>
  <c r="X898" i="34"/>
  <c r="Y898" i="34"/>
  <c r="N899" i="34"/>
  <c r="B899" i="34"/>
  <c r="O899" i="34"/>
  <c r="P899" i="34"/>
  <c r="Q899" i="34"/>
  <c r="R899" i="34"/>
  <c r="S899" i="34"/>
  <c r="T899" i="34"/>
  <c r="U899" i="34"/>
  <c r="V899" i="34"/>
  <c r="W899" i="34"/>
  <c r="X899" i="34"/>
  <c r="Y899" i="34"/>
  <c r="N900" i="34"/>
  <c r="B900" i="34"/>
  <c r="O900" i="34"/>
  <c r="P900" i="34"/>
  <c r="Q900" i="34"/>
  <c r="R900" i="34"/>
  <c r="S900" i="34"/>
  <c r="T900" i="34"/>
  <c r="U900" i="34"/>
  <c r="V900" i="34"/>
  <c r="W900" i="34"/>
  <c r="X900" i="34"/>
  <c r="Y900" i="34"/>
  <c r="N901" i="34"/>
  <c r="B901" i="34"/>
  <c r="O901" i="34"/>
  <c r="P901" i="34"/>
  <c r="Q901" i="34"/>
  <c r="R901" i="34"/>
  <c r="S901" i="34"/>
  <c r="T901" i="34"/>
  <c r="U901" i="34"/>
  <c r="V901" i="34"/>
  <c r="W901" i="34"/>
  <c r="X901" i="34"/>
  <c r="Y901" i="34"/>
  <c r="N902" i="34"/>
  <c r="B902" i="34"/>
  <c r="O902" i="34"/>
  <c r="P902" i="34"/>
  <c r="Q902" i="34"/>
  <c r="R902" i="34"/>
  <c r="S902" i="34"/>
  <c r="T902" i="34"/>
  <c r="U902" i="34"/>
  <c r="V902" i="34"/>
  <c r="W902" i="34"/>
  <c r="X902" i="34"/>
  <c r="Y902" i="34"/>
  <c r="N903" i="34"/>
  <c r="B903" i="34"/>
  <c r="O903" i="34"/>
  <c r="P903" i="34"/>
  <c r="Q903" i="34"/>
  <c r="R903" i="34"/>
  <c r="S903" i="34"/>
  <c r="T903" i="34"/>
  <c r="U903" i="34"/>
  <c r="V903" i="34"/>
  <c r="W903" i="34"/>
  <c r="X903" i="34"/>
  <c r="Y903" i="34"/>
  <c r="N904" i="34"/>
  <c r="B904" i="34"/>
  <c r="O904" i="34"/>
  <c r="P904" i="34"/>
  <c r="Q904" i="34"/>
  <c r="R904" i="34"/>
  <c r="S904" i="34"/>
  <c r="T904" i="34"/>
  <c r="U904" i="34"/>
  <c r="V904" i="34"/>
  <c r="W904" i="34"/>
  <c r="X904" i="34"/>
  <c r="Y904" i="34"/>
  <c r="N905" i="34"/>
  <c r="B905" i="34"/>
  <c r="O905" i="34"/>
  <c r="P905" i="34"/>
  <c r="Q905" i="34"/>
  <c r="R905" i="34"/>
  <c r="S905" i="34"/>
  <c r="T905" i="34"/>
  <c r="U905" i="34"/>
  <c r="V905" i="34"/>
  <c r="W905" i="34"/>
  <c r="X905" i="34"/>
  <c r="Y905" i="34"/>
  <c r="N906" i="34"/>
  <c r="B906" i="34"/>
  <c r="O906" i="34"/>
  <c r="P906" i="34"/>
  <c r="Q906" i="34"/>
  <c r="R906" i="34"/>
  <c r="S906" i="34"/>
  <c r="T906" i="34"/>
  <c r="U906" i="34"/>
  <c r="V906" i="34"/>
  <c r="W906" i="34"/>
  <c r="X906" i="34"/>
  <c r="Y906" i="34"/>
  <c r="N907" i="34"/>
  <c r="B907" i="34"/>
  <c r="O907" i="34"/>
  <c r="P907" i="34"/>
  <c r="Q907" i="34"/>
  <c r="R907" i="34"/>
  <c r="S907" i="34"/>
  <c r="T907" i="34"/>
  <c r="U907" i="34"/>
  <c r="V907" i="34"/>
  <c r="W907" i="34"/>
  <c r="X907" i="34"/>
  <c r="Y907" i="34"/>
  <c r="N908" i="34"/>
  <c r="B908" i="34"/>
  <c r="O908" i="34"/>
  <c r="P908" i="34"/>
  <c r="Q908" i="34"/>
  <c r="R908" i="34"/>
  <c r="S908" i="34"/>
  <c r="T908" i="34"/>
  <c r="U908" i="34"/>
  <c r="V908" i="34"/>
  <c r="W908" i="34"/>
  <c r="X908" i="34"/>
  <c r="Y908" i="34"/>
  <c r="N909" i="34"/>
  <c r="C909" i="34"/>
  <c r="B909" i="34"/>
  <c r="O909" i="34"/>
  <c r="P909" i="34"/>
  <c r="Q909" i="34"/>
  <c r="R909" i="34"/>
  <c r="S909" i="34"/>
  <c r="T909" i="34"/>
  <c r="U909" i="34"/>
  <c r="V909" i="34"/>
  <c r="W909" i="34"/>
  <c r="X909" i="34"/>
  <c r="Y909" i="34"/>
  <c r="N910" i="34"/>
  <c r="C910" i="34"/>
  <c r="B910" i="34"/>
  <c r="O910" i="34"/>
  <c r="P910" i="34"/>
  <c r="Q910" i="34"/>
  <c r="R910" i="34"/>
  <c r="S910" i="34"/>
  <c r="T910" i="34"/>
  <c r="U910" i="34"/>
  <c r="V910" i="34"/>
  <c r="W910" i="34"/>
  <c r="X910" i="34"/>
  <c r="Y910" i="34"/>
  <c r="N911" i="34"/>
  <c r="C911" i="34"/>
  <c r="B911" i="34"/>
  <c r="O911" i="34"/>
  <c r="P911" i="34"/>
  <c r="Q911" i="34"/>
  <c r="R911" i="34"/>
  <c r="S911" i="34"/>
  <c r="T911" i="34"/>
  <c r="U911" i="34"/>
  <c r="V911" i="34"/>
  <c r="W911" i="34"/>
  <c r="X911" i="34"/>
  <c r="Y911" i="34"/>
  <c r="N912" i="34"/>
  <c r="C912" i="34"/>
  <c r="B912" i="34"/>
  <c r="O912" i="34"/>
  <c r="P912" i="34"/>
  <c r="Q912" i="34"/>
  <c r="R912" i="34"/>
  <c r="S912" i="34"/>
  <c r="T912" i="34"/>
  <c r="U912" i="34"/>
  <c r="V912" i="34"/>
  <c r="W912" i="34"/>
  <c r="X912" i="34"/>
  <c r="Y912" i="34"/>
  <c r="N913" i="34"/>
  <c r="C913" i="34"/>
  <c r="B913" i="34"/>
  <c r="O913" i="34"/>
  <c r="P913" i="34"/>
  <c r="Q913" i="34"/>
  <c r="R913" i="34"/>
  <c r="S913" i="34"/>
  <c r="T913" i="34"/>
  <c r="U913" i="34"/>
  <c r="V913" i="34"/>
  <c r="W913" i="34"/>
  <c r="X913" i="34"/>
  <c r="Y913" i="34"/>
  <c r="N914" i="34"/>
  <c r="C914" i="34"/>
  <c r="B914" i="34"/>
  <c r="O914" i="34"/>
  <c r="P914" i="34"/>
  <c r="Q914" i="34"/>
  <c r="R914" i="34"/>
  <c r="S914" i="34"/>
  <c r="T914" i="34"/>
  <c r="U914" i="34"/>
  <c r="V914" i="34"/>
  <c r="W914" i="34"/>
  <c r="X914" i="34"/>
  <c r="Y914" i="34"/>
  <c r="N915" i="34"/>
  <c r="C915" i="34"/>
  <c r="B915" i="34"/>
  <c r="O915" i="34"/>
  <c r="P915" i="34"/>
  <c r="Q915" i="34"/>
  <c r="R915" i="34"/>
  <c r="S915" i="34"/>
  <c r="T915" i="34"/>
  <c r="U915" i="34"/>
  <c r="V915" i="34"/>
  <c r="W915" i="34"/>
  <c r="X915" i="34"/>
  <c r="Y915" i="34"/>
  <c r="N916" i="34"/>
  <c r="C916" i="34"/>
  <c r="B916" i="34"/>
  <c r="O916" i="34"/>
  <c r="P916" i="34"/>
  <c r="Q916" i="34"/>
  <c r="R916" i="34"/>
  <c r="S916" i="34"/>
  <c r="T916" i="34"/>
  <c r="U916" i="34"/>
  <c r="V916" i="34"/>
  <c r="W916" i="34"/>
  <c r="X916" i="34"/>
  <c r="Y916" i="34"/>
  <c r="N917" i="34"/>
  <c r="C917" i="34"/>
  <c r="B917" i="34"/>
  <c r="O917" i="34"/>
  <c r="P917" i="34"/>
  <c r="Q917" i="34"/>
  <c r="R917" i="34"/>
  <c r="S917" i="34"/>
  <c r="T917" i="34"/>
  <c r="U917" i="34"/>
  <c r="V917" i="34"/>
  <c r="W917" i="34"/>
  <c r="X917" i="34"/>
  <c r="Y917" i="34"/>
  <c r="N918" i="34"/>
  <c r="C918" i="34"/>
  <c r="B918" i="34"/>
  <c r="O918" i="34"/>
  <c r="P918" i="34"/>
  <c r="Q918" i="34"/>
  <c r="R918" i="34"/>
  <c r="S918" i="34"/>
  <c r="T918" i="34"/>
  <c r="U918" i="34"/>
  <c r="V918" i="34"/>
  <c r="W918" i="34"/>
  <c r="X918" i="34"/>
  <c r="Y918" i="34"/>
  <c r="N919" i="34"/>
  <c r="C919" i="34"/>
  <c r="B919" i="34"/>
  <c r="O919" i="34"/>
  <c r="P919" i="34"/>
  <c r="Q919" i="34"/>
  <c r="R919" i="34"/>
  <c r="S919" i="34"/>
  <c r="T919" i="34"/>
  <c r="U919" i="34"/>
  <c r="V919" i="34"/>
  <c r="W919" i="34"/>
  <c r="X919" i="34"/>
  <c r="Y919" i="34"/>
  <c r="N920" i="34"/>
  <c r="C920" i="34"/>
  <c r="B920" i="34"/>
  <c r="O920" i="34"/>
  <c r="P920" i="34"/>
  <c r="Q920" i="34"/>
  <c r="R920" i="34"/>
  <c r="S920" i="34"/>
  <c r="T920" i="34"/>
  <c r="U920" i="34"/>
  <c r="V920" i="34"/>
  <c r="W920" i="34"/>
  <c r="X920" i="34"/>
  <c r="Y920" i="34"/>
  <c r="N921" i="34"/>
  <c r="C921" i="34"/>
  <c r="B921" i="34"/>
  <c r="O921" i="34"/>
  <c r="P921" i="34"/>
  <c r="Q921" i="34"/>
  <c r="R921" i="34"/>
  <c r="S921" i="34"/>
  <c r="T921" i="34"/>
  <c r="U921" i="34"/>
  <c r="V921" i="34"/>
  <c r="W921" i="34"/>
  <c r="X921" i="34"/>
  <c r="Y921" i="34"/>
  <c r="N922" i="34"/>
  <c r="C922" i="34"/>
  <c r="B922" i="34"/>
  <c r="O922" i="34"/>
  <c r="P922" i="34"/>
  <c r="Q922" i="34"/>
  <c r="R922" i="34"/>
  <c r="S922" i="34"/>
  <c r="T922" i="34"/>
  <c r="U922" i="34"/>
  <c r="V922" i="34"/>
  <c r="W922" i="34"/>
  <c r="X922" i="34"/>
  <c r="Y922" i="34"/>
  <c r="N923" i="34"/>
  <c r="C923" i="34"/>
  <c r="B923" i="34"/>
  <c r="O923" i="34"/>
  <c r="P923" i="34"/>
  <c r="Q923" i="34"/>
  <c r="R923" i="34"/>
  <c r="S923" i="34"/>
  <c r="T923" i="34"/>
  <c r="U923" i="34"/>
  <c r="V923" i="34"/>
  <c r="W923" i="34"/>
  <c r="X923" i="34"/>
  <c r="Y923" i="34"/>
  <c r="N924" i="34"/>
  <c r="C924" i="34"/>
  <c r="B924" i="34"/>
  <c r="O924" i="34"/>
  <c r="P924" i="34"/>
  <c r="Q924" i="34"/>
  <c r="R924" i="34"/>
  <c r="S924" i="34"/>
  <c r="T924" i="34"/>
  <c r="U924" i="34"/>
  <c r="V924" i="34"/>
  <c r="W924" i="34"/>
  <c r="X924" i="34"/>
  <c r="Y924" i="34"/>
  <c r="N925" i="34"/>
  <c r="C925" i="34"/>
  <c r="B925" i="34"/>
  <c r="O925" i="34"/>
  <c r="P925" i="34"/>
  <c r="Q925" i="34"/>
  <c r="R925" i="34"/>
  <c r="S925" i="34"/>
  <c r="T925" i="34"/>
  <c r="U925" i="34"/>
  <c r="V925" i="34"/>
  <c r="W925" i="34"/>
  <c r="X925" i="34"/>
  <c r="Y925" i="34"/>
  <c r="N926" i="34"/>
  <c r="C926" i="34"/>
  <c r="B926" i="34"/>
  <c r="O926" i="34"/>
  <c r="P926" i="34"/>
  <c r="Q926" i="34"/>
  <c r="R926" i="34"/>
  <c r="S926" i="34"/>
  <c r="T926" i="34"/>
  <c r="U926" i="34"/>
  <c r="V926" i="34"/>
  <c r="W926" i="34"/>
  <c r="X926" i="34"/>
  <c r="Y926" i="34"/>
  <c r="N927" i="34"/>
  <c r="C927" i="34"/>
  <c r="B927" i="34"/>
  <c r="O927" i="34"/>
  <c r="P927" i="34"/>
  <c r="Q927" i="34"/>
  <c r="R927" i="34"/>
  <c r="S927" i="34"/>
  <c r="T927" i="34"/>
  <c r="U927" i="34"/>
  <c r="V927" i="34"/>
  <c r="W927" i="34"/>
  <c r="X927" i="34"/>
  <c r="Y927" i="34"/>
  <c r="N928" i="34"/>
  <c r="C928" i="34"/>
  <c r="B928" i="34"/>
  <c r="O928" i="34"/>
  <c r="P928" i="34"/>
  <c r="Q928" i="34"/>
  <c r="R928" i="34"/>
  <c r="S928" i="34"/>
  <c r="T928" i="34"/>
  <c r="U928" i="34"/>
  <c r="V928" i="34"/>
  <c r="W928" i="34"/>
  <c r="X928" i="34"/>
  <c r="Y928" i="34"/>
  <c r="N929" i="34"/>
  <c r="C929" i="34"/>
  <c r="B929" i="34"/>
  <c r="O929" i="34"/>
  <c r="P929" i="34"/>
  <c r="Q929" i="34"/>
  <c r="R929" i="34"/>
  <c r="S929" i="34"/>
  <c r="T929" i="34"/>
  <c r="U929" i="34"/>
  <c r="V929" i="34"/>
  <c r="W929" i="34"/>
  <c r="X929" i="34"/>
  <c r="Y929" i="34"/>
  <c r="N930" i="34"/>
  <c r="C930" i="34"/>
  <c r="B930" i="34"/>
  <c r="O930" i="34"/>
  <c r="P930" i="34"/>
  <c r="Q930" i="34"/>
  <c r="R930" i="34"/>
  <c r="S930" i="34"/>
  <c r="T930" i="34"/>
  <c r="U930" i="34"/>
  <c r="V930" i="34"/>
  <c r="W930" i="34"/>
  <c r="X930" i="34"/>
  <c r="Y930" i="34"/>
  <c r="N931" i="34"/>
  <c r="C931" i="34"/>
  <c r="B931" i="34"/>
  <c r="O931" i="34"/>
  <c r="P931" i="34"/>
  <c r="Q931" i="34"/>
  <c r="R931" i="34"/>
  <c r="S931" i="34"/>
  <c r="T931" i="34"/>
  <c r="U931" i="34"/>
  <c r="V931" i="34"/>
  <c r="W931" i="34"/>
  <c r="X931" i="34"/>
  <c r="Y931" i="34"/>
  <c r="N932" i="34"/>
  <c r="C932" i="34"/>
  <c r="B932" i="34"/>
  <c r="O932" i="34"/>
  <c r="P932" i="34"/>
  <c r="Q932" i="34"/>
  <c r="R932" i="34"/>
  <c r="S932" i="34"/>
  <c r="T932" i="34"/>
  <c r="U932" i="34"/>
  <c r="V932" i="34"/>
  <c r="W932" i="34"/>
  <c r="X932" i="34"/>
  <c r="Y932" i="34"/>
  <c r="N933" i="34"/>
  <c r="C933" i="34"/>
  <c r="B933" i="34"/>
  <c r="O933" i="34"/>
  <c r="P933" i="34"/>
  <c r="Q933" i="34"/>
  <c r="R933" i="34"/>
  <c r="S933" i="34"/>
  <c r="T933" i="34"/>
  <c r="U933" i="34"/>
  <c r="V933" i="34"/>
  <c r="W933" i="34"/>
  <c r="X933" i="34"/>
  <c r="Y933" i="34"/>
  <c r="N934" i="34"/>
  <c r="C934" i="34"/>
  <c r="B934" i="34"/>
  <c r="O934" i="34"/>
  <c r="P934" i="34"/>
  <c r="Q934" i="34"/>
  <c r="R934" i="34"/>
  <c r="S934" i="34"/>
  <c r="T934" i="34"/>
  <c r="U934" i="34"/>
  <c r="V934" i="34"/>
  <c r="W934" i="34"/>
  <c r="X934" i="34"/>
  <c r="Y934" i="34"/>
  <c r="N935" i="34"/>
  <c r="C935" i="34"/>
  <c r="B935" i="34"/>
  <c r="O935" i="34"/>
  <c r="P935" i="34"/>
  <c r="Q935" i="34"/>
  <c r="R935" i="34"/>
  <c r="S935" i="34"/>
  <c r="T935" i="34"/>
  <c r="U935" i="34"/>
  <c r="V935" i="34"/>
  <c r="W935" i="34"/>
  <c r="X935" i="34"/>
  <c r="Y935" i="34"/>
  <c r="N936" i="34"/>
  <c r="C936" i="34"/>
  <c r="B936" i="34"/>
  <c r="O936" i="34"/>
  <c r="P936" i="34"/>
  <c r="Q936" i="34"/>
  <c r="R936" i="34"/>
  <c r="S936" i="34"/>
  <c r="T936" i="34"/>
  <c r="U936" i="34"/>
  <c r="V936" i="34"/>
  <c r="W936" i="34"/>
  <c r="X936" i="34"/>
  <c r="Y936" i="34"/>
  <c r="N937" i="34"/>
  <c r="C937" i="34"/>
  <c r="B937" i="34"/>
  <c r="O937" i="34"/>
  <c r="P937" i="34"/>
  <c r="Q937" i="34"/>
  <c r="R937" i="34"/>
  <c r="S937" i="34"/>
  <c r="T937" i="34"/>
  <c r="U937" i="34"/>
  <c r="V937" i="34"/>
  <c r="W937" i="34"/>
  <c r="X937" i="34"/>
  <c r="Y937" i="34"/>
  <c r="N938" i="34"/>
  <c r="C938" i="34"/>
  <c r="B938" i="34"/>
  <c r="O938" i="34"/>
  <c r="P938" i="34"/>
  <c r="Q938" i="34"/>
  <c r="R938" i="34"/>
  <c r="S938" i="34"/>
  <c r="T938" i="34"/>
  <c r="U938" i="34"/>
  <c r="V938" i="34"/>
  <c r="W938" i="34"/>
  <c r="X938" i="34"/>
  <c r="Y938" i="34"/>
  <c r="N939" i="34"/>
  <c r="C939" i="34"/>
  <c r="B939" i="34"/>
  <c r="O939" i="34"/>
  <c r="P939" i="34"/>
  <c r="Q939" i="34"/>
  <c r="R939" i="34"/>
  <c r="S939" i="34"/>
  <c r="T939" i="34"/>
  <c r="U939" i="34"/>
  <c r="V939" i="34"/>
  <c r="W939" i="34"/>
  <c r="X939" i="34"/>
  <c r="Y939" i="34"/>
  <c r="N940" i="34"/>
  <c r="C940" i="34"/>
  <c r="B940" i="34"/>
  <c r="O940" i="34"/>
  <c r="P940" i="34"/>
  <c r="Q940" i="34"/>
  <c r="R940" i="34"/>
  <c r="S940" i="34"/>
  <c r="T940" i="34"/>
  <c r="U940" i="34"/>
  <c r="V940" i="34"/>
  <c r="W940" i="34"/>
  <c r="X940" i="34"/>
  <c r="Y940" i="34"/>
  <c r="N941" i="34"/>
  <c r="C941" i="34"/>
  <c r="B941" i="34"/>
  <c r="O941" i="34"/>
  <c r="P941" i="34"/>
  <c r="Q941" i="34"/>
  <c r="R941" i="34"/>
  <c r="S941" i="34"/>
  <c r="T941" i="34"/>
  <c r="U941" i="34"/>
  <c r="V941" i="34"/>
  <c r="W941" i="34"/>
  <c r="X941" i="34"/>
  <c r="Y941" i="34"/>
  <c r="N942" i="34"/>
  <c r="C942" i="34"/>
  <c r="B942" i="34"/>
  <c r="O942" i="34"/>
  <c r="P942" i="34"/>
  <c r="Q942" i="34"/>
  <c r="R942" i="34"/>
  <c r="S942" i="34"/>
  <c r="T942" i="34"/>
  <c r="U942" i="34"/>
  <c r="V942" i="34"/>
  <c r="W942" i="34"/>
  <c r="X942" i="34"/>
  <c r="Y942" i="34"/>
  <c r="N943" i="34"/>
  <c r="C943" i="34"/>
  <c r="B943" i="34"/>
  <c r="O943" i="34"/>
  <c r="P943" i="34"/>
  <c r="Q943" i="34"/>
  <c r="R943" i="34"/>
  <c r="S943" i="34"/>
  <c r="T943" i="34"/>
  <c r="U943" i="34"/>
  <c r="V943" i="34"/>
  <c r="W943" i="34"/>
  <c r="X943" i="34"/>
  <c r="Y943" i="34"/>
  <c r="N944" i="34"/>
  <c r="C944" i="34"/>
  <c r="B944" i="34"/>
  <c r="O944" i="34"/>
  <c r="P944" i="34"/>
  <c r="Q944" i="34"/>
  <c r="R944" i="34"/>
  <c r="S944" i="34"/>
  <c r="T944" i="34"/>
  <c r="U944" i="34"/>
  <c r="V944" i="34"/>
  <c r="W944" i="34"/>
  <c r="X944" i="34"/>
  <c r="Y944" i="34"/>
  <c r="N945" i="34"/>
  <c r="C945" i="34"/>
  <c r="B945" i="34"/>
  <c r="O945" i="34"/>
  <c r="P945" i="34"/>
  <c r="Q945" i="34"/>
  <c r="R945" i="34"/>
  <c r="S945" i="34"/>
  <c r="T945" i="34"/>
  <c r="U945" i="34"/>
  <c r="V945" i="34"/>
  <c r="W945" i="34"/>
  <c r="X945" i="34"/>
  <c r="Y945" i="34"/>
  <c r="N946" i="34"/>
  <c r="C946" i="34"/>
  <c r="B946" i="34"/>
  <c r="O946" i="34"/>
  <c r="P946" i="34"/>
  <c r="Q946" i="34"/>
  <c r="R946" i="34"/>
  <c r="S946" i="34"/>
  <c r="T946" i="34"/>
  <c r="U946" i="34"/>
  <c r="V946" i="34"/>
  <c r="W946" i="34"/>
  <c r="X946" i="34"/>
  <c r="Y946" i="34"/>
  <c r="N947" i="34"/>
  <c r="C947" i="34"/>
  <c r="B947" i="34"/>
  <c r="O947" i="34"/>
  <c r="P947" i="34"/>
  <c r="Q947" i="34"/>
  <c r="R947" i="34"/>
  <c r="S947" i="34"/>
  <c r="T947" i="34"/>
  <c r="U947" i="34"/>
  <c r="V947" i="34"/>
  <c r="W947" i="34"/>
  <c r="X947" i="34"/>
  <c r="Y947" i="34"/>
  <c r="N948" i="34"/>
  <c r="C948" i="34"/>
  <c r="B948" i="34"/>
  <c r="O948" i="34"/>
  <c r="P948" i="34"/>
  <c r="Q948" i="34"/>
  <c r="R948" i="34"/>
  <c r="S948" i="34"/>
  <c r="T948" i="34"/>
  <c r="U948" i="34"/>
  <c r="V948" i="34"/>
  <c r="W948" i="34"/>
  <c r="X948" i="34"/>
  <c r="Y948" i="34"/>
  <c r="N949" i="34"/>
  <c r="C949" i="34"/>
  <c r="B949" i="34"/>
  <c r="O949" i="34"/>
  <c r="P949" i="34"/>
  <c r="Q949" i="34"/>
  <c r="R949" i="34"/>
  <c r="S949" i="34"/>
  <c r="T949" i="34"/>
  <c r="U949" i="34"/>
  <c r="V949" i="34"/>
  <c r="W949" i="34"/>
  <c r="X949" i="34"/>
  <c r="Y949" i="34"/>
  <c r="N950" i="34"/>
  <c r="C950" i="34"/>
  <c r="B950" i="34"/>
  <c r="O950" i="34"/>
  <c r="P950" i="34"/>
  <c r="Q950" i="34"/>
  <c r="R950" i="34"/>
  <c r="S950" i="34"/>
  <c r="T950" i="34"/>
  <c r="U950" i="34"/>
  <c r="V950" i="34"/>
  <c r="W950" i="34"/>
  <c r="X950" i="34"/>
  <c r="Y950" i="34"/>
  <c r="N951" i="34"/>
  <c r="C951" i="34"/>
  <c r="B951" i="34"/>
  <c r="O951" i="34"/>
  <c r="P951" i="34"/>
  <c r="Q951" i="34"/>
  <c r="R951" i="34"/>
  <c r="S951" i="34"/>
  <c r="T951" i="34"/>
  <c r="U951" i="34"/>
  <c r="V951" i="34"/>
  <c r="W951" i="34"/>
  <c r="X951" i="34"/>
  <c r="Y951" i="34"/>
  <c r="N952" i="34"/>
  <c r="C952" i="34"/>
  <c r="B952" i="34"/>
  <c r="O952" i="34"/>
  <c r="P952" i="34"/>
  <c r="Q952" i="34"/>
  <c r="R952" i="34"/>
  <c r="S952" i="34"/>
  <c r="T952" i="34"/>
  <c r="U952" i="34"/>
  <c r="V952" i="34"/>
  <c r="W952" i="34"/>
  <c r="X952" i="34"/>
  <c r="Y952" i="34"/>
  <c r="N953" i="34"/>
  <c r="C953" i="34"/>
  <c r="B953" i="34"/>
  <c r="O953" i="34"/>
  <c r="P953" i="34"/>
  <c r="Q953" i="34"/>
  <c r="R953" i="34"/>
  <c r="S953" i="34"/>
  <c r="T953" i="34"/>
  <c r="U953" i="34"/>
  <c r="V953" i="34"/>
  <c r="W953" i="34"/>
  <c r="X953" i="34"/>
  <c r="Y953" i="34"/>
  <c r="N954" i="34"/>
  <c r="C954" i="34"/>
  <c r="B954" i="34"/>
  <c r="O954" i="34"/>
  <c r="P954" i="34"/>
  <c r="Q954" i="34"/>
  <c r="R954" i="34"/>
  <c r="S954" i="34"/>
  <c r="T954" i="34"/>
  <c r="U954" i="34"/>
  <c r="V954" i="34"/>
  <c r="W954" i="34"/>
  <c r="X954" i="34"/>
  <c r="Y954" i="34"/>
  <c r="N955" i="34"/>
  <c r="C955" i="34"/>
  <c r="B955" i="34"/>
  <c r="O955" i="34"/>
  <c r="P955" i="34"/>
  <c r="Q955" i="34"/>
  <c r="R955" i="34"/>
  <c r="S955" i="34"/>
  <c r="T955" i="34"/>
  <c r="U955" i="34"/>
  <c r="V955" i="34"/>
  <c r="W955" i="34"/>
  <c r="X955" i="34"/>
  <c r="Y955" i="34"/>
  <c r="N956" i="34"/>
  <c r="C956" i="34"/>
  <c r="B956" i="34"/>
  <c r="O956" i="34"/>
  <c r="P956" i="34"/>
  <c r="Q956" i="34"/>
  <c r="R956" i="34"/>
  <c r="S956" i="34"/>
  <c r="T956" i="34"/>
  <c r="U956" i="34"/>
  <c r="V956" i="34"/>
  <c r="W956" i="34"/>
  <c r="X956" i="34"/>
  <c r="Y956" i="34"/>
  <c r="N957" i="34"/>
  <c r="C957" i="34"/>
  <c r="B957" i="34"/>
  <c r="O957" i="34"/>
  <c r="P957" i="34"/>
  <c r="Q957" i="34"/>
  <c r="R957" i="34"/>
  <c r="S957" i="34"/>
  <c r="T957" i="34"/>
  <c r="U957" i="34"/>
  <c r="V957" i="34"/>
  <c r="W957" i="34"/>
  <c r="X957" i="34"/>
  <c r="Y957" i="34"/>
  <c r="N958" i="34"/>
  <c r="C958" i="34"/>
  <c r="B958" i="34"/>
  <c r="O958" i="34"/>
  <c r="P958" i="34"/>
  <c r="Q958" i="34"/>
  <c r="R958" i="34"/>
  <c r="S958" i="34"/>
  <c r="T958" i="34"/>
  <c r="U958" i="34"/>
  <c r="V958" i="34"/>
  <c r="W958" i="34"/>
  <c r="X958" i="34"/>
  <c r="Y958" i="34"/>
  <c r="N959" i="34"/>
  <c r="C959" i="34"/>
  <c r="B959" i="34"/>
  <c r="O959" i="34"/>
  <c r="P959" i="34"/>
  <c r="Q959" i="34"/>
  <c r="R959" i="34"/>
  <c r="S959" i="34"/>
  <c r="T959" i="34"/>
  <c r="U959" i="34"/>
  <c r="V959" i="34"/>
  <c r="W959" i="34"/>
  <c r="X959" i="34"/>
  <c r="Y959" i="34"/>
  <c r="N960" i="34"/>
  <c r="C960" i="34"/>
  <c r="B960" i="34"/>
  <c r="O960" i="34"/>
  <c r="P960" i="34"/>
  <c r="Q960" i="34"/>
  <c r="R960" i="34"/>
  <c r="S960" i="34"/>
  <c r="T960" i="34"/>
  <c r="U960" i="34"/>
  <c r="V960" i="34"/>
  <c r="W960" i="34"/>
  <c r="X960" i="34"/>
  <c r="Y960" i="34"/>
  <c r="N961" i="34"/>
  <c r="C961" i="34"/>
  <c r="B961" i="34"/>
  <c r="O961" i="34"/>
  <c r="P961" i="34"/>
  <c r="Q961" i="34"/>
  <c r="R961" i="34"/>
  <c r="S961" i="34"/>
  <c r="T961" i="34"/>
  <c r="U961" i="34"/>
  <c r="V961" i="34"/>
  <c r="W961" i="34"/>
  <c r="X961" i="34"/>
  <c r="Y961" i="34"/>
  <c r="N962" i="34"/>
  <c r="C962" i="34"/>
  <c r="B962" i="34"/>
  <c r="O962" i="34"/>
  <c r="P962" i="34"/>
  <c r="Q962" i="34"/>
  <c r="R962" i="34"/>
  <c r="S962" i="34"/>
  <c r="T962" i="34"/>
  <c r="U962" i="34"/>
  <c r="V962" i="34"/>
  <c r="W962" i="34"/>
  <c r="X962" i="34"/>
  <c r="Y962" i="34"/>
  <c r="N963" i="34"/>
  <c r="C963" i="34"/>
  <c r="B963" i="34"/>
  <c r="O963" i="34"/>
  <c r="P963" i="34"/>
  <c r="Q963" i="34"/>
  <c r="R963" i="34"/>
  <c r="S963" i="34"/>
  <c r="T963" i="34"/>
  <c r="U963" i="34"/>
  <c r="V963" i="34"/>
  <c r="W963" i="34"/>
  <c r="X963" i="34"/>
  <c r="Y963" i="34"/>
  <c r="N964" i="34"/>
  <c r="C964" i="34"/>
  <c r="B964" i="34"/>
  <c r="O964" i="34"/>
  <c r="P964" i="34"/>
  <c r="Q964" i="34"/>
  <c r="R964" i="34"/>
  <c r="S964" i="34"/>
  <c r="T964" i="34"/>
  <c r="U964" i="34"/>
  <c r="V964" i="34"/>
  <c r="W964" i="34"/>
  <c r="X964" i="34"/>
  <c r="Y964" i="34"/>
  <c r="N965" i="34"/>
  <c r="C965" i="34"/>
  <c r="B965" i="34"/>
  <c r="O965" i="34"/>
  <c r="P965" i="34"/>
  <c r="Q965" i="34"/>
  <c r="R965" i="34"/>
  <c r="S965" i="34"/>
  <c r="T965" i="34"/>
  <c r="U965" i="34"/>
  <c r="V965" i="34"/>
  <c r="W965" i="34"/>
  <c r="X965" i="34"/>
  <c r="Y965" i="34"/>
  <c r="N966" i="34"/>
  <c r="C966" i="34"/>
  <c r="B966" i="34"/>
  <c r="O966" i="34"/>
  <c r="P966" i="34"/>
  <c r="Q966" i="34"/>
  <c r="R966" i="34"/>
  <c r="S966" i="34"/>
  <c r="T966" i="34"/>
  <c r="U966" i="34"/>
  <c r="V966" i="34"/>
  <c r="W966" i="34"/>
  <c r="X966" i="34"/>
  <c r="Y966" i="34"/>
  <c r="N967" i="34"/>
  <c r="C967" i="34"/>
  <c r="B967" i="34"/>
  <c r="O967" i="34"/>
  <c r="P967" i="34"/>
  <c r="Q967" i="34"/>
  <c r="R967" i="34"/>
  <c r="S967" i="34"/>
  <c r="T967" i="34"/>
  <c r="U967" i="34"/>
  <c r="V967" i="34"/>
  <c r="W967" i="34"/>
  <c r="X967" i="34"/>
  <c r="Y967" i="34"/>
  <c r="N968" i="34"/>
  <c r="C968" i="34"/>
  <c r="B968" i="34"/>
  <c r="O968" i="34"/>
  <c r="P968" i="34"/>
  <c r="Q968" i="34"/>
  <c r="R968" i="34"/>
  <c r="S968" i="34"/>
  <c r="T968" i="34"/>
  <c r="U968" i="34"/>
  <c r="V968" i="34"/>
  <c r="W968" i="34"/>
  <c r="X968" i="34"/>
  <c r="Y968" i="34"/>
  <c r="N969" i="34"/>
  <c r="C969" i="34"/>
  <c r="B969" i="34"/>
  <c r="O969" i="34"/>
  <c r="P969" i="34"/>
  <c r="Q969" i="34"/>
  <c r="R969" i="34"/>
  <c r="S969" i="34"/>
  <c r="T969" i="34"/>
  <c r="U969" i="34"/>
  <c r="V969" i="34"/>
  <c r="W969" i="34"/>
  <c r="X969" i="34"/>
  <c r="Y969" i="34"/>
  <c r="N970" i="34"/>
  <c r="C970" i="34"/>
  <c r="B970" i="34"/>
  <c r="O970" i="34"/>
  <c r="P970" i="34"/>
  <c r="Q970" i="34"/>
  <c r="R970" i="34"/>
  <c r="S970" i="34"/>
  <c r="T970" i="34"/>
  <c r="U970" i="34"/>
  <c r="V970" i="34"/>
  <c r="W970" i="34"/>
  <c r="X970" i="34"/>
  <c r="Y970" i="34"/>
  <c r="N971" i="34"/>
  <c r="C971" i="34"/>
  <c r="B971" i="34"/>
  <c r="O971" i="34"/>
  <c r="P971" i="34"/>
  <c r="Q971" i="34"/>
  <c r="R971" i="34"/>
  <c r="S971" i="34"/>
  <c r="T971" i="34"/>
  <c r="U971" i="34"/>
  <c r="V971" i="34"/>
  <c r="W971" i="34"/>
  <c r="X971" i="34"/>
  <c r="Y971" i="34"/>
  <c r="N972" i="34"/>
  <c r="C972" i="34"/>
  <c r="B972" i="34"/>
  <c r="O972" i="34"/>
  <c r="P972" i="34"/>
  <c r="Q972" i="34"/>
  <c r="R972" i="34"/>
  <c r="S972" i="34"/>
  <c r="T972" i="34"/>
  <c r="U972" i="34"/>
  <c r="V972" i="34"/>
  <c r="W972" i="34"/>
  <c r="X972" i="34"/>
  <c r="Y972" i="34"/>
  <c r="N973" i="34"/>
  <c r="C973" i="34"/>
  <c r="B973" i="34"/>
  <c r="O973" i="34"/>
  <c r="P973" i="34"/>
  <c r="Q973" i="34"/>
  <c r="R973" i="34"/>
  <c r="S973" i="34"/>
  <c r="T973" i="34"/>
  <c r="U973" i="34"/>
  <c r="V973" i="34"/>
  <c r="W973" i="34"/>
  <c r="X973" i="34"/>
  <c r="Y973" i="34"/>
  <c r="N974" i="34"/>
  <c r="C974" i="34"/>
  <c r="B974" i="34"/>
  <c r="O974" i="34"/>
  <c r="P974" i="34"/>
  <c r="Q974" i="34"/>
  <c r="R974" i="34"/>
  <c r="S974" i="34"/>
  <c r="T974" i="34"/>
  <c r="U974" i="34"/>
  <c r="V974" i="34"/>
  <c r="W974" i="34"/>
  <c r="X974" i="34"/>
  <c r="Y974" i="34"/>
  <c r="N975" i="34"/>
  <c r="C975" i="34"/>
  <c r="B975" i="34"/>
  <c r="O975" i="34"/>
  <c r="P975" i="34"/>
  <c r="Q975" i="34"/>
  <c r="R975" i="34"/>
  <c r="S975" i="34"/>
  <c r="T975" i="34"/>
  <c r="U975" i="34"/>
  <c r="V975" i="34"/>
  <c r="W975" i="34"/>
  <c r="X975" i="34"/>
  <c r="Y975" i="34"/>
  <c r="N976" i="34"/>
  <c r="C976" i="34"/>
  <c r="B976" i="34"/>
  <c r="O976" i="34"/>
  <c r="P976" i="34"/>
  <c r="Q976" i="34"/>
  <c r="R976" i="34"/>
  <c r="S976" i="34"/>
  <c r="T976" i="34"/>
  <c r="U976" i="34"/>
  <c r="V976" i="34"/>
  <c r="W976" i="34"/>
  <c r="X976" i="34"/>
  <c r="Y976" i="34"/>
  <c r="N977" i="34"/>
  <c r="C977" i="34"/>
  <c r="B977" i="34"/>
  <c r="O977" i="34"/>
  <c r="P977" i="34"/>
  <c r="Q977" i="34"/>
  <c r="R977" i="34"/>
  <c r="S977" i="34"/>
  <c r="T977" i="34"/>
  <c r="U977" i="34"/>
  <c r="V977" i="34"/>
  <c r="W977" i="34"/>
  <c r="X977" i="34"/>
  <c r="Y977" i="34"/>
  <c r="N978" i="34"/>
  <c r="C978" i="34"/>
  <c r="B978" i="34"/>
  <c r="O978" i="34"/>
  <c r="P978" i="34"/>
  <c r="Q978" i="34"/>
  <c r="R978" i="34"/>
  <c r="S978" i="34"/>
  <c r="T978" i="34"/>
  <c r="U978" i="34"/>
  <c r="V978" i="34"/>
  <c r="W978" i="34"/>
  <c r="X978" i="34"/>
  <c r="Y978" i="34"/>
  <c r="N979" i="34"/>
  <c r="C979" i="34"/>
  <c r="B979" i="34"/>
  <c r="O979" i="34"/>
  <c r="P979" i="34"/>
  <c r="Q979" i="34"/>
  <c r="R979" i="34"/>
  <c r="S979" i="34"/>
  <c r="T979" i="34"/>
  <c r="U979" i="34"/>
  <c r="V979" i="34"/>
  <c r="W979" i="34"/>
  <c r="X979" i="34"/>
  <c r="Y979" i="34"/>
  <c r="N980" i="34"/>
  <c r="C980" i="34"/>
  <c r="B980" i="34"/>
  <c r="O980" i="34"/>
  <c r="P980" i="34"/>
  <c r="Q980" i="34"/>
  <c r="R980" i="34"/>
  <c r="S980" i="34"/>
  <c r="T980" i="34"/>
  <c r="U980" i="34"/>
  <c r="V980" i="34"/>
  <c r="W980" i="34"/>
  <c r="X980" i="34"/>
  <c r="Y980" i="34"/>
  <c r="N981" i="34"/>
  <c r="C981" i="34"/>
  <c r="B981" i="34"/>
  <c r="O981" i="34"/>
  <c r="P981" i="34"/>
  <c r="Q981" i="34"/>
  <c r="R981" i="34"/>
  <c r="S981" i="34"/>
  <c r="T981" i="34"/>
  <c r="U981" i="34"/>
  <c r="V981" i="34"/>
  <c r="W981" i="34"/>
  <c r="X981" i="34"/>
  <c r="Y981" i="34"/>
  <c r="N982" i="34"/>
  <c r="C982" i="34"/>
  <c r="B982" i="34"/>
  <c r="O982" i="34"/>
  <c r="P982" i="34"/>
  <c r="Q982" i="34"/>
  <c r="R982" i="34"/>
  <c r="S982" i="34"/>
  <c r="T982" i="34"/>
  <c r="U982" i="34"/>
  <c r="V982" i="34"/>
  <c r="W982" i="34"/>
  <c r="X982" i="34"/>
  <c r="Y982" i="34"/>
  <c r="N983" i="34"/>
  <c r="C983" i="34"/>
  <c r="B983" i="34"/>
  <c r="O983" i="34"/>
  <c r="P983" i="34"/>
  <c r="Q983" i="34"/>
  <c r="R983" i="34"/>
  <c r="S983" i="34"/>
  <c r="T983" i="34"/>
  <c r="U983" i="34"/>
  <c r="V983" i="34"/>
  <c r="W983" i="34"/>
  <c r="X983" i="34"/>
  <c r="Y983" i="34"/>
  <c r="N984" i="34"/>
  <c r="C984" i="34"/>
  <c r="B984" i="34"/>
  <c r="O984" i="34"/>
  <c r="P984" i="34"/>
  <c r="Q984" i="34"/>
  <c r="R984" i="34"/>
  <c r="S984" i="34"/>
  <c r="T984" i="34"/>
  <c r="U984" i="34"/>
  <c r="V984" i="34"/>
  <c r="W984" i="34"/>
  <c r="X984" i="34"/>
  <c r="Y984" i="34"/>
  <c r="N985" i="34"/>
  <c r="C985" i="34"/>
  <c r="B985" i="34"/>
  <c r="O985" i="34"/>
  <c r="P985" i="34"/>
  <c r="Q985" i="34"/>
  <c r="R985" i="34"/>
  <c r="S985" i="34"/>
  <c r="T985" i="34"/>
  <c r="U985" i="34"/>
  <c r="V985" i="34"/>
  <c r="W985" i="34"/>
  <c r="X985" i="34"/>
  <c r="Y985" i="34"/>
  <c r="N986" i="34"/>
  <c r="C986" i="34"/>
  <c r="B986" i="34"/>
  <c r="O986" i="34"/>
  <c r="P986" i="34"/>
  <c r="Q986" i="34"/>
  <c r="R986" i="34"/>
  <c r="S986" i="34"/>
  <c r="T986" i="34"/>
  <c r="U986" i="34"/>
  <c r="V986" i="34"/>
  <c r="W986" i="34"/>
  <c r="X986" i="34"/>
  <c r="Y986" i="34"/>
  <c r="N987" i="34"/>
  <c r="C987" i="34"/>
  <c r="B987" i="34"/>
  <c r="O987" i="34"/>
  <c r="P987" i="34"/>
  <c r="Q987" i="34"/>
  <c r="R987" i="34"/>
  <c r="S987" i="34"/>
  <c r="T987" i="34"/>
  <c r="U987" i="34"/>
  <c r="V987" i="34"/>
  <c r="F987" i="34"/>
  <c r="W987" i="34"/>
  <c r="X987" i="34"/>
  <c r="Y987" i="34"/>
  <c r="N988" i="34"/>
  <c r="C988" i="34"/>
  <c r="B988" i="34"/>
  <c r="O988" i="34"/>
  <c r="P988" i="34"/>
  <c r="Q988" i="34"/>
  <c r="R988" i="34"/>
  <c r="S988" i="34"/>
  <c r="T988" i="34"/>
  <c r="U988" i="34"/>
  <c r="V988" i="34"/>
  <c r="W988" i="34"/>
  <c r="X988" i="34"/>
  <c r="Y988" i="34"/>
  <c r="N989" i="34"/>
  <c r="C989" i="34"/>
  <c r="B989" i="34"/>
  <c r="O989" i="34"/>
  <c r="P989" i="34"/>
  <c r="Q989" i="34"/>
  <c r="R989" i="34"/>
  <c r="S989" i="34"/>
  <c r="T989" i="34"/>
  <c r="U989" i="34"/>
  <c r="V989" i="34"/>
  <c r="W989" i="34"/>
  <c r="X989" i="34"/>
  <c r="Y989" i="34"/>
  <c r="N990" i="34"/>
  <c r="C990" i="34"/>
  <c r="B990" i="34"/>
  <c r="O990" i="34"/>
  <c r="P990" i="34"/>
  <c r="Q990" i="34"/>
  <c r="R990" i="34"/>
  <c r="S990" i="34"/>
  <c r="T990" i="34"/>
  <c r="U990" i="34"/>
  <c r="V990" i="34"/>
  <c r="W990" i="34"/>
  <c r="X990" i="34"/>
  <c r="Y990" i="34"/>
  <c r="N991" i="34"/>
  <c r="C991" i="34"/>
  <c r="B991" i="34"/>
  <c r="O991" i="34"/>
  <c r="P991" i="34"/>
  <c r="Q991" i="34"/>
  <c r="R991" i="34"/>
  <c r="S991" i="34"/>
  <c r="T991" i="34"/>
  <c r="U991" i="34"/>
  <c r="V991" i="34"/>
  <c r="W991" i="34"/>
  <c r="X991" i="34"/>
  <c r="Y991" i="34"/>
  <c r="N992" i="34"/>
  <c r="C992" i="34"/>
  <c r="B992" i="34"/>
  <c r="O992" i="34"/>
  <c r="P992" i="34"/>
  <c r="Q992" i="34"/>
  <c r="R992" i="34"/>
  <c r="S992" i="34"/>
  <c r="T992" i="34"/>
  <c r="U992" i="34"/>
  <c r="V992" i="34"/>
  <c r="W992" i="34"/>
  <c r="X992" i="34"/>
  <c r="Y992" i="34"/>
  <c r="N993" i="34"/>
  <c r="C993" i="34"/>
  <c r="B993" i="34"/>
  <c r="O993" i="34"/>
  <c r="P993" i="34"/>
  <c r="Q993" i="34"/>
  <c r="R993" i="34"/>
  <c r="S993" i="34"/>
  <c r="T993" i="34"/>
  <c r="U993" i="34"/>
  <c r="V993" i="34"/>
  <c r="W993" i="34"/>
  <c r="X993" i="34"/>
  <c r="Y993" i="34"/>
  <c r="N994" i="34"/>
  <c r="B994" i="34"/>
  <c r="O994" i="34"/>
  <c r="P994" i="34"/>
  <c r="Q994" i="34"/>
  <c r="R994" i="34"/>
  <c r="S994" i="34"/>
  <c r="T994" i="34"/>
  <c r="U994" i="34"/>
  <c r="V994" i="34"/>
  <c r="W994" i="34"/>
  <c r="X994" i="34"/>
  <c r="Y994" i="34"/>
  <c r="N995" i="34"/>
  <c r="B995" i="34"/>
  <c r="O995" i="34"/>
  <c r="P995" i="34"/>
  <c r="Q995" i="34"/>
  <c r="R995" i="34"/>
  <c r="S995" i="34"/>
  <c r="T995" i="34"/>
  <c r="U995" i="34"/>
  <c r="V995" i="34"/>
  <c r="W995" i="34"/>
  <c r="X995" i="34"/>
  <c r="Y995" i="34"/>
  <c r="N996" i="34"/>
  <c r="B996" i="34"/>
  <c r="O996" i="34"/>
  <c r="P996" i="34"/>
  <c r="Q996" i="34"/>
  <c r="R996" i="34"/>
  <c r="S996" i="34"/>
  <c r="T996" i="34"/>
  <c r="U996" i="34"/>
  <c r="V996" i="34"/>
  <c r="W996" i="34"/>
  <c r="X996" i="34"/>
  <c r="Y996" i="34"/>
  <c r="N997" i="34"/>
  <c r="B997" i="34"/>
  <c r="O997" i="34"/>
  <c r="P997" i="34"/>
  <c r="Q997" i="34"/>
  <c r="R997" i="34"/>
  <c r="S997" i="34"/>
  <c r="T997" i="34"/>
  <c r="U997" i="34"/>
  <c r="V997" i="34"/>
  <c r="W997" i="34"/>
  <c r="X997" i="34"/>
  <c r="Y997" i="34"/>
  <c r="N998" i="34"/>
  <c r="C998" i="34"/>
  <c r="B998" i="34"/>
  <c r="O998" i="34"/>
  <c r="P998" i="34"/>
  <c r="Q998" i="34"/>
  <c r="R998" i="34"/>
  <c r="S998" i="34"/>
  <c r="T998" i="34"/>
  <c r="U998" i="34"/>
  <c r="V998" i="34"/>
  <c r="W998" i="34"/>
  <c r="X998" i="34"/>
  <c r="Y998" i="34"/>
  <c r="N999" i="34"/>
  <c r="C999" i="34"/>
  <c r="B999" i="34"/>
  <c r="O999" i="34"/>
  <c r="P999" i="34"/>
  <c r="Q999" i="34"/>
  <c r="R999" i="34"/>
  <c r="S999" i="34"/>
  <c r="T999" i="34"/>
  <c r="U999" i="34"/>
  <c r="V999" i="34"/>
  <c r="W999" i="34"/>
  <c r="X999" i="34"/>
  <c r="Y999" i="34"/>
  <c r="N1000" i="34"/>
  <c r="C1000" i="34"/>
  <c r="B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N1001" i="34"/>
  <c r="C1001" i="34"/>
  <c r="B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N1002" i="34"/>
  <c r="C1002" i="34"/>
  <c r="B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N1003" i="34"/>
  <c r="C1003" i="34"/>
  <c r="B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N1004" i="34"/>
  <c r="B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N1005" i="34"/>
  <c r="B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N1006" i="34"/>
  <c r="C1006" i="34"/>
  <c r="B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N1007" i="34"/>
  <c r="C1007" i="34"/>
  <c r="B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N1008" i="34"/>
  <c r="C1008" i="34"/>
  <c r="B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N1009" i="34"/>
  <c r="C1009" i="34"/>
  <c r="B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N1010" i="34"/>
  <c r="C1010" i="34"/>
  <c r="B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N1011" i="34"/>
  <c r="C1011" i="34"/>
  <c r="B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N1012" i="34"/>
  <c r="C1012" i="34"/>
  <c r="B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N1013" i="34"/>
  <c r="C1013" i="34"/>
  <c r="B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N1014" i="34"/>
  <c r="C1014" i="34"/>
  <c r="B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N1015" i="34"/>
  <c r="C1015" i="34"/>
  <c r="B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N1016" i="34"/>
  <c r="C1016" i="34"/>
  <c r="B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N1017" i="34"/>
  <c r="C1017" i="34"/>
  <c r="B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N1018" i="34"/>
  <c r="C1018" i="34"/>
  <c r="B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N1019" i="34"/>
  <c r="C1019" i="34"/>
  <c r="B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N1020" i="34"/>
  <c r="C1020" i="34"/>
  <c r="B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N1021" i="34"/>
  <c r="C1021" i="34"/>
  <c r="B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N1022" i="34"/>
  <c r="B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N1023" i="34"/>
  <c r="B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N1024" i="34"/>
  <c r="B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N1025" i="34"/>
  <c r="B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N1026" i="34"/>
  <c r="B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N1027" i="34"/>
  <c r="B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N1028" i="34"/>
  <c r="B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N1029" i="34"/>
  <c r="C1029" i="34"/>
  <c r="B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N1030" i="34"/>
  <c r="C1030" i="34"/>
  <c r="B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N1031" i="34"/>
  <c r="C1031" i="34"/>
  <c r="B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N1032" i="34"/>
  <c r="C1032" i="34"/>
  <c r="B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N1033" i="34"/>
  <c r="C1033" i="34"/>
  <c r="B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N1034" i="34"/>
  <c r="C1034" i="34"/>
  <c r="B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N1035" i="34"/>
  <c r="C1035" i="34"/>
  <c r="B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N1036" i="34"/>
  <c r="C1036" i="34"/>
  <c r="B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N1037" i="34"/>
  <c r="B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N1038" i="34"/>
  <c r="B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N1039" i="34"/>
  <c r="B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N1040" i="34"/>
  <c r="B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N1041" i="34"/>
  <c r="B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N1042" i="34"/>
  <c r="B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N1043" i="34"/>
  <c r="B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N1044" i="34"/>
  <c r="B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N1045" i="34"/>
  <c r="B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N1046" i="34"/>
  <c r="B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N1047" i="34"/>
  <c r="B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N1048" i="34"/>
  <c r="B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N1049" i="34"/>
  <c r="B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N1050" i="34"/>
  <c r="C1050" i="34"/>
  <c r="B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N1051" i="34"/>
  <c r="C1051" i="34"/>
  <c r="B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N1052" i="34"/>
  <c r="C1052" i="34"/>
  <c r="B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N1053" i="34"/>
  <c r="C1053" i="34"/>
  <c r="B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N1054" i="34"/>
  <c r="C1054" i="34"/>
  <c r="B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N1055" i="34"/>
  <c r="C1055" i="34"/>
  <c r="B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N1056" i="34"/>
  <c r="C1056" i="34"/>
  <c r="B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N1057" i="34"/>
  <c r="C1057" i="34"/>
  <c r="B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N1058" i="34"/>
  <c r="C1058" i="34"/>
  <c r="B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N1059" i="34"/>
  <c r="C1059" i="34"/>
  <c r="B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N1060" i="34"/>
  <c r="C1060" i="34"/>
  <c r="B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N1061" i="34"/>
  <c r="C1061" i="34"/>
  <c r="B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N1062" i="34"/>
  <c r="C1062" i="34"/>
  <c r="B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N1063" i="34"/>
  <c r="C1063" i="34"/>
  <c r="B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N1064" i="34"/>
  <c r="C1064" i="34"/>
  <c r="B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N1065" i="34"/>
  <c r="C1065" i="34"/>
  <c r="B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N1066" i="34"/>
  <c r="C1066" i="34"/>
  <c r="B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N1067" i="34"/>
  <c r="C1067" i="34"/>
  <c r="B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N1068" i="34"/>
  <c r="C1068" i="34"/>
  <c r="B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N1069" i="34"/>
  <c r="C1069" i="34"/>
  <c r="B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N1070" i="34"/>
  <c r="C1070" i="34"/>
  <c r="B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N1071" i="34"/>
  <c r="C1071" i="34"/>
  <c r="B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N1072" i="34"/>
  <c r="C1072" i="34"/>
  <c r="B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N1073" i="34"/>
  <c r="C1073" i="34"/>
  <c r="B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N1074" i="34"/>
  <c r="C1074" i="34"/>
  <c r="B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N1075" i="34"/>
  <c r="C1075" i="34"/>
  <c r="B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N1076" i="34"/>
  <c r="B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N1077" i="34"/>
  <c r="B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N1078" i="34"/>
  <c r="B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N1079" i="34"/>
  <c r="B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N1080" i="34"/>
  <c r="B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N1081" i="34"/>
  <c r="B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N1082" i="34"/>
  <c r="B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N1083" i="34"/>
  <c r="B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N1084" i="34"/>
  <c r="B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N1085" i="34"/>
  <c r="B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N1086" i="34"/>
  <c r="C1086" i="34"/>
  <c r="B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N1087" i="34"/>
  <c r="C1087" i="34"/>
  <c r="B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N1088" i="34"/>
  <c r="C1088" i="34"/>
  <c r="B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N1089" i="34"/>
  <c r="C1089" i="34"/>
  <c r="B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N1090" i="34"/>
  <c r="C1090" i="34"/>
  <c r="B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N1091" i="34"/>
  <c r="C1091" i="34"/>
  <c r="B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N1092" i="34"/>
  <c r="C1092" i="34"/>
  <c r="B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N1093" i="34"/>
  <c r="C1093" i="34"/>
  <c r="B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N1094" i="34"/>
  <c r="C1094" i="34"/>
  <c r="B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N1095" i="34"/>
  <c r="C1095" i="34"/>
  <c r="B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N1096" i="34"/>
  <c r="C1096" i="34"/>
  <c r="B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N1097" i="34"/>
  <c r="C1097" i="34"/>
  <c r="B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N1098" i="34"/>
  <c r="C1098" i="34"/>
  <c r="B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N1099" i="34"/>
  <c r="C1099" i="34"/>
  <c r="B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N1100" i="34"/>
  <c r="C1100" i="34"/>
  <c r="B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N1101" i="34"/>
  <c r="C1101" i="34"/>
  <c r="B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N1102" i="34"/>
  <c r="C1102" i="34"/>
  <c r="B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N1103" i="34"/>
  <c r="C1103" i="34"/>
  <c r="B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N1104" i="34"/>
  <c r="C1104" i="34"/>
  <c r="B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N1105" i="34"/>
  <c r="C1105" i="34"/>
  <c r="B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N1106" i="34"/>
  <c r="C1106" i="34"/>
  <c r="B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N1107" i="34"/>
  <c r="C1107" i="34"/>
  <c r="B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N1108" i="34"/>
  <c r="B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N1109" i="34"/>
  <c r="B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N1110" i="34"/>
  <c r="C1110" i="34"/>
  <c r="B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N1111" i="34"/>
  <c r="C1111" i="34"/>
  <c r="B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N1112" i="34"/>
  <c r="C1112" i="34"/>
  <c r="B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N1113" i="34"/>
  <c r="C1113" i="34"/>
  <c r="B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N1114" i="34"/>
  <c r="C1114" i="34"/>
  <c r="B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N1115" i="34"/>
  <c r="C1115" i="34"/>
  <c r="B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N1116" i="34"/>
  <c r="C1116" i="34"/>
  <c r="B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N1117" i="34"/>
  <c r="C1117" i="34"/>
  <c r="B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N1118" i="34"/>
  <c r="B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N1119" i="34"/>
  <c r="B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N1120" i="34"/>
  <c r="B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N1121" i="34"/>
  <c r="B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N1122" i="34"/>
  <c r="B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N1123" i="34"/>
  <c r="B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N1124" i="34"/>
  <c r="B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N1125" i="34"/>
  <c r="B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N1126" i="34"/>
  <c r="B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N1127" i="34"/>
  <c r="C1127" i="34"/>
  <c r="B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N1128" i="34"/>
  <c r="C1128" i="34"/>
  <c r="B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N1129" i="34"/>
  <c r="C1129" i="34"/>
  <c r="B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N1130" i="34"/>
  <c r="C1130" i="34"/>
  <c r="B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N1131" i="34"/>
  <c r="C1131" i="34"/>
  <c r="B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N1132" i="34"/>
  <c r="C1132" i="34"/>
  <c r="B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N1133" i="34"/>
  <c r="C1133" i="34"/>
  <c r="B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N1134" i="34"/>
  <c r="C1134" i="34"/>
  <c r="B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N1135" i="34"/>
  <c r="C1135" i="34"/>
  <c r="B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N1136" i="34"/>
  <c r="C1136" i="34"/>
  <c r="B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N1137" i="34"/>
  <c r="C1137" i="34"/>
  <c r="B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N1138" i="34"/>
  <c r="C1138" i="34"/>
  <c r="B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N1139" i="34"/>
  <c r="C1139" i="34"/>
  <c r="B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N1140" i="34"/>
  <c r="C1140" i="34"/>
  <c r="B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N1141" i="34"/>
  <c r="C1141" i="34"/>
  <c r="B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N1142" i="34"/>
  <c r="C1142" i="34"/>
  <c r="B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N1143" i="34"/>
  <c r="C1143" i="34"/>
  <c r="B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N1144" i="34"/>
  <c r="C1144" i="34"/>
  <c r="B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N1145" i="34"/>
  <c r="C1145" i="34"/>
  <c r="B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N1146" i="34"/>
  <c r="C1146" i="34"/>
  <c r="B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N1147" i="34"/>
  <c r="C1147" i="34"/>
  <c r="B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N1148" i="34"/>
  <c r="C1148" i="34"/>
  <c r="B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N1149" i="34"/>
  <c r="C1149" i="34"/>
  <c r="B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N1150" i="34"/>
  <c r="C1150" i="34"/>
  <c r="B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N1151" i="34"/>
  <c r="B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N1152" i="34"/>
  <c r="B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N1153" i="34"/>
  <c r="B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N1154" i="34"/>
  <c r="B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N1155" i="34"/>
  <c r="B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N1156" i="34"/>
  <c r="B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N1157" i="34"/>
  <c r="B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N1158" i="34"/>
  <c r="B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N1159" i="34"/>
  <c r="B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N1160" i="34"/>
  <c r="B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N1161" i="34"/>
  <c r="B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N1162" i="34"/>
  <c r="B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N1163" i="34"/>
  <c r="B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N1164" i="34"/>
  <c r="B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N1165" i="34"/>
  <c r="B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N1166" i="34"/>
  <c r="B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N1167" i="34"/>
  <c r="B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N1168" i="34"/>
  <c r="B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N1169" i="34"/>
  <c r="B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N1170" i="34"/>
  <c r="B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N1171" i="34"/>
  <c r="B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N1172" i="34"/>
  <c r="C1172" i="34"/>
  <c r="B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N1173" i="34"/>
  <c r="C1173" i="34"/>
  <c r="B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N1174" i="34"/>
  <c r="C1174" i="34"/>
  <c r="B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N1175" i="34"/>
  <c r="C1175" i="34"/>
  <c r="B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N1176" i="34"/>
  <c r="C1176" i="34"/>
  <c r="B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N1177" i="34"/>
  <c r="C1177" i="34"/>
  <c r="B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N1178" i="34"/>
  <c r="C1178" i="34"/>
  <c r="B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N1179" i="34"/>
  <c r="C1179" i="34"/>
  <c r="B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N1180" i="34"/>
  <c r="C1180" i="34"/>
  <c r="B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N1181" i="34"/>
  <c r="C1181" i="34"/>
  <c r="B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N1182" i="34"/>
  <c r="C1182" i="34"/>
  <c r="B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N1183" i="34"/>
  <c r="C1183" i="34"/>
  <c r="B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N1184" i="34"/>
  <c r="C1184" i="34"/>
  <c r="B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N1185" i="34"/>
  <c r="C1185" i="34"/>
  <c r="B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N1186" i="34"/>
  <c r="C1186" i="34"/>
  <c r="B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N1187" i="34"/>
  <c r="C1187" i="34"/>
  <c r="B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N1188" i="34"/>
  <c r="C1188" i="34"/>
  <c r="B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N1189" i="34"/>
  <c r="C1189" i="34"/>
  <c r="B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N1190" i="34"/>
  <c r="C1190" i="34"/>
  <c r="B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N1191" i="34"/>
  <c r="C1191" i="34"/>
  <c r="B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N1192" i="34"/>
  <c r="C1192" i="34"/>
  <c r="B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N1193" i="34"/>
  <c r="C1193" i="34"/>
  <c r="B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N1194" i="34"/>
  <c r="C1194" i="34"/>
  <c r="B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N1195" i="34"/>
  <c r="C1195" i="34"/>
  <c r="B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N1196" i="34"/>
  <c r="C1196" i="34"/>
  <c r="B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N1197" i="34"/>
  <c r="C1197" i="34"/>
  <c r="B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N1198" i="34"/>
  <c r="C1198" i="34"/>
  <c r="B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N1199" i="34"/>
  <c r="C1199" i="34"/>
  <c r="B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N1200" i="34"/>
  <c r="C1200" i="34"/>
  <c r="B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N1201" i="34"/>
  <c r="C1201" i="34"/>
  <c r="B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N1202" i="34"/>
  <c r="C1202" i="34"/>
  <c r="B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N1203" i="34"/>
  <c r="C1203" i="34"/>
  <c r="B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N1204" i="34"/>
  <c r="C1204" i="34"/>
  <c r="B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N1205" i="34"/>
  <c r="B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N1206" i="34"/>
  <c r="B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N1207" i="34"/>
  <c r="B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N1208" i="34"/>
  <c r="B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N1209" i="34"/>
  <c r="B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N1210" i="34"/>
  <c r="B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N1211" i="34"/>
  <c r="B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N1212" i="34"/>
  <c r="B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N1213" i="34"/>
  <c r="B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N1214" i="34"/>
  <c r="C1214" i="34"/>
  <c r="B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N1215" i="34"/>
  <c r="C1215" i="34"/>
  <c r="B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N1216" i="34"/>
  <c r="C1216" i="34"/>
  <c r="B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N1217" i="34"/>
  <c r="C1217" i="34"/>
  <c r="B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N1218" i="34"/>
  <c r="C1218" i="34"/>
  <c r="B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N1219" i="34"/>
  <c r="C1219" i="34"/>
  <c r="B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N1220" i="34"/>
  <c r="C1220" i="34"/>
  <c r="B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N1221" i="34"/>
  <c r="C1221" i="34"/>
  <c r="B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N1222" i="34"/>
  <c r="C1222" i="34"/>
  <c r="B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N1223" i="34"/>
  <c r="C1223" i="34"/>
  <c r="B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N1224" i="34"/>
  <c r="C1224" i="34"/>
  <c r="B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N1225" i="34"/>
  <c r="C1225" i="34"/>
  <c r="B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N1226" i="34"/>
  <c r="C1226" i="34"/>
  <c r="B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N1227" i="34"/>
  <c r="C1227" i="34"/>
  <c r="B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N1228" i="34"/>
  <c r="C1228" i="34"/>
  <c r="B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N1229" i="34"/>
  <c r="C1229" i="34"/>
  <c r="B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N1230" i="34"/>
  <c r="C1230" i="34"/>
  <c r="B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N1231" i="34"/>
  <c r="C1231" i="34"/>
  <c r="B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N1232" i="34"/>
  <c r="C1232" i="34"/>
  <c r="B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N1233" i="34"/>
  <c r="C1233" i="34"/>
  <c r="B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N1234" i="34"/>
  <c r="C1234" i="34"/>
  <c r="B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N1235" i="34"/>
  <c r="B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N1236" i="34"/>
  <c r="B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N1237" i="34"/>
  <c r="B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N1238" i="34"/>
  <c r="B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N1239" i="34"/>
  <c r="B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N1240" i="34"/>
  <c r="B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N1241" i="34"/>
  <c r="B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N1242" i="34"/>
  <c r="B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N1243" i="34"/>
  <c r="B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N1244" i="34"/>
  <c r="C1244" i="34"/>
  <c r="B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N1245" i="34"/>
  <c r="C1245" i="34"/>
  <c r="B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N1246" i="34"/>
  <c r="C1246" i="34"/>
  <c r="B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N1247" i="34"/>
  <c r="C1247" i="34"/>
  <c r="B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N1248" i="34"/>
  <c r="C1248" i="34"/>
  <c r="B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N1249" i="34"/>
  <c r="C1249" i="34"/>
  <c r="B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N1250" i="34"/>
  <c r="C1250" i="34"/>
  <c r="B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N1251" i="34"/>
  <c r="C1251" i="34"/>
  <c r="B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N1252" i="34"/>
  <c r="C1252" i="34"/>
  <c r="B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N1253" i="34"/>
  <c r="C1253" i="34"/>
  <c r="B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N1254" i="34"/>
  <c r="C1254" i="34"/>
  <c r="B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N1255" i="34"/>
  <c r="C1255" i="34"/>
  <c r="B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N1256" i="34"/>
  <c r="C1256" i="34"/>
  <c r="B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N1257" i="34"/>
  <c r="C1257" i="34"/>
  <c r="B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N1258" i="34"/>
  <c r="C1258" i="34"/>
  <c r="B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N1259" i="34"/>
  <c r="C1259" i="34"/>
  <c r="B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N1260" i="34"/>
  <c r="C1260" i="34"/>
  <c r="B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N1261" i="34"/>
  <c r="C1261" i="34"/>
  <c r="B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N1262" i="34"/>
  <c r="C1262" i="34"/>
  <c r="B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N1263" i="34"/>
  <c r="B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N1264" i="34"/>
  <c r="B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N1265" i="34"/>
  <c r="B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N1266" i="34"/>
  <c r="B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N1267" i="34"/>
  <c r="B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N1268" i="34"/>
  <c r="B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N1269" i="34"/>
  <c r="C1269" i="34"/>
  <c r="B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N1270" i="34"/>
  <c r="C1270" i="34"/>
  <c r="B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N1271" i="34"/>
  <c r="C1271" i="34"/>
  <c r="B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N1272" i="34"/>
  <c r="C1272" i="34"/>
  <c r="B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N1273" i="34"/>
  <c r="C1273" i="34"/>
  <c r="B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N1274" i="34"/>
  <c r="C1274" i="34"/>
  <c r="B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N1275" i="34"/>
  <c r="C1275" i="34"/>
  <c r="B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N1276" i="34"/>
  <c r="C1276" i="34"/>
  <c r="B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N1277" i="34"/>
  <c r="C1277" i="34"/>
  <c r="B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N1278" i="34"/>
  <c r="C1278" i="34"/>
  <c r="B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N1279" i="34"/>
  <c r="C1279" i="34"/>
  <c r="B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N1280" i="34"/>
  <c r="B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N1281" i="34"/>
  <c r="B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N1282" i="34"/>
  <c r="B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N1283" i="34"/>
  <c r="B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N1284" i="34"/>
  <c r="B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N1285" i="34"/>
  <c r="C1285" i="34"/>
  <c r="B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N1286" i="34"/>
  <c r="C1286" i="34"/>
  <c r="B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N1287" i="34"/>
  <c r="C1287" i="34"/>
  <c r="B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N1288" i="34"/>
  <c r="C1288" i="34"/>
  <c r="B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N1289" i="34"/>
  <c r="C1289" i="34"/>
  <c r="B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N1290" i="34"/>
  <c r="C1290" i="34"/>
  <c r="B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N1291" i="34"/>
  <c r="B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N1292" i="34"/>
  <c r="B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N1293" i="34"/>
  <c r="C1293" i="34"/>
  <c r="B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N1294" i="34"/>
  <c r="C1294" i="34"/>
  <c r="B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N1295" i="34"/>
  <c r="B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N1296" i="34"/>
  <c r="B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N1297" i="34"/>
  <c r="B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N1298" i="34"/>
  <c r="B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N1299" i="34"/>
  <c r="B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N1300" i="34"/>
  <c r="C1300" i="34"/>
  <c r="B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N1301" i="34"/>
  <c r="B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N1302" i="34"/>
  <c r="B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N1303" i="34"/>
  <c r="B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N1304" i="34"/>
  <c r="B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N1305" i="34"/>
  <c r="B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N1306" i="34"/>
  <c r="C1306" i="34"/>
  <c r="B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N1307" i="34"/>
  <c r="C1307" i="34"/>
  <c r="B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N1308" i="34"/>
  <c r="C1308" i="34"/>
  <c r="B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N1309" i="34"/>
  <c r="C1309" i="34"/>
  <c r="B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N1310" i="34"/>
  <c r="C1310" i="34"/>
  <c r="B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N1311" i="34"/>
  <c r="C1311" i="34"/>
  <c r="B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N1312" i="34"/>
  <c r="C1312" i="34"/>
  <c r="B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N1313" i="34"/>
  <c r="C1313" i="34"/>
  <c r="B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N1314" i="34"/>
  <c r="C1314" i="34"/>
  <c r="B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N1315" i="34"/>
  <c r="B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N1316" i="34"/>
  <c r="B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N1317" i="34"/>
  <c r="C1317" i="34"/>
  <c r="B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N1318" i="34"/>
  <c r="C1318" i="34"/>
  <c r="B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N1319" i="34"/>
  <c r="C1319" i="34"/>
  <c r="B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N1320" i="34"/>
  <c r="C1320" i="34"/>
  <c r="B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N1321" i="34"/>
  <c r="C1321" i="34"/>
  <c r="B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N1322" i="34"/>
  <c r="C1322" i="34"/>
  <c r="B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N1323" i="34"/>
  <c r="C1323" i="34"/>
  <c r="B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N1324" i="34"/>
  <c r="C1324" i="34"/>
  <c r="B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N1325" i="34"/>
  <c r="B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N1326" i="34"/>
  <c r="B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N1327" i="34"/>
  <c r="B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N1328" i="34"/>
  <c r="C1328" i="34"/>
  <c r="B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N1329" i="34"/>
  <c r="C1329" i="34"/>
  <c r="B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N1330" i="34"/>
  <c r="B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N1331" i="34"/>
  <c r="B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N1332" i="34"/>
  <c r="B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N1333" i="34"/>
  <c r="B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N1334" i="34"/>
  <c r="B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N1335" i="34"/>
  <c r="C1335" i="34"/>
  <c r="B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N1336" i="34"/>
  <c r="C1336" i="34"/>
  <c r="B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N1337" i="34"/>
  <c r="C1337" i="34"/>
  <c r="B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N1338" i="34"/>
  <c r="C1338" i="34"/>
  <c r="B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N1339" i="34"/>
  <c r="C1339" i="34"/>
  <c r="B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N1340" i="34"/>
  <c r="C1340" i="34"/>
  <c r="B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N1341" i="34"/>
  <c r="C1341" i="34"/>
  <c r="B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N1342" i="34"/>
  <c r="C1342" i="34"/>
  <c r="B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N1343" i="34"/>
  <c r="C1343" i="34"/>
  <c r="B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N1344" i="34"/>
  <c r="C1344" i="34"/>
  <c r="B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N1345" i="34"/>
  <c r="C1345" i="34"/>
  <c r="B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N1346" i="34"/>
  <c r="C1346" i="34"/>
  <c r="B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N1347" i="34"/>
  <c r="C1347" i="34"/>
  <c r="B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N1348" i="34"/>
  <c r="C1348" i="34"/>
  <c r="B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N1349" i="34"/>
  <c r="C1349" i="34"/>
  <c r="B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N1350" i="34"/>
  <c r="C1350" i="34"/>
  <c r="B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N1351" i="34"/>
  <c r="B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N1352" i="34"/>
  <c r="B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N1353" i="34"/>
  <c r="B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N1354" i="34"/>
  <c r="B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N1355" i="34"/>
  <c r="B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N1356" i="34"/>
  <c r="B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N1357" i="34"/>
  <c r="B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N1358" i="34"/>
  <c r="B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N1359" i="34"/>
  <c r="B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N1360" i="34"/>
  <c r="B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N1361" i="34"/>
  <c r="B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N1362" i="34"/>
  <c r="B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N1363" i="34"/>
  <c r="B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N1364" i="34"/>
  <c r="B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N1365" i="34"/>
  <c r="B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N1366" i="34"/>
  <c r="C1366" i="34"/>
  <c r="B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N1367" i="34"/>
  <c r="C1367" i="34"/>
  <c r="B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N1368" i="34"/>
  <c r="C1368" i="34"/>
  <c r="B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N1369" i="34"/>
  <c r="C1369" i="34"/>
  <c r="B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N1370" i="34"/>
  <c r="C1370" i="34"/>
  <c r="B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N1371" i="34"/>
  <c r="C1371" i="34"/>
  <c r="B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N1372" i="34"/>
  <c r="C1372" i="34"/>
  <c r="B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N1373" i="34"/>
  <c r="C1373" i="34"/>
  <c r="B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N1374" i="34"/>
  <c r="C1374" i="34"/>
  <c r="B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N1375" i="34"/>
  <c r="C1375" i="34"/>
  <c r="B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N1376" i="34"/>
  <c r="C1376" i="34"/>
  <c r="B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N1377" i="34"/>
  <c r="C1377" i="34"/>
  <c r="B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N1378" i="34"/>
  <c r="C1378" i="34"/>
  <c r="B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N1379" i="34"/>
  <c r="C1379" i="34"/>
  <c r="B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N1380" i="34"/>
  <c r="C1380" i="34"/>
  <c r="B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N1381" i="34"/>
  <c r="C1381" i="34"/>
  <c r="B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N1382" i="34"/>
  <c r="C1382" i="34"/>
  <c r="B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N1383" i="34"/>
  <c r="C1383" i="34"/>
  <c r="B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N1384" i="34"/>
  <c r="B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N1385" i="34"/>
  <c r="B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N1386" i="34"/>
  <c r="B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N1387" i="34"/>
  <c r="B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N1388" i="34"/>
  <c r="B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N1389" i="34"/>
  <c r="B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N1390" i="34"/>
  <c r="B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N1391" i="34"/>
  <c r="B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N1392" i="34"/>
  <c r="B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N1393" i="34"/>
  <c r="C1393" i="34"/>
  <c r="B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N1394" i="34"/>
  <c r="C1394" i="34"/>
  <c r="B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N1395" i="34"/>
  <c r="C1395" i="34"/>
  <c r="B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N1396" i="34"/>
  <c r="C1396" i="34"/>
  <c r="B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N1397" i="34"/>
  <c r="C1397" i="34"/>
  <c r="B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N1398" i="34"/>
  <c r="C1398" i="34"/>
  <c r="B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N1399" i="34"/>
  <c r="C1399" i="34"/>
  <c r="B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N1400" i="34"/>
  <c r="C1400" i="34"/>
  <c r="B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N1401" i="34"/>
  <c r="C1401" i="34"/>
  <c r="B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N1402" i="34"/>
  <c r="C1402" i="34"/>
  <c r="B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N1403" i="34"/>
  <c r="C1403" i="34"/>
  <c r="B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N1404" i="34"/>
  <c r="C1404" i="34"/>
  <c r="B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N1405" i="34"/>
  <c r="C1405" i="34"/>
  <c r="B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N1406" i="34"/>
  <c r="C1406" i="34"/>
  <c r="B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N1407" i="34"/>
  <c r="C1407" i="34"/>
  <c r="B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N1408" i="34"/>
  <c r="C1408" i="34"/>
  <c r="B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N1409" i="34"/>
  <c r="B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N1410" i="34"/>
  <c r="B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N1411" i="34"/>
  <c r="B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N1412" i="34"/>
  <c r="B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N1413" i="34"/>
  <c r="C1413" i="34"/>
  <c r="B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N1414" i="34"/>
  <c r="C1414" i="34"/>
  <c r="B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N1415" i="34"/>
  <c r="C1415" i="34"/>
  <c r="B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N1416" i="34"/>
  <c r="C1416" i="34"/>
  <c r="B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N1417" i="34"/>
  <c r="C1417" i="34"/>
  <c r="B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N1418" i="34"/>
  <c r="C1418" i="34"/>
  <c r="B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N1419" i="34"/>
  <c r="C1419" i="34"/>
  <c r="B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N1420" i="34"/>
  <c r="B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N1421" i="34"/>
  <c r="B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N1422" i="34"/>
  <c r="B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N1423" i="34"/>
  <c r="B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N1424" i="34"/>
  <c r="C1424" i="34"/>
  <c r="B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N1425" i="34"/>
  <c r="C1425" i="34"/>
  <c r="B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N1426" i="34"/>
  <c r="B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N1427" i="34"/>
  <c r="B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N1428" i="34"/>
  <c r="B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N1429" i="34"/>
  <c r="B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N1430" i="34"/>
  <c r="B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N1431" i="34"/>
  <c r="B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N1432" i="34"/>
  <c r="B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N1433" i="34"/>
  <c r="B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N1434" i="34"/>
  <c r="B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N1435" i="34"/>
  <c r="B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N1436" i="34"/>
  <c r="B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N1437" i="34"/>
  <c r="B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N1438" i="34"/>
  <c r="B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N1439" i="34"/>
  <c r="B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N1440" i="34"/>
  <c r="B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N1441" i="34"/>
  <c r="B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N1442" i="34"/>
  <c r="B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N1443" i="34"/>
  <c r="C1443" i="34"/>
  <c r="B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N1444" i="34"/>
  <c r="C1444" i="34"/>
  <c r="B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N1445" i="34"/>
  <c r="C1445" i="34"/>
  <c r="B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N1446" i="34"/>
  <c r="C1446" i="34"/>
  <c r="B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N1447" i="34"/>
  <c r="C1447" i="34"/>
  <c r="B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N1448" i="34"/>
  <c r="C1448" i="34"/>
  <c r="B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N1449" i="34"/>
  <c r="C1449" i="34"/>
  <c r="B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N1450" i="34"/>
  <c r="C1450" i="34"/>
  <c r="B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N1451" i="34"/>
  <c r="C1451" i="34"/>
  <c r="B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N1452" i="34"/>
  <c r="C1452" i="34"/>
  <c r="B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N1453" i="34"/>
  <c r="C1453" i="34"/>
  <c r="B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N1454" i="34"/>
  <c r="C1454" i="34"/>
  <c r="B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N1455" i="34"/>
  <c r="C1455" i="34"/>
  <c r="B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N1456" i="34"/>
  <c r="C1456" i="34"/>
  <c r="B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N1457" i="34"/>
  <c r="C1457" i="34"/>
  <c r="B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N1458" i="34"/>
  <c r="C1458" i="34"/>
  <c r="B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N1459" i="34"/>
  <c r="C1459" i="34"/>
  <c r="B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N1460" i="34"/>
  <c r="C1460" i="34"/>
  <c r="B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N1461" i="34"/>
  <c r="C1461" i="34"/>
  <c r="B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N1462" i="34"/>
  <c r="C1462" i="34"/>
  <c r="B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N1463" i="34"/>
  <c r="C1463" i="34"/>
  <c r="B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N1464" i="34"/>
  <c r="C1464" i="34"/>
  <c r="B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N1465" i="34"/>
  <c r="C1465" i="34"/>
  <c r="B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N1466" i="34"/>
  <c r="C1466" i="34"/>
  <c r="B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N1467" i="34"/>
  <c r="C1467" i="34"/>
  <c r="B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N1468" i="34"/>
  <c r="C1468" i="34"/>
  <c r="B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N1469" i="34"/>
  <c r="C1469" i="34"/>
  <c r="B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N1470" i="34"/>
  <c r="C1470" i="34"/>
  <c r="B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N1471" i="34"/>
  <c r="C1471" i="34"/>
  <c r="B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N1472" i="34"/>
  <c r="C1472" i="34"/>
  <c r="B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N1473" i="34"/>
  <c r="B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N1474" i="34"/>
  <c r="B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N1475" i="34"/>
  <c r="B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N1476" i="34"/>
  <c r="B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N1477" i="34"/>
  <c r="B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N1478" i="34"/>
  <c r="B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N1479" i="34"/>
  <c r="B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N1480" i="34"/>
  <c r="B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N1481" i="34"/>
  <c r="C1481" i="34"/>
  <c r="B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N1482" i="34"/>
  <c r="C1482" i="34"/>
  <c r="B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N1483" i="34"/>
  <c r="C1483" i="34"/>
  <c r="B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N1484" i="34"/>
  <c r="C1484" i="34"/>
  <c r="B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N1485" i="34"/>
  <c r="C1485" i="34"/>
  <c r="B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N1486" i="34"/>
  <c r="C1486" i="34"/>
  <c r="B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N1487" i="34"/>
  <c r="C1487" i="34"/>
  <c r="B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N1488" i="34"/>
  <c r="C1488" i="34"/>
  <c r="B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N1489" i="34"/>
  <c r="C1489" i="34"/>
  <c r="B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N1490" i="34"/>
  <c r="C1490" i="34"/>
  <c r="B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N1491" i="34"/>
  <c r="C1491" i="34"/>
  <c r="B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N1492" i="34"/>
  <c r="C1492" i="34"/>
  <c r="B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N1493" i="34"/>
  <c r="C1493" i="34"/>
  <c r="B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N1494" i="34"/>
  <c r="C1494" i="34"/>
  <c r="B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N1495" i="34"/>
  <c r="B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N1496" i="34"/>
  <c r="B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N1497" i="34"/>
  <c r="B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N1498" i="34"/>
  <c r="C1498" i="34"/>
  <c r="B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N1499" i="34"/>
  <c r="C1499" i="34"/>
  <c r="B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N1500" i="34"/>
  <c r="C1500" i="34"/>
  <c r="B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N1501" i="34"/>
  <c r="C1501" i="34"/>
  <c r="B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N1502" i="34"/>
  <c r="C1502" i="34"/>
  <c r="B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N1503" i="34"/>
  <c r="C1503" i="34"/>
  <c r="B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N1504" i="34"/>
  <c r="C1504" i="34"/>
  <c r="B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N1505" i="34"/>
  <c r="C1505" i="34"/>
  <c r="B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N1506" i="34"/>
  <c r="C1506" i="34"/>
  <c r="B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N1507" i="34"/>
  <c r="B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N1508" i="34"/>
  <c r="C1508" i="34"/>
  <c r="B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N1509" i="34"/>
  <c r="C1509" i="34"/>
  <c r="B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N1510" i="34"/>
  <c r="C1510" i="34"/>
  <c r="B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N1511" i="34"/>
  <c r="C1511" i="34"/>
  <c r="B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N1512" i="34"/>
  <c r="C1512" i="34"/>
  <c r="B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N1513" i="34"/>
  <c r="C1513" i="34"/>
  <c r="B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N1514" i="34"/>
  <c r="C1514" i="34"/>
  <c r="B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N1515" i="34"/>
  <c r="C1515" i="34"/>
  <c r="B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N1516" i="34"/>
  <c r="C1516" i="34"/>
  <c r="B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N1517" i="34"/>
  <c r="C1517" i="34"/>
  <c r="B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N1518" i="34"/>
  <c r="C1518" i="34"/>
  <c r="B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N1519" i="34"/>
  <c r="B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N1520" i="34"/>
  <c r="B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N1521" i="34"/>
  <c r="B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N1522" i="34"/>
  <c r="B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N1523" i="34"/>
  <c r="B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N1524" i="34"/>
  <c r="B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N1525" i="34"/>
  <c r="C1525" i="34"/>
  <c r="B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N1526" i="34"/>
  <c r="C1526" i="34"/>
  <c r="B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N1527" i="34"/>
  <c r="B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N1528" i="34"/>
  <c r="B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N1529" i="34"/>
  <c r="B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N1530" i="34"/>
  <c r="B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N1531" i="34"/>
  <c r="B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N1532" i="34"/>
  <c r="B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N1533" i="34"/>
  <c r="B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N1534" i="34"/>
  <c r="B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N1535" i="34"/>
  <c r="B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N1536" i="34"/>
  <c r="C1536" i="34"/>
  <c r="B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N1537" i="34"/>
  <c r="C1537" i="34"/>
  <c r="B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N1538" i="34"/>
  <c r="C1538" i="34"/>
  <c r="B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N1539" i="34"/>
  <c r="C1539" i="34"/>
  <c r="B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N1540" i="34"/>
  <c r="C1540" i="34"/>
  <c r="B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N1541" i="34"/>
  <c r="C1541" i="34"/>
  <c r="B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N1542" i="34"/>
  <c r="C1542" i="34"/>
  <c r="B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N1543" i="34"/>
  <c r="C1543" i="34"/>
  <c r="B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N1544" i="34"/>
  <c r="B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N1545" i="34"/>
  <c r="B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N1546" i="34"/>
  <c r="B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N1547" i="34"/>
  <c r="B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N1548" i="34"/>
  <c r="B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N1549" i="34"/>
  <c r="B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N1550" i="34"/>
  <c r="B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N1551" i="34"/>
  <c r="B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N1552" i="34"/>
  <c r="B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N1553" i="34"/>
  <c r="C1553" i="34"/>
  <c r="B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N1554" i="34"/>
  <c r="C1554" i="34"/>
  <c r="B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N1555" i="34"/>
  <c r="C1555" i="34"/>
  <c r="B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N1556" i="34"/>
  <c r="C1556" i="34"/>
  <c r="B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N1557" i="34"/>
  <c r="C1557" i="34"/>
  <c r="B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N1558" i="34"/>
  <c r="C1558" i="34"/>
  <c r="B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N1559" i="34"/>
  <c r="C1559" i="34"/>
  <c r="B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N1560" i="34"/>
  <c r="C1560" i="34"/>
  <c r="B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N1561" i="34"/>
  <c r="C1561" i="34"/>
  <c r="B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N1562" i="34"/>
  <c r="C1562" i="34"/>
  <c r="B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N1563" i="34"/>
  <c r="C1563" i="34"/>
  <c r="B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N1564" i="34"/>
  <c r="C1564" i="34"/>
  <c r="B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N1565" i="34"/>
  <c r="C1565" i="34"/>
  <c r="B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N1566" i="34"/>
  <c r="C1566" i="34"/>
  <c r="B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N1567" i="34"/>
  <c r="C1567" i="34"/>
  <c r="B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N1568" i="34"/>
  <c r="C1568" i="34"/>
  <c r="B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N1569" i="34"/>
  <c r="B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N1570" i="34"/>
  <c r="B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N1571" i="34"/>
  <c r="B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N1572" i="34"/>
  <c r="B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N1573" i="34"/>
  <c r="C1573" i="34"/>
  <c r="B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N1574" i="34"/>
  <c r="C1574" i="34"/>
  <c r="B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N1575" i="34"/>
  <c r="C1575" i="34"/>
  <c r="B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N1576" i="34"/>
  <c r="C1576" i="34"/>
  <c r="B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N1577" i="34"/>
  <c r="C1577" i="34"/>
  <c r="B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N1578" i="34"/>
  <c r="C1578" i="34"/>
  <c r="B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N1579" i="34"/>
  <c r="C1579" i="34"/>
  <c r="B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N1580" i="34"/>
  <c r="C1580" i="34"/>
  <c r="B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N1581" i="34"/>
  <c r="B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N1582" i="34"/>
  <c r="B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N1583" i="34"/>
  <c r="B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N1584" i="34"/>
  <c r="B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N1585" i="34"/>
  <c r="B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N1586" i="34"/>
  <c r="B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N1587" i="34"/>
  <c r="B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N1588" i="34"/>
  <c r="C1588" i="34"/>
  <c r="B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N1589" i="34"/>
  <c r="C1589" i="34"/>
  <c r="B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N1590" i="34"/>
  <c r="C1590" i="34"/>
  <c r="B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N1591" i="34"/>
  <c r="C1591" i="34"/>
  <c r="B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N1592" i="34"/>
  <c r="C1592" i="34"/>
  <c r="B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N1593" i="34"/>
  <c r="C1593" i="34"/>
  <c r="B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N1594" i="34"/>
  <c r="C1594" i="34"/>
  <c r="B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N1595" i="34"/>
  <c r="C1595" i="34"/>
  <c r="B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N1596" i="34"/>
  <c r="C1596" i="34"/>
  <c r="B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N1597" i="34"/>
  <c r="B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N1598" i="34"/>
  <c r="B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N1599" i="34"/>
  <c r="B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N1600" i="34"/>
  <c r="B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N1601" i="34"/>
  <c r="B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N1602" i="34"/>
  <c r="B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N1603" i="34"/>
  <c r="B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N1604" i="34"/>
  <c r="B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N1605" i="34"/>
  <c r="B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N1606" i="34"/>
  <c r="B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N1607" i="34"/>
  <c r="B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N1608" i="34"/>
  <c r="B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N1609" i="34"/>
  <c r="B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N1610" i="34"/>
  <c r="C1610" i="34"/>
  <c r="B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N1611" i="34"/>
  <c r="C1611" i="34"/>
  <c r="B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N1612" i="34"/>
  <c r="C1612" i="34"/>
  <c r="B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N1613" i="34"/>
  <c r="C1613" i="34"/>
  <c r="B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N1614" i="34"/>
  <c r="C1614" i="34"/>
  <c r="B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N1615" i="34"/>
  <c r="C1615" i="34"/>
  <c r="B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N1616" i="34"/>
  <c r="C1616" i="34"/>
  <c r="B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N1617" i="34"/>
  <c r="C1617" i="34"/>
  <c r="B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N1618" i="34"/>
  <c r="C1618" i="34"/>
  <c r="B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N1619" i="34"/>
  <c r="C1619" i="34"/>
  <c r="B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N1620" i="34"/>
  <c r="C1620" i="34"/>
  <c r="B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N1621" i="34"/>
  <c r="C1621" i="34"/>
  <c r="B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N1622" i="34"/>
  <c r="C1622" i="34"/>
  <c r="B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N1623" i="34"/>
  <c r="C1623" i="34"/>
  <c r="B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N1624" i="34"/>
  <c r="C1624" i="34"/>
  <c r="B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N1625" i="34"/>
  <c r="C1625" i="34"/>
  <c r="B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N1626" i="34"/>
  <c r="C1626" i="34"/>
  <c r="B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N1627" i="34"/>
  <c r="C1627" i="34"/>
  <c r="B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N1628" i="34"/>
  <c r="B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N1629" i="34"/>
  <c r="B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N1630" i="34"/>
  <c r="B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N1631" i="34"/>
  <c r="B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N1632" i="34"/>
  <c r="B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N1633" i="34"/>
  <c r="B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N1634" i="34"/>
  <c r="B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N1635" i="34"/>
  <c r="B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N1636" i="34"/>
  <c r="B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N1637" i="34"/>
  <c r="C1637" i="34"/>
  <c r="B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N1638" i="34"/>
  <c r="C1638" i="34"/>
  <c r="B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N1639" i="34"/>
  <c r="C1639" i="34"/>
  <c r="B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N1640" i="34"/>
  <c r="C1640" i="34"/>
  <c r="B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N1641" i="34"/>
  <c r="C1641" i="34"/>
  <c r="B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N1642" i="34"/>
  <c r="C1642" i="34"/>
  <c r="B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N1643" i="34"/>
  <c r="C1643" i="34"/>
  <c r="B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N1644" i="34"/>
  <c r="C1644" i="34"/>
  <c r="B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N1645" i="34"/>
  <c r="C1645" i="34"/>
  <c r="B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N1646" i="34"/>
  <c r="C1646" i="34"/>
  <c r="B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N1647" i="34"/>
  <c r="C1647" i="34"/>
  <c r="B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N1648" i="34"/>
  <c r="C1648" i="34"/>
  <c r="B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N1649" i="34"/>
  <c r="C1649" i="34"/>
  <c r="B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N1650" i="34"/>
  <c r="C1650" i="34"/>
  <c r="B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N1651" i="34"/>
  <c r="C1651" i="34"/>
  <c r="B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N1652" i="34"/>
  <c r="C1652" i="34"/>
  <c r="B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N1653" i="34"/>
  <c r="C1653" i="34"/>
  <c r="B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N1654" i="34"/>
  <c r="C1654" i="34"/>
  <c r="B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N1655" i="34"/>
  <c r="C1655" i="34"/>
  <c r="B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N1656" i="34"/>
  <c r="C1656" i="34"/>
  <c r="B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N1657" i="34"/>
  <c r="B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N1658" i="34"/>
  <c r="B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N1659" i="34"/>
  <c r="B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N1660" i="34"/>
  <c r="B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N1661" i="34"/>
  <c r="B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N1662" i="34"/>
  <c r="B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N1663" i="34"/>
  <c r="B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N1664" i="34"/>
  <c r="B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N1665" i="34"/>
  <c r="B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N1666" i="34"/>
  <c r="C1666" i="34"/>
  <c r="B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N1667" i="34"/>
  <c r="C1667" i="34"/>
  <c r="B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N1668" i="34"/>
  <c r="C1668" i="34"/>
  <c r="B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N1669" i="34"/>
  <c r="C1669" i="34"/>
  <c r="B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N1670" i="34"/>
  <c r="C1670" i="34"/>
  <c r="B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N1671" i="34"/>
  <c r="C1671" i="34"/>
  <c r="B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N1672" i="34"/>
  <c r="C1672" i="34"/>
  <c r="B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N1673" i="34"/>
  <c r="C1673" i="34"/>
  <c r="B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N1674" i="34"/>
  <c r="C1674" i="34"/>
  <c r="B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N1675" i="34"/>
  <c r="C1675" i="34"/>
  <c r="B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N1676" i="34"/>
  <c r="C1676" i="34"/>
  <c r="B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N1677" i="34"/>
  <c r="C1677" i="34"/>
  <c r="B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N1678" i="34"/>
  <c r="C1678" i="34"/>
  <c r="B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N1679" i="34"/>
  <c r="C1679" i="34"/>
  <c r="B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N1680" i="34"/>
  <c r="C1680" i="34"/>
  <c r="B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N1681" i="34"/>
  <c r="C1681" i="34"/>
  <c r="B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N1682" i="34"/>
  <c r="B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N1683" i="34"/>
  <c r="B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N1684" i="34"/>
  <c r="B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N1685" i="34"/>
  <c r="B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N1686" i="34"/>
  <c r="B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N1687" i="34"/>
  <c r="B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N1688" i="34"/>
  <c r="B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N1689" i="34"/>
  <c r="B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N1690" i="34"/>
  <c r="B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N1691" i="34"/>
  <c r="B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N1692" i="34"/>
  <c r="B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N1693" i="34"/>
  <c r="B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N1694" i="34"/>
  <c r="B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N1695" i="34"/>
  <c r="B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N1696" i="34"/>
  <c r="B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N1697" i="34"/>
  <c r="C1697" i="34"/>
  <c r="B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N1698" i="34"/>
  <c r="C1698" i="34"/>
  <c r="B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N1699" i="34"/>
  <c r="C1699" i="34"/>
  <c r="B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N1700" i="34"/>
  <c r="C1700" i="34"/>
  <c r="B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N1701" i="34"/>
  <c r="C1701" i="34"/>
  <c r="B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N1702" i="34"/>
  <c r="C1702" i="34"/>
  <c r="B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N1703" i="34"/>
  <c r="C1703" i="34"/>
  <c r="B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N1704" i="34"/>
  <c r="C1704" i="34"/>
  <c r="B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N1705" i="34"/>
  <c r="C1705" i="34"/>
  <c r="B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N1706" i="34"/>
  <c r="C1706" i="34"/>
  <c r="B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N1707" i="34"/>
  <c r="C1707" i="34"/>
  <c r="B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N1708" i="34"/>
  <c r="C1708" i="34"/>
  <c r="B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N1709" i="34"/>
  <c r="C1709" i="34"/>
  <c r="B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N1710" i="34"/>
  <c r="C1710" i="34"/>
  <c r="B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N1711" i="34"/>
  <c r="C1711" i="34"/>
  <c r="B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N1712" i="34"/>
  <c r="C1712" i="34"/>
  <c r="B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N1713" i="34"/>
  <c r="C1713" i="34"/>
  <c r="B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N1714" i="34"/>
  <c r="C1714" i="34"/>
  <c r="B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N1715" i="34"/>
  <c r="C1715" i="34"/>
  <c r="B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N1716" i="34"/>
  <c r="C1716" i="34"/>
  <c r="B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N1717" i="34"/>
  <c r="C1717" i="34"/>
  <c r="B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N1718" i="34"/>
  <c r="C1718" i="34"/>
  <c r="B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N1719" i="34"/>
  <c r="B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N1720" i="34"/>
  <c r="B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N1721" i="34"/>
  <c r="B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N1722" i="34"/>
  <c r="B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N1723" i="34"/>
  <c r="B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N1724" i="34"/>
  <c r="B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N1725" i="34"/>
  <c r="B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N1726" i="34"/>
  <c r="B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N1727" i="34"/>
  <c r="B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N1728" i="34"/>
  <c r="C1728" i="34"/>
  <c r="B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N1729" i="34"/>
  <c r="C1729" i="34"/>
  <c r="B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N1730" i="34"/>
  <c r="C1730" i="34"/>
  <c r="B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N1731" i="34"/>
  <c r="C1731" i="34"/>
  <c r="B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N1732" i="34"/>
  <c r="C1732" i="34"/>
  <c r="B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N1733" i="34"/>
  <c r="C1733" i="34"/>
  <c r="B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N1734" i="34"/>
  <c r="B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N1735" i="34"/>
  <c r="B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N1736" i="34"/>
  <c r="B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N1737" i="34"/>
  <c r="B1737" i="34"/>
  <c r="O1737" i="34"/>
  <c r="P1737" i="34"/>
  <c r="Q1737" i="34"/>
  <c r="R1737" i="34"/>
  <c r="S1737" i="34"/>
  <c r="T1737" i="34"/>
  <c r="U1737" i="34"/>
  <c r="V1737" i="34"/>
  <c r="W1737" i="34"/>
  <c r="X1737" i="34"/>
  <c r="Y1737" i="34"/>
  <c r="N1738" i="34"/>
  <c r="B1738" i="34"/>
  <c r="O1738" i="34"/>
  <c r="P1738" i="34"/>
  <c r="Q1738" i="34"/>
  <c r="R1738" i="34"/>
  <c r="S1738" i="34"/>
  <c r="T1738" i="34"/>
  <c r="U1738" i="34"/>
  <c r="V1738" i="34"/>
  <c r="W1738" i="34"/>
  <c r="X1738" i="34"/>
  <c r="Y1738" i="34"/>
  <c r="N1739" i="34"/>
  <c r="C1739" i="34"/>
  <c r="B1739" i="34"/>
  <c r="O1739" i="34"/>
  <c r="P1739" i="34"/>
  <c r="Q1739" i="34"/>
  <c r="R1739" i="34"/>
  <c r="S1739" i="34"/>
  <c r="T1739" i="34"/>
  <c r="U1739" i="34"/>
  <c r="V1739" i="34"/>
  <c r="W1739" i="34"/>
  <c r="X1739" i="34"/>
  <c r="Y1739" i="34"/>
  <c r="N1740" i="34"/>
  <c r="C1740" i="34"/>
  <c r="B1740" i="34"/>
  <c r="O1740" i="34"/>
  <c r="P1740" i="34"/>
  <c r="Q1740" i="34"/>
  <c r="R1740" i="34"/>
  <c r="S1740" i="34"/>
  <c r="T1740" i="34"/>
  <c r="U1740" i="34"/>
  <c r="V1740" i="34"/>
  <c r="W1740" i="34"/>
  <c r="X1740" i="34"/>
  <c r="Y1740" i="34"/>
  <c r="N1741" i="34"/>
  <c r="B1741" i="34"/>
  <c r="O1741" i="34"/>
  <c r="P1741" i="34"/>
  <c r="Q1741" i="34"/>
  <c r="R1741" i="34"/>
  <c r="S1741" i="34"/>
  <c r="T1741" i="34"/>
  <c r="U1741" i="34"/>
  <c r="V1741" i="34"/>
  <c r="W1741" i="34"/>
  <c r="X1741" i="34"/>
  <c r="Y1741" i="34"/>
  <c r="N1742" i="34"/>
  <c r="B1742" i="34"/>
  <c r="O1742" i="34"/>
  <c r="P1742" i="34"/>
  <c r="Q1742" i="34"/>
  <c r="R1742" i="34"/>
  <c r="S1742" i="34"/>
  <c r="T1742" i="34"/>
  <c r="U1742" i="34"/>
  <c r="V1742" i="34"/>
  <c r="W1742" i="34"/>
  <c r="X1742" i="34"/>
  <c r="Y1742" i="34"/>
  <c r="N1743" i="34"/>
  <c r="B1743" i="34"/>
  <c r="O1743" i="34"/>
  <c r="P1743" i="34"/>
  <c r="Q1743" i="34"/>
  <c r="R1743" i="34"/>
  <c r="S1743" i="34"/>
  <c r="T1743" i="34"/>
  <c r="U1743" i="34"/>
  <c r="V1743" i="34"/>
  <c r="W1743" i="34"/>
  <c r="X1743" i="34"/>
  <c r="Y1743" i="34"/>
  <c r="N1744" i="34"/>
  <c r="B1744" i="34"/>
  <c r="O1744" i="34"/>
  <c r="P1744" i="34"/>
  <c r="Q1744" i="34"/>
  <c r="R1744" i="34"/>
  <c r="S1744" i="34"/>
  <c r="T1744" i="34"/>
  <c r="U1744" i="34"/>
  <c r="V1744" i="34"/>
  <c r="W1744" i="34"/>
  <c r="X1744" i="34"/>
  <c r="Y1744" i="34"/>
  <c r="N1745" i="34"/>
  <c r="B1745" i="34"/>
  <c r="O1745" i="34"/>
  <c r="P1745" i="34"/>
  <c r="Q1745" i="34"/>
  <c r="R1745" i="34"/>
  <c r="S1745" i="34"/>
  <c r="T1745" i="34"/>
  <c r="U1745" i="34"/>
  <c r="V1745" i="34"/>
  <c r="W1745" i="34"/>
  <c r="X1745" i="34"/>
  <c r="Y1745" i="34"/>
  <c r="N1746" i="34"/>
  <c r="C1746" i="34"/>
  <c r="B1746" i="34"/>
  <c r="O1746" i="34"/>
  <c r="P1746" i="34"/>
  <c r="Q1746" i="34"/>
  <c r="R1746" i="34"/>
  <c r="S1746" i="34"/>
  <c r="T1746" i="34"/>
  <c r="U1746" i="34"/>
  <c r="V1746" i="34"/>
  <c r="W1746" i="34"/>
  <c r="X1746" i="34"/>
  <c r="Y1746" i="34"/>
  <c r="N1747" i="34"/>
  <c r="C1747" i="34"/>
  <c r="B1747" i="34"/>
  <c r="O1747" i="34"/>
  <c r="P1747" i="34"/>
  <c r="Q1747" i="34"/>
  <c r="R1747" i="34"/>
  <c r="S1747" i="34"/>
  <c r="T1747" i="34"/>
  <c r="U1747" i="34"/>
  <c r="V1747" i="34"/>
  <c r="W1747" i="34"/>
  <c r="X1747" i="34"/>
  <c r="Y1747" i="34"/>
  <c r="N1748" i="34"/>
  <c r="C1748" i="34"/>
  <c r="B1748" i="34"/>
  <c r="O1748" i="34"/>
  <c r="P1748" i="34"/>
  <c r="Q1748" i="34"/>
  <c r="R1748" i="34"/>
  <c r="S1748" i="34"/>
  <c r="T1748" i="34"/>
  <c r="U1748" i="34"/>
  <c r="V1748" i="34"/>
  <c r="W1748" i="34"/>
  <c r="X1748" i="34"/>
  <c r="Y1748" i="34"/>
  <c r="N1749" i="34"/>
  <c r="C1749" i="34"/>
  <c r="B1749" i="34"/>
  <c r="O1749" i="34"/>
  <c r="P1749" i="34"/>
  <c r="Q1749" i="34"/>
  <c r="R1749" i="34"/>
  <c r="S1749" i="34"/>
  <c r="T1749" i="34"/>
  <c r="U1749" i="34"/>
  <c r="V1749" i="34"/>
  <c r="W1749" i="34"/>
  <c r="X1749" i="34"/>
  <c r="Y1749" i="34"/>
  <c r="N1750" i="34"/>
  <c r="C1750" i="34"/>
  <c r="B1750" i="34"/>
  <c r="O1750" i="34"/>
  <c r="P1750" i="34"/>
  <c r="Q1750" i="34"/>
  <c r="R1750" i="34"/>
  <c r="S1750" i="34"/>
  <c r="T1750" i="34"/>
  <c r="U1750" i="34"/>
  <c r="V1750" i="34"/>
  <c r="W1750" i="34"/>
  <c r="X1750" i="34"/>
  <c r="Y1750" i="34"/>
  <c r="N1751" i="34"/>
  <c r="C1751" i="34"/>
  <c r="B1751" i="34"/>
  <c r="O1751" i="34"/>
  <c r="P1751" i="34"/>
  <c r="Q1751" i="34"/>
  <c r="R1751" i="34"/>
  <c r="S1751" i="34"/>
  <c r="T1751" i="34"/>
  <c r="U1751" i="34"/>
  <c r="V1751" i="34"/>
  <c r="W1751" i="34"/>
  <c r="X1751" i="34"/>
  <c r="Y1751" i="34"/>
  <c r="N1752" i="34"/>
  <c r="C1752" i="34"/>
  <c r="B1752" i="34"/>
  <c r="O1752" i="34"/>
  <c r="P1752" i="34"/>
  <c r="Q1752" i="34"/>
  <c r="R1752" i="34"/>
  <c r="S1752" i="34"/>
  <c r="T1752" i="34"/>
  <c r="U1752" i="34"/>
  <c r="V1752" i="34"/>
  <c r="W1752" i="34"/>
  <c r="X1752" i="34"/>
  <c r="Y1752" i="34"/>
  <c r="N1753" i="34"/>
  <c r="C1753" i="34"/>
  <c r="B1753" i="34"/>
  <c r="O1753" i="34"/>
  <c r="P1753" i="34"/>
  <c r="Q1753" i="34"/>
  <c r="R1753" i="34"/>
  <c r="S1753" i="34"/>
  <c r="T1753" i="34"/>
  <c r="U1753" i="34"/>
  <c r="V1753" i="34"/>
  <c r="W1753" i="34"/>
  <c r="X1753" i="34"/>
  <c r="Y1753" i="34"/>
  <c r="N1754" i="34"/>
  <c r="C1754" i="34"/>
  <c r="B1754" i="34"/>
  <c r="O1754" i="34"/>
  <c r="P1754" i="34"/>
  <c r="Q1754" i="34"/>
  <c r="R1754" i="34"/>
  <c r="S1754" i="34"/>
  <c r="T1754" i="34"/>
  <c r="U1754" i="34"/>
  <c r="V1754" i="34"/>
  <c r="W1754" i="34"/>
  <c r="X1754" i="34"/>
  <c r="Y1754" i="34"/>
  <c r="N1755" i="34"/>
  <c r="C1755" i="34"/>
  <c r="B1755" i="34"/>
  <c r="O1755" i="34"/>
  <c r="P1755" i="34"/>
  <c r="Q1755" i="34"/>
  <c r="R1755" i="34"/>
  <c r="S1755" i="34"/>
  <c r="T1755" i="34"/>
  <c r="U1755" i="34"/>
  <c r="V1755" i="34"/>
  <c r="W1755" i="34"/>
  <c r="X1755" i="34"/>
  <c r="Y1755" i="34"/>
  <c r="N1756" i="34"/>
  <c r="C1756" i="34"/>
  <c r="B1756" i="34"/>
  <c r="O1756" i="34"/>
  <c r="P1756" i="34"/>
  <c r="Q1756" i="34"/>
  <c r="R1756" i="34"/>
  <c r="S1756" i="34"/>
  <c r="T1756" i="34"/>
  <c r="U1756" i="34"/>
  <c r="V1756" i="34"/>
  <c r="W1756" i="34"/>
  <c r="X1756" i="34"/>
  <c r="Y1756" i="34"/>
  <c r="N1757" i="34"/>
  <c r="C1757" i="34"/>
  <c r="B1757" i="34"/>
  <c r="O1757" i="34"/>
  <c r="P1757" i="34"/>
  <c r="Q1757" i="34"/>
  <c r="R1757" i="34"/>
  <c r="S1757" i="34"/>
  <c r="T1757" i="34"/>
  <c r="U1757" i="34"/>
  <c r="V1757" i="34"/>
  <c r="W1757" i="34"/>
  <c r="X1757" i="34"/>
  <c r="Y1757" i="34"/>
  <c r="N1758" i="34"/>
  <c r="C1758" i="34"/>
  <c r="B1758" i="34"/>
  <c r="O1758" i="34"/>
  <c r="P1758" i="34"/>
  <c r="Q1758" i="34"/>
  <c r="R1758" i="34"/>
  <c r="S1758" i="34"/>
  <c r="T1758" i="34"/>
  <c r="U1758" i="34"/>
  <c r="V1758" i="34"/>
  <c r="W1758" i="34"/>
  <c r="X1758" i="34"/>
  <c r="Y1758" i="34"/>
  <c r="N1759" i="34"/>
  <c r="C1759" i="34"/>
  <c r="B1759" i="34"/>
  <c r="O1759" i="34"/>
  <c r="P1759" i="34"/>
  <c r="Q1759" i="34"/>
  <c r="R1759" i="34"/>
  <c r="S1759" i="34"/>
  <c r="T1759" i="34"/>
  <c r="U1759" i="34"/>
  <c r="V1759" i="34"/>
  <c r="W1759" i="34"/>
  <c r="X1759" i="34"/>
  <c r="Y1759" i="34"/>
  <c r="N1760" i="34"/>
  <c r="C1760" i="34"/>
  <c r="B1760" i="34"/>
  <c r="O1760" i="34"/>
  <c r="P1760" i="34"/>
  <c r="Q1760" i="34"/>
  <c r="R1760" i="34"/>
  <c r="S1760" i="34"/>
  <c r="T1760" i="34"/>
  <c r="U1760" i="34"/>
  <c r="V1760" i="34"/>
  <c r="W1760" i="34"/>
  <c r="X1760" i="34"/>
  <c r="Y1760" i="34"/>
  <c r="N1761" i="34"/>
  <c r="C1761" i="34"/>
  <c r="B1761" i="34"/>
  <c r="O1761" i="34"/>
  <c r="P1761" i="34"/>
  <c r="Q1761" i="34"/>
  <c r="R1761" i="34"/>
  <c r="S1761" i="34"/>
  <c r="T1761" i="34"/>
  <c r="U1761" i="34"/>
  <c r="V1761" i="34"/>
  <c r="W1761" i="34"/>
  <c r="X1761" i="34"/>
  <c r="Y1761" i="34"/>
  <c r="N1762" i="34"/>
  <c r="C1762" i="34"/>
  <c r="B1762" i="34"/>
  <c r="O1762" i="34"/>
  <c r="P1762" i="34"/>
  <c r="Q1762" i="34"/>
  <c r="R1762" i="34"/>
  <c r="S1762" i="34"/>
  <c r="T1762" i="34"/>
  <c r="U1762" i="34"/>
  <c r="V1762" i="34"/>
  <c r="W1762" i="34"/>
  <c r="X1762" i="34"/>
  <c r="Y1762" i="34"/>
  <c r="N1763" i="34"/>
  <c r="C1763" i="34"/>
  <c r="B1763" i="34"/>
  <c r="O1763" i="34"/>
  <c r="P1763" i="34"/>
  <c r="Q1763" i="34"/>
  <c r="R1763" i="34"/>
  <c r="S1763" i="34"/>
  <c r="T1763" i="34"/>
  <c r="U1763" i="34"/>
  <c r="V1763" i="34"/>
  <c r="W1763" i="34"/>
  <c r="X1763" i="34"/>
  <c r="Y1763" i="34"/>
  <c r="N1764" i="34"/>
  <c r="C1764" i="34"/>
  <c r="B1764" i="34"/>
  <c r="O1764" i="34"/>
  <c r="P1764" i="34"/>
  <c r="Q1764" i="34"/>
  <c r="R1764" i="34"/>
  <c r="S1764" i="34"/>
  <c r="T1764" i="34"/>
  <c r="U1764" i="34"/>
  <c r="V1764" i="34"/>
  <c r="W1764" i="34"/>
  <c r="X1764" i="34"/>
  <c r="Y1764" i="34"/>
  <c r="N1765" i="34"/>
  <c r="B1765" i="34"/>
  <c r="O1765" i="34"/>
  <c r="P1765" i="34"/>
  <c r="Q1765" i="34"/>
  <c r="R1765" i="34"/>
  <c r="S1765" i="34"/>
  <c r="T1765" i="34"/>
  <c r="U1765" i="34"/>
  <c r="V1765" i="34"/>
  <c r="W1765" i="34"/>
  <c r="X1765" i="34"/>
  <c r="Y1765" i="34"/>
  <c r="N1766" i="34"/>
  <c r="B1766" i="34"/>
  <c r="O1766" i="34"/>
  <c r="P1766" i="34"/>
  <c r="Q1766" i="34"/>
  <c r="R1766" i="34"/>
  <c r="S1766" i="34"/>
  <c r="T1766" i="34"/>
  <c r="U1766" i="34"/>
  <c r="V1766" i="34"/>
  <c r="W1766" i="34"/>
  <c r="X1766" i="34"/>
  <c r="Y1766" i="34"/>
  <c r="N1767" i="34"/>
  <c r="B1767" i="34"/>
  <c r="O1767" i="34"/>
  <c r="P1767" i="34"/>
  <c r="Q1767" i="34"/>
  <c r="R1767" i="34"/>
  <c r="S1767" i="34"/>
  <c r="T1767" i="34"/>
  <c r="U1767" i="34"/>
  <c r="V1767" i="34"/>
  <c r="W1767" i="34"/>
  <c r="X1767" i="34"/>
  <c r="Y1767" i="34"/>
  <c r="N1768" i="34"/>
  <c r="C1768" i="34"/>
  <c r="B1768" i="34"/>
  <c r="O1768" i="34"/>
  <c r="P1768" i="34"/>
  <c r="Q1768" i="34"/>
  <c r="R1768" i="34"/>
  <c r="S1768" i="34"/>
  <c r="T1768" i="34"/>
  <c r="U1768" i="34"/>
  <c r="V1768" i="34"/>
  <c r="W1768" i="34"/>
  <c r="X1768" i="34"/>
  <c r="Y1768" i="34"/>
  <c r="N1769" i="34"/>
  <c r="C1769" i="34"/>
  <c r="B1769" i="34"/>
  <c r="O1769" i="34"/>
  <c r="P1769" i="34"/>
  <c r="Q1769" i="34"/>
  <c r="R1769" i="34"/>
  <c r="S1769" i="34"/>
  <c r="T1769" i="34"/>
  <c r="U1769" i="34"/>
  <c r="V1769" i="34"/>
  <c r="W1769" i="34"/>
  <c r="X1769" i="34"/>
  <c r="Y1769" i="34"/>
  <c r="N1770" i="34"/>
  <c r="C1770" i="34"/>
  <c r="B1770" i="34"/>
  <c r="O1770" i="34"/>
  <c r="P1770" i="34"/>
  <c r="Q1770" i="34"/>
  <c r="R1770" i="34"/>
  <c r="S1770" i="34"/>
  <c r="T1770" i="34"/>
  <c r="U1770" i="34"/>
  <c r="V1770" i="34"/>
  <c r="W1770" i="34"/>
  <c r="X1770" i="34"/>
  <c r="Y1770" i="34"/>
  <c r="N1771" i="34"/>
  <c r="C1771" i="34"/>
  <c r="B1771" i="34"/>
  <c r="O1771" i="34"/>
  <c r="P1771" i="34"/>
  <c r="Q1771" i="34"/>
  <c r="R1771" i="34"/>
  <c r="S1771" i="34"/>
  <c r="T1771" i="34"/>
  <c r="U1771" i="34"/>
  <c r="V1771" i="34"/>
  <c r="W1771" i="34"/>
  <c r="X1771" i="34"/>
  <c r="Y1771" i="34"/>
  <c r="N1772" i="34"/>
  <c r="C1772" i="34"/>
  <c r="B1772" i="34"/>
  <c r="O1772" i="34"/>
  <c r="P1772" i="34"/>
  <c r="Q1772" i="34"/>
  <c r="R1772" i="34"/>
  <c r="S1772" i="34"/>
  <c r="T1772" i="34"/>
  <c r="U1772" i="34"/>
  <c r="V1772" i="34"/>
  <c r="W1772" i="34"/>
  <c r="X1772" i="34"/>
  <c r="Y1772" i="34"/>
  <c r="N1773" i="34"/>
  <c r="C1773" i="34"/>
  <c r="B1773" i="34"/>
  <c r="O1773" i="34"/>
  <c r="P1773" i="34"/>
  <c r="Q1773" i="34"/>
  <c r="R1773" i="34"/>
  <c r="S1773" i="34"/>
  <c r="T1773" i="34"/>
  <c r="U1773" i="34"/>
  <c r="V1773" i="34"/>
  <c r="W1773" i="34"/>
  <c r="X1773" i="34"/>
  <c r="Y1773" i="34"/>
  <c r="N1774" i="34"/>
  <c r="C1774" i="34"/>
  <c r="B1774" i="34"/>
  <c r="O1774" i="34"/>
  <c r="P1774" i="34"/>
  <c r="Q1774" i="34"/>
  <c r="R1774" i="34"/>
  <c r="S1774" i="34"/>
  <c r="T1774" i="34"/>
  <c r="U1774" i="34"/>
  <c r="V1774" i="34"/>
  <c r="W1774" i="34"/>
  <c r="X1774" i="34"/>
  <c r="Y1774" i="34"/>
  <c r="N1775" i="34"/>
  <c r="C1775" i="34"/>
  <c r="B1775" i="34"/>
  <c r="O1775" i="34"/>
  <c r="P1775" i="34"/>
  <c r="Q1775" i="34"/>
  <c r="R1775" i="34"/>
  <c r="S1775" i="34"/>
  <c r="T1775" i="34"/>
  <c r="U1775" i="34"/>
  <c r="V1775" i="34"/>
  <c r="W1775" i="34"/>
  <c r="X1775" i="34"/>
  <c r="Y1775" i="34"/>
  <c r="N1776" i="34"/>
  <c r="C1776" i="34"/>
  <c r="B1776" i="34"/>
  <c r="O1776" i="34"/>
  <c r="P1776" i="34"/>
  <c r="Q1776" i="34"/>
  <c r="R1776" i="34"/>
  <c r="S1776" i="34"/>
  <c r="T1776" i="34"/>
  <c r="U1776" i="34"/>
  <c r="V1776" i="34"/>
  <c r="W1776" i="34"/>
  <c r="X1776" i="34"/>
  <c r="Y1776" i="34"/>
  <c r="N1777" i="34"/>
  <c r="C1777" i="34"/>
  <c r="B1777" i="34"/>
  <c r="O1777" i="34"/>
  <c r="P1777" i="34"/>
  <c r="Q1777" i="34"/>
  <c r="R1777" i="34"/>
  <c r="S1777" i="34"/>
  <c r="T1777" i="34"/>
  <c r="U1777" i="34"/>
  <c r="V1777" i="34"/>
  <c r="W1777" i="34"/>
  <c r="X1777" i="34"/>
  <c r="Y1777" i="34"/>
  <c r="N1778" i="34"/>
  <c r="C1778" i="34"/>
  <c r="B1778" i="34"/>
  <c r="O1778" i="34"/>
  <c r="P1778" i="34"/>
  <c r="Q1778" i="34"/>
  <c r="R1778" i="34"/>
  <c r="S1778" i="34"/>
  <c r="T1778" i="34"/>
  <c r="U1778" i="34"/>
  <c r="V1778" i="34"/>
  <c r="W1778" i="34"/>
  <c r="X1778" i="34"/>
  <c r="Y1778" i="34"/>
  <c r="N1779" i="34"/>
  <c r="C1779" i="34"/>
  <c r="B1779" i="34"/>
  <c r="O1779" i="34"/>
  <c r="P1779" i="34"/>
  <c r="Q1779" i="34"/>
  <c r="R1779" i="34"/>
  <c r="S1779" i="34"/>
  <c r="T1779" i="34"/>
  <c r="U1779" i="34"/>
  <c r="V1779" i="34"/>
  <c r="W1779" i="34"/>
  <c r="X1779" i="34"/>
  <c r="Y1779" i="34"/>
  <c r="N1780" i="34"/>
  <c r="C1780" i="34"/>
  <c r="B1780" i="34"/>
  <c r="O1780" i="34"/>
  <c r="P1780" i="34"/>
  <c r="Q1780" i="34"/>
  <c r="R1780" i="34"/>
  <c r="S1780" i="34"/>
  <c r="T1780" i="34"/>
  <c r="U1780" i="34"/>
  <c r="V1780" i="34"/>
  <c r="W1780" i="34"/>
  <c r="X1780" i="34"/>
  <c r="Y1780" i="34"/>
  <c r="N1781" i="34"/>
  <c r="C1781" i="34"/>
  <c r="B1781" i="34"/>
  <c r="O1781" i="34"/>
  <c r="P1781" i="34"/>
  <c r="Q1781" i="34"/>
  <c r="R1781" i="34"/>
  <c r="S1781" i="34"/>
  <c r="T1781" i="34"/>
  <c r="U1781" i="34"/>
  <c r="V1781" i="34"/>
  <c r="W1781" i="34"/>
  <c r="X1781" i="34"/>
  <c r="Y1781" i="34"/>
  <c r="N1782" i="34"/>
  <c r="C1782" i="34"/>
  <c r="B1782" i="34"/>
  <c r="O1782" i="34"/>
  <c r="P1782" i="34"/>
  <c r="Q1782" i="34"/>
  <c r="R1782" i="34"/>
  <c r="S1782" i="34"/>
  <c r="T1782" i="34"/>
  <c r="U1782" i="34"/>
  <c r="V1782" i="34"/>
  <c r="W1782" i="34"/>
  <c r="X1782" i="34"/>
  <c r="Y1782" i="34"/>
  <c r="N1783" i="34"/>
  <c r="C1783" i="34"/>
  <c r="B1783" i="34"/>
  <c r="O1783" i="34"/>
  <c r="P1783" i="34"/>
  <c r="Q1783" i="34"/>
  <c r="R1783" i="34"/>
  <c r="S1783" i="34"/>
  <c r="T1783" i="34"/>
  <c r="U1783" i="34"/>
  <c r="V1783" i="34"/>
  <c r="W1783" i="34"/>
  <c r="X1783" i="34"/>
  <c r="Y1783" i="34"/>
  <c r="N1784" i="34"/>
  <c r="C1784" i="34"/>
  <c r="B1784" i="34"/>
  <c r="O1784" i="34"/>
  <c r="P1784" i="34"/>
  <c r="Q1784" i="34"/>
  <c r="R1784" i="34"/>
  <c r="S1784" i="34"/>
  <c r="T1784" i="34"/>
  <c r="U1784" i="34"/>
  <c r="V1784" i="34"/>
  <c r="W1784" i="34"/>
  <c r="X1784" i="34"/>
  <c r="Y1784" i="34"/>
  <c r="N1785" i="34"/>
  <c r="C1785" i="34"/>
  <c r="B1785" i="34"/>
  <c r="O1785" i="34"/>
  <c r="P1785" i="34"/>
  <c r="Q1785" i="34"/>
  <c r="R1785" i="34"/>
  <c r="S1785" i="34"/>
  <c r="T1785" i="34"/>
  <c r="U1785" i="34"/>
  <c r="V1785" i="34"/>
  <c r="W1785" i="34"/>
  <c r="X1785" i="34"/>
  <c r="Y1785" i="34"/>
  <c r="N1786" i="34"/>
  <c r="B1786" i="34"/>
  <c r="O1786" i="34"/>
  <c r="P1786" i="34"/>
  <c r="Q1786" i="34"/>
  <c r="R1786" i="34"/>
  <c r="S1786" i="34"/>
  <c r="T1786" i="34"/>
  <c r="U1786" i="34"/>
  <c r="V1786" i="34"/>
  <c r="W1786" i="34"/>
  <c r="X1786" i="34"/>
  <c r="Y1786" i="34"/>
  <c r="N1787" i="34"/>
  <c r="B1787" i="34"/>
  <c r="O1787" i="34"/>
  <c r="P1787" i="34"/>
  <c r="Q1787" i="34"/>
  <c r="R1787" i="34"/>
  <c r="S1787" i="34"/>
  <c r="T1787" i="34"/>
  <c r="U1787" i="34"/>
  <c r="V1787" i="34"/>
  <c r="W1787" i="34"/>
  <c r="X1787" i="34"/>
  <c r="Y1787" i="34"/>
  <c r="N1788" i="34"/>
  <c r="B1788" i="34"/>
  <c r="O1788" i="34"/>
  <c r="P1788" i="34"/>
  <c r="Q1788" i="34"/>
  <c r="R1788" i="34"/>
  <c r="S1788" i="34"/>
  <c r="T1788" i="34"/>
  <c r="U1788" i="34"/>
  <c r="V1788" i="34"/>
  <c r="W1788" i="34"/>
  <c r="X1788" i="34"/>
  <c r="Y1788" i="34"/>
  <c r="N1789" i="34"/>
  <c r="B1789" i="34"/>
  <c r="O1789" i="34"/>
  <c r="P1789" i="34"/>
  <c r="Q1789" i="34"/>
  <c r="R1789" i="34"/>
  <c r="S1789" i="34"/>
  <c r="T1789" i="34"/>
  <c r="U1789" i="34"/>
  <c r="V1789" i="34"/>
  <c r="W1789" i="34"/>
  <c r="X1789" i="34"/>
  <c r="Y1789" i="34"/>
  <c r="N1790" i="34"/>
  <c r="B1790" i="34"/>
  <c r="O1790" i="34"/>
  <c r="P1790" i="34"/>
  <c r="Q1790" i="34"/>
  <c r="R1790" i="34"/>
  <c r="S1790" i="34"/>
  <c r="T1790" i="34"/>
  <c r="U1790" i="34"/>
  <c r="V1790" i="34"/>
  <c r="W1790" i="34"/>
  <c r="X1790" i="34"/>
  <c r="Y1790" i="34"/>
  <c r="N1791" i="34"/>
  <c r="B1791" i="34"/>
  <c r="O1791" i="34"/>
  <c r="P1791" i="34"/>
  <c r="Q1791" i="34"/>
  <c r="R1791" i="34"/>
  <c r="S1791" i="34"/>
  <c r="T1791" i="34"/>
  <c r="U1791" i="34"/>
  <c r="V1791" i="34"/>
  <c r="W1791" i="34"/>
  <c r="X1791" i="34"/>
  <c r="Y1791" i="34"/>
  <c r="N1792" i="34"/>
  <c r="B1792" i="34"/>
  <c r="O1792" i="34"/>
  <c r="P1792" i="34"/>
  <c r="Q1792" i="34"/>
  <c r="R1792" i="34"/>
  <c r="S1792" i="34"/>
  <c r="T1792" i="34"/>
  <c r="U1792" i="34"/>
  <c r="V1792" i="34"/>
  <c r="W1792" i="34"/>
  <c r="X1792" i="34"/>
  <c r="Y1792" i="34"/>
  <c r="N1793" i="34"/>
  <c r="B1793" i="34"/>
  <c r="O1793" i="34"/>
  <c r="P1793" i="34"/>
  <c r="Q1793" i="34"/>
  <c r="R1793" i="34"/>
  <c r="S1793" i="34"/>
  <c r="T1793" i="34"/>
  <c r="U1793" i="34"/>
  <c r="V1793" i="34"/>
  <c r="W1793" i="34"/>
  <c r="X1793" i="34"/>
  <c r="Y1793" i="34"/>
  <c r="N1794" i="34"/>
  <c r="B1794" i="34"/>
  <c r="O1794" i="34"/>
  <c r="P1794" i="34"/>
  <c r="Q1794" i="34"/>
  <c r="R1794" i="34"/>
  <c r="S1794" i="34"/>
  <c r="T1794" i="34"/>
  <c r="U1794" i="34"/>
  <c r="V1794" i="34"/>
  <c r="W1794" i="34"/>
  <c r="X1794" i="34"/>
  <c r="Y1794" i="34"/>
  <c r="N1795" i="34"/>
  <c r="B1795" i="34"/>
  <c r="O1795" i="34"/>
  <c r="P1795" i="34"/>
  <c r="Q1795" i="34"/>
  <c r="R1795" i="34"/>
  <c r="S1795" i="34"/>
  <c r="T1795" i="34"/>
  <c r="U1795" i="34"/>
  <c r="V1795" i="34"/>
  <c r="W1795" i="34"/>
  <c r="X1795" i="34"/>
  <c r="Y1795" i="34"/>
  <c r="N1796" i="34"/>
  <c r="B1796" i="34"/>
  <c r="O1796" i="34"/>
  <c r="P1796" i="34"/>
  <c r="Q1796" i="34"/>
  <c r="R1796" i="34"/>
  <c r="S1796" i="34"/>
  <c r="T1796" i="34"/>
  <c r="U1796" i="34"/>
  <c r="V1796" i="34"/>
  <c r="W1796" i="34"/>
  <c r="X1796" i="34"/>
  <c r="Y1796" i="34"/>
  <c r="N1797" i="34"/>
  <c r="B1797" i="34"/>
  <c r="O1797" i="34"/>
  <c r="P1797" i="34"/>
  <c r="Q1797" i="34"/>
  <c r="R1797" i="34"/>
  <c r="S1797" i="34"/>
  <c r="T1797" i="34"/>
  <c r="U1797" i="34"/>
  <c r="V1797" i="34"/>
  <c r="W1797" i="34"/>
  <c r="X1797" i="34"/>
  <c r="Y1797" i="34"/>
  <c r="N1798" i="34"/>
  <c r="B1798" i="34"/>
  <c r="O1798" i="34"/>
  <c r="P1798" i="34"/>
  <c r="Q1798" i="34"/>
  <c r="R1798" i="34"/>
  <c r="S1798" i="34"/>
  <c r="T1798" i="34"/>
  <c r="U1798" i="34"/>
  <c r="V1798" i="34"/>
  <c r="W1798" i="34"/>
  <c r="X1798" i="34"/>
  <c r="Y1798" i="34"/>
  <c r="N1799" i="34"/>
  <c r="C1799" i="34"/>
  <c r="B1799" i="34"/>
  <c r="O1799" i="34"/>
  <c r="P1799" i="34"/>
  <c r="Q1799" i="34"/>
  <c r="R1799" i="34"/>
  <c r="S1799" i="34"/>
  <c r="T1799" i="34"/>
  <c r="U1799" i="34"/>
  <c r="V1799" i="34"/>
  <c r="W1799" i="34"/>
  <c r="X1799" i="34"/>
  <c r="Y1799" i="34"/>
  <c r="N1800" i="34"/>
  <c r="C1800" i="34"/>
  <c r="B1800" i="34"/>
  <c r="O1800" i="34"/>
  <c r="P1800" i="34"/>
  <c r="Q1800" i="34"/>
  <c r="R1800" i="34"/>
  <c r="S1800" i="34"/>
  <c r="T1800" i="34"/>
  <c r="U1800" i="34"/>
  <c r="V1800" i="34"/>
  <c r="W1800" i="34"/>
  <c r="X1800" i="34"/>
  <c r="Y1800" i="34"/>
  <c r="N1801" i="34"/>
  <c r="C1801" i="34"/>
  <c r="B1801" i="34"/>
  <c r="O1801" i="34"/>
  <c r="P1801" i="34"/>
  <c r="Q1801" i="34"/>
  <c r="R1801" i="34"/>
  <c r="S1801" i="34"/>
  <c r="T1801" i="34"/>
  <c r="U1801" i="34"/>
  <c r="V1801" i="34"/>
  <c r="W1801" i="34"/>
  <c r="X1801" i="34"/>
  <c r="Y1801" i="34"/>
  <c r="N1802" i="34"/>
  <c r="C1802" i="34"/>
  <c r="B1802" i="34"/>
  <c r="O1802" i="34"/>
  <c r="P1802" i="34"/>
  <c r="Q1802" i="34"/>
  <c r="R1802" i="34"/>
  <c r="S1802" i="34"/>
  <c r="T1802" i="34"/>
  <c r="U1802" i="34"/>
  <c r="V1802" i="34"/>
  <c r="W1802" i="34"/>
  <c r="X1802" i="34"/>
  <c r="Y1802" i="34"/>
  <c r="N1803" i="34"/>
  <c r="C1803" i="34"/>
  <c r="B1803" i="34"/>
  <c r="O1803" i="34"/>
  <c r="P1803" i="34"/>
  <c r="Q1803" i="34"/>
  <c r="R1803" i="34"/>
  <c r="S1803" i="34"/>
  <c r="T1803" i="34"/>
  <c r="U1803" i="34"/>
  <c r="V1803" i="34"/>
  <c r="W1803" i="34"/>
  <c r="X1803" i="34"/>
  <c r="Y1803" i="34"/>
  <c r="N1804" i="34"/>
  <c r="C1804" i="34"/>
  <c r="B1804" i="34"/>
  <c r="O1804" i="34"/>
  <c r="P1804" i="34"/>
  <c r="Q1804" i="34"/>
  <c r="R1804" i="34"/>
  <c r="S1804" i="34"/>
  <c r="T1804" i="34"/>
  <c r="U1804" i="34"/>
  <c r="V1804" i="34"/>
  <c r="W1804" i="34"/>
  <c r="X1804" i="34"/>
  <c r="Y1804" i="34"/>
  <c r="N1805" i="34"/>
  <c r="C1805" i="34"/>
  <c r="B1805" i="34"/>
  <c r="O1805" i="34"/>
  <c r="P1805" i="34"/>
  <c r="Q1805" i="34"/>
  <c r="R1805" i="34"/>
  <c r="S1805" i="34"/>
  <c r="T1805" i="34"/>
  <c r="U1805" i="34"/>
  <c r="V1805" i="34"/>
  <c r="W1805" i="34"/>
  <c r="X1805" i="34"/>
  <c r="Y1805" i="34"/>
  <c r="N1806" i="34"/>
  <c r="C1806" i="34"/>
  <c r="B1806" i="34"/>
  <c r="O1806" i="34"/>
  <c r="P1806" i="34"/>
  <c r="Q1806" i="34"/>
  <c r="R1806" i="34"/>
  <c r="S1806" i="34"/>
  <c r="T1806" i="34"/>
  <c r="U1806" i="34"/>
  <c r="V1806" i="34"/>
  <c r="W1806" i="34"/>
  <c r="X1806" i="34"/>
  <c r="Y1806" i="34"/>
  <c r="N1807" i="34"/>
  <c r="C1807" i="34"/>
  <c r="B1807" i="34"/>
  <c r="O1807" i="34"/>
  <c r="P1807" i="34"/>
  <c r="Q1807" i="34"/>
  <c r="R1807" i="34"/>
  <c r="S1807" i="34"/>
  <c r="T1807" i="34"/>
  <c r="U1807" i="34"/>
  <c r="V1807" i="34"/>
  <c r="W1807" i="34"/>
  <c r="X1807" i="34"/>
  <c r="Y1807" i="34"/>
  <c r="N1808" i="34"/>
  <c r="C1808" i="34"/>
  <c r="B1808" i="34"/>
  <c r="O1808" i="34"/>
  <c r="P1808" i="34"/>
  <c r="Q1808" i="34"/>
  <c r="R1808" i="34"/>
  <c r="S1808" i="34"/>
  <c r="T1808" i="34"/>
  <c r="U1808" i="34"/>
  <c r="V1808" i="34"/>
  <c r="W1808" i="34"/>
  <c r="X1808" i="34"/>
  <c r="Y1808" i="34"/>
  <c r="N1809" i="34"/>
  <c r="C1809" i="34"/>
  <c r="B1809" i="34"/>
  <c r="O1809" i="34"/>
  <c r="P1809" i="34"/>
  <c r="Q1809" i="34"/>
  <c r="R1809" i="34"/>
  <c r="S1809" i="34"/>
  <c r="T1809" i="34"/>
  <c r="U1809" i="34"/>
  <c r="V1809" i="34"/>
  <c r="W1809" i="34"/>
  <c r="X1809" i="34"/>
  <c r="Y1809" i="34"/>
  <c r="N1810" i="34"/>
  <c r="C1810" i="34"/>
  <c r="B1810" i="34"/>
  <c r="O1810" i="34"/>
  <c r="P1810" i="34"/>
  <c r="Q1810" i="34"/>
  <c r="R1810" i="34"/>
  <c r="S1810" i="34"/>
  <c r="T1810" i="34"/>
  <c r="U1810" i="34"/>
  <c r="V1810" i="34"/>
  <c r="W1810" i="34"/>
  <c r="X1810" i="34"/>
  <c r="Y1810" i="34"/>
  <c r="N1811" i="34"/>
  <c r="C1811" i="34"/>
  <c r="B1811" i="34"/>
  <c r="O1811" i="34"/>
  <c r="P1811" i="34"/>
  <c r="Q1811" i="34"/>
  <c r="R1811" i="34"/>
  <c r="S1811" i="34"/>
  <c r="T1811" i="34"/>
  <c r="U1811" i="34"/>
  <c r="V1811" i="34"/>
  <c r="W1811" i="34"/>
  <c r="X1811" i="34"/>
  <c r="Y1811" i="34"/>
  <c r="N1812" i="34"/>
  <c r="C1812" i="34"/>
  <c r="B1812" i="34"/>
  <c r="O1812" i="34"/>
  <c r="P1812" i="34"/>
  <c r="Q1812" i="34"/>
  <c r="R1812" i="34"/>
  <c r="S1812" i="34"/>
  <c r="T1812" i="34"/>
  <c r="U1812" i="34"/>
  <c r="V1812" i="34"/>
  <c r="W1812" i="34"/>
  <c r="X1812" i="34"/>
  <c r="Y1812" i="34"/>
  <c r="N1813" i="34"/>
  <c r="C1813" i="34"/>
  <c r="B1813" i="34"/>
  <c r="O1813" i="34"/>
  <c r="P1813" i="34"/>
  <c r="Q1813" i="34"/>
  <c r="R1813" i="34"/>
  <c r="S1813" i="34"/>
  <c r="T1813" i="34"/>
  <c r="U1813" i="34"/>
  <c r="V1813" i="34"/>
  <c r="W1813" i="34"/>
  <c r="X1813" i="34"/>
  <c r="Y1813" i="34"/>
  <c r="N1814" i="34"/>
  <c r="C1814" i="34"/>
  <c r="B1814" i="34"/>
  <c r="O1814" i="34"/>
  <c r="P1814" i="34"/>
  <c r="Q1814" i="34"/>
  <c r="R1814" i="34"/>
  <c r="S1814" i="34"/>
  <c r="T1814" i="34"/>
  <c r="U1814" i="34"/>
  <c r="V1814" i="34"/>
  <c r="W1814" i="34"/>
  <c r="X1814" i="34"/>
  <c r="Y1814" i="34"/>
  <c r="N1815" i="34"/>
  <c r="C1815" i="34"/>
  <c r="B1815" i="34"/>
  <c r="O1815" i="34"/>
  <c r="P1815" i="34"/>
  <c r="Q1815" i="34"/>
  <c r="R1815" i="34"/>
  <c r="S1815" i="34"/>
  <c r="T1815" i="34"/>
  <c r="U1815" i="34"/>
  <c r="V1815" i="34"/>
  <c r="W1815" i="34"/>
  <c r="X1815" i="34"/>
  <c r="Y1815" i="34"/>
  <c r="N1816" i="34"/>
  <c r="C1816" i="34"/>
  <c r="B1816" i="34"/>
  <c r="O1816" i="34"/>
  <c r="P1816" i="34"/>
  <c r="Q1816" i="34"/>
  <c r="R1816" i="34"/>
  <c r="S1816" i="34"/>
  <c r="T1816" i="34"/>
  <c r="U1816" i="34"/>
  <c r="V1816" i="34"/>
  <c r="W1816" i="34"/>
  <c r="X1816" i="34"/>
  <c r="Y1816" i="34"/>
  <c r="N1817" i="34"/>
  <c r="C1817" i="34"/>
  <c r="B1817" i="34"/>
  <c r="O1817" i="34"/>
  <c r="P1817" i="34"/>
  <c r="Q1817" i="34"/>
  <c r="R1817" i="34"/>
  <c r="S1817" i="34"/>
  <c r="T1817" i="34"/>
  <c r="U1817" i="34"/>
  <c r="V1817" i="34"/>
  <c r="W1817" i="34"/>
  <c r="X1817" i="34"/>
  <c r="Y1817" i="34"/>
  <c r="N1818" i="34"/>
  <c r="C1818" i="34"/>
  <c r="B1818" i="34"/>
  <c r="O1818" i="34"/>
  <c r="P1818" i="34"/>
  <c r="Q1818" i="34"/>
  <c r="R1818" i="34"/>
  <c r="S1818" i="34"/>
  <c r="T1818" i="34"/>
  <c r="U1818" i="34"/>
  <c r="V1818" i="34"/>
  <c r="W1818" i="34"/>
  <c r="X1818" i="34"/>
  <c r="Y1818" i="34"/>
  <c r="N1819" i="34"/>
  <c r="C1819" i="34"/>
  <c r="B1819" i="34"/>
  <c r="O1819" i="34"/>
  <c r="P1819" i="34"/>
  <c r="Q1819" i="34"/>
  <c r="R1819" i="34"/>
  <c r="S1819" i="34"/>
  <c r="T1819" i="34"/>
  <c r="U1819" i="34"/>
  <c r="V1819" i="34"/>
  <c r="W1819" i="34"/>
  <c r="X1819" i="34"/>
  <c r="Y1819" i="34"/>
  <c r="N1820" i="34"/>
  <c r="C1820" i="34"/>
  <c r="B1820" i="34"/>
  <c r="O1820" i="34"/>
  <c r="P1820" i="34"/>
  <c r="Q1820" i="34"/>
  <c r="R1820" i="34"/>
  <c r="S1820" i="34"/>
  <c r="T1820" i="34"/>
  <c r="U1820" i="34"/>
  <c r="V1820" i="34"/>
  <c r="W1820" i="34"/>
  <c r="X1820" i="34"/>
  <c r="Y1820" i="34"/>
  <c r="N1821" i="34"/>
  <c r="C1821" i="34"/>
  <c r="B1821" i="34"/>
  <c r="O1821" i="34"/>
  <c r="P1821" i="34"/>
  <c r="Q1821" i="34"/>
  <c r="R1821" i="34"/>
  <c r="S1821" i="34"/>
  <c r="T1821" i="34"/>
  <c r="U1821" i="34"/>
  <c r="V1821" i="34"/>
  <c r="W1821" i="34"/>
  <c r="X1821" i="34"/>
  <c r="Y1821" i="34"/>
  <c r="N1822" i="34"/>
  <c r="C1822" i="34"/>
  <c r="B1822" i="34"/>
  <c r="O1822" i="34"/>
  <c r="P1822" i="34"/>
  <c r="Q1822" i="34"/>
  <c r="R1822" i="34"/>
  <c r="S1822" i="34"/>
  <c r="T1822" i="34"/>
  <c r="U1822" i="34"/>
  <c r="V1822" i="34"/>
  <c r="W1822" i="34"/>
  <c r="X1822" i="34"/>
  <c r="Y1822" i="34"/>
  <c r="N1823" i="34"/>
  <c r="C1823" i="34"/>
  <c r="B1823" i="34"/>
  <c r="O1823" i="34"/>
  <c r="P1823" i="34"/>
  <c r="Q1823" i="34"/>
  <c r="R1823" i="34"/>
  <c r="S1823" i="34"/>
  <c r="T1823" i="34"/>
  <c r="U1823" i="34"/>
  <c r="V1823" i="34"/>
  <c r="W1823" i="34"/>
  <c r="X1823" i="34"/>
  <c r="Y1823" i="34"/>
  <c r="N1824" i="34"/>
  <c r="C1824" i="34"/>
  <c r="B1824" i="34"/>
  <c r="O1824" i="34"/>
  <c r="P1824" i="34"/>
  <c r="Q1824" i="34"/>
  <c r="R1824" i="34"/>
  <c r="S1824" i="34"/>
  <c r="T1824" i="34"/>
  <c r="U1824" i="34"/>
  <c r="V1824" i="34"/>
  <c r="W1824" i="34"/>
  <c r="X1824" i="34"/>
  <c r="Y1824" i="34"/>
  <c r="N1825" i="34"/>
  <c r="C1825" i="34"/>
  <c r="B1825" i="34"/>
  <c r="O1825" i="34"/>
  <c r="P1825" i="34"/>
  <c r="Q1825" i="34"/>
  <c r="R1825" i="34"/>
  <c r="S1825" i="34"/>
  <c r="T1825" i="34"/>
  <c r="U1825" i="34"/>
  <c r="V1825" i="34"/>
  <c r="W1825" i="34"/>
  <c r="X1825" i="34"/>
  <c r="Y1825" i="34"/>
  <c r="N1826" i="34"/>
  <c r="C1826" i="34"/>
  <c r="B1826" i="34"/>
  <c r="O1826" i="34"/>
  <c r="P1826" i="34"/>
  <c r="Q1826" i="34"/>
  <c r="R1826" i="34"/>
  <c r="S1826" i="34"/>
  <c r="T1826" i="34"/>
  <c r="U1826" i="34"/>
  <c r="V1826" i="34"/>
  <c r="W1826" i="34"/>
  <c r="X1826" i="34"/>
  <c r="Y1826" i="34"/>
  <c r="N1827" i="34"/>
  <c r="C1827" i="34"/>
  <c r="B1827" i="34"/>
  <c r="O1827" i="34"/>
  <c r="P1827" i="34"/>
  <c r="Q1827" i="34"/>
  <c r="R1827" i="34"/>
  <c r="S1827" i="34"/>
  <c r="T1827" i="34"/>
  <c r="U1827" i="34"/>
  <c r="V1827" i="34"/>
  <c r="W1827" i="34"/>
  <c r="X1827" i="34"/>
  <c r="Y1827" i="34"/>
  <c r="N1828" i="34"/>
  <c r="C1828" i="34"/>
  <c r="B1828" i="34"/>
  <c r="O1828" i="34"/>
  <c r="P1828" i="34"/>
  <c r="Q1828" i="34"/>
  <c r="R1828" i="34"/>
  <c r="S1828" i="34"/>
  <c r="T1828" i="34"/>
  <c r="U1828" i="34"/>
  <c r="V1828" i="34"/>
  <c r="W1828" i="34"/>
  <c r="X1828" i="34"/>
  <c r="Y1828" i="34"/>
  <c r="N1829" i="34"/>
  <c r="C1829" i="34"/>
  <c r="B1829" i="34"/>
  <c r="O1829" i="34"/>
  <c r="P1829" i="34"/>
  <c r="Q1829" i="34"/>
  <c r="R1829" i="34"/>
  <c r="S1829" i="34"/>
  <c r="T1829" i="34"/>
  <c r="U1829" i="34"/>
  <c r="V1829" i="34"/>
  <c r="W1829" i="34"/>
  <c r="X1829" i="34"/>
  <c r="Y1829" i="34"/>
  <c r="N1830" i="34"/>
  <c r="C1830" i="34"/>
  <c r="B1830" i="34"/>
  <c r="O1830" i="34"/>
  <c r="P1830" i="34"/>
  <c r="Q1830" i="34"/>
  <c r="R1830" i="34"/>
  <c r="S1830" i="34"/>
  <c r="T1830" i="34"/>
  <c r="U1830" i="34"/>
  <c r="V1830" i="34"/>
  <c r="W1830" i="34"/>
  <c r="X1830" i="34"/>
  <c r="Y1830" i="34"/>
  <c r="N1831" i="34"/>
  <c r="C1831" i="34"/>
  <c r="B1831" i="34"/>
  <c r="O1831" i="34"/>
  <c r="P1831" i="34"/>
  <c r="Q1831" i="34"/>
  <c r="R1831" i="34"/>
  <c r="S1831" i="34"/>
  <c r="T1831" i="34"/>
  <c r="U1831" i="34"/>
  <c r="V1831" i="34"/>
  <c r="W1831" i="34"/>
  <c r="X1831" i="34"/>
  <c r="Y1831" i="34"/>
  <c r="N1832" i="34"/>
  <c r="C1832" i="34"/>
  <c r="B1832" i="34"/>
  <c r="O1832" i="34"/>
  <c r="P1832" i="34"/>
  <c r="Q1832" i="34"/>
  <c r="R1832" i="34"/>
  <c r="S1832" i="34"/>
  <c r="T1832" i="34"/>
  <c r="U1832" i="34"/>
  <c r="V1832" i="34"/>
  <c r="W1832" i="34"/>
  <c r="X1832" i="34"/>
  <c r="Y1832" i="34"/>
  <c r="N1833" i="34"/>
  <c r="B1833" i="34"/>
  <c r="O1833" i="34"/>
  <c r="P1833" i="34"/>
  <c r="Q1833" i="34"/>
  <c r="R1833" i="34"/>
  <c r="S1833" i="34"/>
  <c r="T1833" i="34"/>
  <c r="U1833" i="34"/>
  <c r="V1833" i="34"/>
  <c r="W1833" i="34"/>
  <c r="X1833" i="34"/>
  <c r="Y1833" i="34"/>
  <c r="N1834" i="34"/>
  <c r="B1834" i="34"/>
  <c r="O1834" i="34"/>
  <c r="P1834" i="34"/>
  <c r="Q1834" i="34"/>
  <c r="R1834" i="34"/>
  <c r="S1834" i="34"/>
  <c r="T1834" i="34"/>
  <c r="U1834" i="34"/>
  <c r="V1834" i="34"/>
  <c r="W1834" i="34"/>
  <c r="X1834" i="34"/>
  <c r="Y1834" i="34"/>
  <c r="N1835" i="34"/>
  <c r="B1835" i="34"/>
  <c r="O1835" i="34"/>
  <c r="P1835" i="34"/>
  <c r="Q1835" i="34"/>
  <c r="R1835" i="34"/>
  <c r="S1835" i="34"/>
  <c r="T1835" i="34"/>
  <c r="U1835" i="34"/>
  <c r="V1835" i="34"/>
  <c r="W1835" i="34"/>
  <c r="X1835" i="34"/>
  <c r="Y1835" i="34"/>
  <c r="N1836" i="34"/>
  <c r="B1836" i="34"/>
  <c r="O1836" i="34"/>
  <c r="P1836" i="34"/>
  <c r="Q1836" i="34"/>
  <c r="R1836" i="34"/>
  <c r="S1836" i="34"/>
  <c r="T1836" i="34"/>
  <c r="U1836" i="34"/>
  <c r="V1836" i="34"/>
  <c r="W1836" i="34"/>
  <c r="X1836" i="34"/>
  <c r="Y1836" i="34"/>
  <c r="N1837" i="34"/>
  <c r="B1837" i="34"/>
  <c r="O1837" i="34"/>
  <c r="P1837" i="34"/>
  <c r="Q1837" i="34"/>
  <c r="R1837" i="34"/>
  <c r="S1837" i="34"/>
  <c r="T1837" i="34"/>
  <c r="U1837" i="34"/>
  <c r="V1837" i="34"/>
  <c r="W1837" i="34"/>
  <c r="X1837" i="34"/>
  <c r="Y1837" i="34"/>
  <c r="N1838" i="34"/>
  <c r="B1838" i="34"/>
  <c r="O1838" i="34"/>
  <c r="P1838" i="34"/>
  <c r="Q1838" i="34"/>
  <c r="R1838" i="34"/>
  <c r="S1838" i="34"/>
  <c r="T1838" i="34"/>
  <c r="U1838" i="34"/>
  <c r="V1838" i="34"/>
  <c r="W1838" i="34"/>
  <c r="X1838" i="34"/>
  <c r="Y1838" i="34"/>
  <c r="N1839" i="34"/>
  <c r="B1839" i="34"/>
  <c r="O1839" i="34"/>
  <c r="P1839" i="34"/>
  <c r="Q1839" i="34"/>
  <c r="R1839" i="34"/>
  <c r="S1839" i="34"/>
  <c r="T1839" i="34"/>
  <c r="U1839" i="34"/>
  <c r="V1839" i="34"/>
  <c r="W1839" i="34"/>
  <c r="X1839" i="34"/>
  <c r="Y1839" i="34"/>
  <c r="N1840" i="34"/>
  <c r="B1840" i="34"/>
  <c r="O1840" i="34"/>
  <c r="P1840" i="34"/>
  <c r="Q1840" i="34"/>
  <c r="R1840" i="34"/>
  <c r="S1840" i="34"/>
  <c r="T1840" i="34"/>
  <c r="U1840" i="34"/>
  <c r="V1840" i="34"/>
  <c r="W1840" i="34"/>
  <c r="X1840" i="34"/>
  <c r="Y1840" i="34"/>
  <c r="N1841" i="34"/>
  <c r="B1841" i="34"/>
  <c r="O1841" i="34"/>
  <c r="P1841" i="34"/>
  <c r="Q1841" i="34"/>
  <c r="R1841" i="34"/>
  <c r="S1841" i="34"/>
  <c r="T1841" i="34"/>
  <c r="U1841" i="34"/>
  <c r="V1841" i="34"/>
  <c r="W1841" i="34"/>
  <c r="X1841" i="34"/>
  <c r="Y1841" i="34"/>
  <c r="N1842" i="34"/>
  <c r="B1842" i="34"/>
  <c r="O1842" i="34"/>
  <c r="P1842" i="34"/>
  <c r="Q1842" i="34"/>
  <c r="R1842" i="34"/>
  <c r="S1842" i="34"/>
  <c r="T1842" i="34"/>
  <c r="U1842" i="34"/>
  <c r="V1842" i="34"/>
  <c r="W1842" i="34"/>
  <c r="X1842" i="34"/>
  <c r="Y1842" i="34"/>
  <c r="N1843" i="34"/>
  <c r="B1843" i="34"/>
  <c r="O1843" i="34"/>
  <c r="P1843" i="34"/>
  <c r="Q1843" i="34"/>
  <c r="R1843" i="34"/>
  <c r="S1843" i="34"/>
  <c r="T1843" i="34"/>
  <c r="U1843" i="34"/>
  <c r="V1843" i="34"/>
  <c r="W1843" i="34"/>
  <c r="X1843" i="34"/>
  <c r="Y1843" i="34"/>
  <c r="N1844" i="34"/>
  <c r="B1844" i="34"/>
  <c r="O1844" i="34"/>
  <c r="P1844" i="34"/>
  <c r="Q1844" i="34"/>
  <c r="R1844" i="34"/>
  <c r="S1844" i="34"/>
  <c r="T1844" i="34"/>
  <c r="U1844" i="34"/>
  <c r="V1844" i="34"/>
  <c r="W1844" i="34"/>
  <c r="X1844" i="34"/>
  <c r="Y1844" i="34"/>
  <c r="N1845" i="34"/>
  <c r="B1845" i="34"/>
  <c r="O1845" i="34"/>
  <c r="P1845" i="34"/>
  <c r="Q1845" i="34"/>
  <c r="R1845" i="34"/>
  <c r="S1845" i="34"/>
  <c r="T1845" i="34"/>
  <c r="U1845" i="34"/>
  <c r="V1845" i="34"/>
  <c r="W1845" i="34"/>
  <c r="X1845" i="34"/>
  <c r="Y1845" i="34"/>
  <c r="N1846" i="34"/>
  <c r="B1846" i="34"/>
  <c r="O1846" i="34"/>
  <c r="P1846" i="34"/>
  <c r="Q1846" i="34"/>
  <c r="R1846" i="34"/>
  <c r="S1846" i="34"/>
  <c r="T1846" i="34"/>
  <c r="U1846" i="34"/>
  <c r="V1846" i="34"/>
  <c r="W1846" i="34"/>
  <c r="X1846" i="34"/>
  <c r="Y1846" i="34"/>
  <c r="N1847" i="34"/>
  <c r="B1847" i="34"/>
  <c r="O1847" i="34"/>
  <c r="P1847" i="34"/>
  <c r="Q1847" i="34"/>
  <c r="R1847" i="34"/>
  <c r="S1847" i="34"/>
  <c r="T1847" i="34"/>
  <c r="U1847" i="34"/>
  <c r="V1847" i="34"/>
  <c r="W1847" i="34"/>
  <c r="X1847" i="34"/>
  <c r="Y1847" i="34"/>
  <c r="N1848" i="34"/>
  <c r="B1848" i="34"/>
  <c r="O1848" i="34"/>
  <c r="P1848" i="34"/>
  <c r="Q1848" i="34"/>
  <c r="R1848" i="34"/>
  <c r="S1848" i="34"/>
  <c r="T1848" i="34"/>
  <c r="U1848" i="34"/>
  <c r="V1848" i="34"/>
  <c r="W1848" i="34"/>
  <c r="X1848" i="34"/>
  <c r="Y1848" i="34"/>
  <c r="N1849" i="34"/>
  <c r="B1849" i="34"/>
  <c r="O1849" i="34"/>
  <c r="P1849" i="34"/>
  <c r="Q1849" i="34"/>
  <c r="R1849" i="34"/>
  <c r="S1849" i="34"/>
  <c r="T1849" i="34"/>
  <c r="U1849" i="34"/>
  <c r="V1849" i="34"/>
  <c r="W1849" i="34"/>
  <c r="X1849" i="34"/>
  <c r="Y1849" i="34"/>
  <c r="N1850" i="34"/>
  <c r="B1850" i="34"/>
  <c r="O1850" i="34"/>
  <c r="P1850" i="34"/>
  <c r="Q1850" i="34"/>
  <c r="R1850" i="34"/>
  <c r="S1850" i="34"/>
  <c r="T1850" i="34"/>
  <c r="U1850" i="34"/>
  <c r="V1850" i="34"/>
  <c r="W1850" i="34"/>
  <c r="X1850" i="34"/>
  <c r="Y1850" i="34"/>
  <c r="N1851" i="34"/>
  <c r="B1851" i="34"/>
  <c r="O1851" i="34"/>
  <c r="P1851" i="34"/>
  <c r="Q1851" i="34"/>
  <c r="R1851" i="34"/>
  <c r="S1851" i="34"/>
  <c r="T1851" i="34"/>
  <c r="U1851" i="34"/>
  <c r="V1851" i="34"/>
  <c r="W1851" i="34"/>
  <c r="X1851" i="34"/>
  <c r="Y1851" i="34"/>
  <c r="N1852" i="34"/>
  <c r="B1852" i="34"/>
  <c r="O1852" i="34"/>
  <c r="P1852" i="34"/>
  <c r="Q1852" i="34"/>
  <c r="R1852" i="34"/>
  <c r="S1852" i="34"/>
  <c r="T1852" i="34"/>
  <c r="U1852" i="34"/>
  <c r="V1852" i="34"/>
  <c r="W1852" i="34"/>
  <c r="X1852" i="34"/>
  <c r="Y1852" i="34"/>
  <c r="N1853" i="34"/>
  <c r="B1853" i="34"/>
  <c r="O1853" i="34"/>
  <c r="P1853" i="34"/>
  <c r="Q1853" i="34"/>
  <c r="R1853" i="34"/>
  <c r="S1853" i="34"/>
  <c r="T1853" i="34"/>
  <c r="U1853" i="34"/>
  <c r="V1853" i="34"/>
  <c r="W1853" i="34"/>
  <c r="X1853" i="34"/>
  <c r="Y1853" i="34"/>
  <c r="N1854" i="34"/>
  <c r="B1854" i="34"/>
  <c r="O1854" i="34"/>
  <c r="P1854" i="34"/>
  <c r="Q1854" i="34"/>
  <c r="R1854" i="34"/>
  <c r="S1854" i="34"/>
  <c r="T1854" i="34"/>
  <c r="U1854" i="34"/>
  <c r="V1854" i="34"/>
  <c r="W1854" i="34"/>
  <c r="X1854" i="34"/>
  <c r="Y1854" i="34"/>
  <c r="N1855" i="34"/>
  <c r="B1855" i="34"/>
  <c r="O1855" i="34"/>
  <c r="P1855" i="34"/>
  <c r="Q1855" i="34"/>
  <c r="R1855" i="34"/>
  <c r="S1855" i="34"/>
  <c r="T1855" i="34"/>
  <c r="U1855" i="34"/>
  <c r="V1855" i="34"/>
  <c r="W1855" i="34"/>
  <c r="X1855" i="34"/>
  <c r="Y1855" i="34"/>
  <c r="N1856" i="34"/>
  <c r="B1856" i="34"/>
  <c r="O1856" i="34"/>
  <c r="P1856" i="34"/>
  <c r="Q1856" i="34"/>
  <c r="R1856" i="34"/>
  <c r="S1856" i="34"/>
  <c r="T1856" i="34"/>
  <c r="U1856" i="34"/>
  <c r="V1856" i="34"/>
  <c r="W1856" i="34"/>
  <c r="X1856" i="34"/>
  <c r="Y1856" i="34"/>
  <c r="N1857" i="34"/>
  <c r="B1857" i="34"/>
  <c r="O1857" i="34"/>
  <c r="P1857" i="34"/>
  <c r="Q1857" i="34"/>
  <c r="R1857" i="34"/>
  <c r="S1857" i="34"/>
  <c r="T1857" i="34"/>
  <c r="U1857" i="34"/>
  <c r="V1857" i="34"/>
  <c r="W1857" i="34"/>
  <c r="X1857" i="34"/>
  <c r="Y1857" i="34"/>
  <c r="N1858" i="34"/>
  <c r="B1858" i="34"/>
  <c r="O1858" i="34"/>
  <c r="P1858" i="34"/>
  <c r="Q1858" i="34"/>
  <c r="R1858" i="34"/>
  <c r="S1858" i="34"/>
  <c r="T1858" i="34"/>
  <c r="U1858" i="34"/>
  <c r="V1858" i="34"/>
  <c r="W1858" i="34"/>
  <c r="X1858" i="34"/>
  <c r="Y1858" i="34"/>
  <c r="N1859" i="34"/>
  <c r="C1859" i="34"/>
  <c r="B1859" i="34"/>
  <c r="O1859" i="34"/>
  <c r="P1859" i="34"/>
  <c r="Q1859" i="34"/>
  <c r="R1859" i="34"/>
  <c r="S1859" i="34"/>
  <c r="T1859" i="34"/>
  <c r="U1859" i="34"/>
  <c r="V1859" i="34"/>
  <c r="W1859" i="34"/>
  <c r="X1859" i="34"/>
  <c r="Y1859" i="34"/>
  <c r="N1860" i="34"/>
  <c r="C1860" i="34"/>
  <c r="B1860" i="34"/>
  <c r="O1860" i="34"/>
  <c r="P1860" i="34"/>
  <c r="Q1860" i="34"/>
  <c r="R1860" i="34"/>
  <c r="S1860" i="34"/>
  <c r="T1860" i="34"/>
  <c r="U1860" i="34"/>
  <c r="V1860" i="34"/>
  <c r="W1860" i="34"/>
  <c r="X1860" i="34"/>
  <c r="Y1860" i="34"/>
  <c r="N1861" i="34"/>
  <c r="C1861" i="34"/>
  <c r="B1861" i="34"/>
  <c r="O1861" i="34"/>
  <c r="P1861" i="34"/>
  <c r="Q1861" i="34"/>
  <c r="R1861" i="34"/>
  <c r="S1861" i="34"/>
  <c r="T1861" i="34"/>
  <c r="U1861" i="34"/>
  <c r="V1861" i="34"/>
  <c r="W1861" i="34"/>
  <c r="X1861" i="34"/>
  <c r="Y1861" i="34"/>
  <c r="N1862" i="34"/>
  <c r="C1862" i="34"/>
  <c r="B1862" i="34"/>
  <c r="O1862" i="34"/>
  <c r="P1862" i="34"/>
  <c r="Q1862" i="34"/>
  <c r="R1862" i="34"/>
  <c r="S1862" i="34"/>
  <c r="T1862" i="34"/>
  <c r="U1862" i="34"/>
  <c r="V1862" i="34"/>
  <c r="W1862" i="34"/>
  <c r="X1862" i="34"/>
  <c r="Y1862" i="34"/>
  <c r="N1863" i="34"/>
  <c r="C1863" i="34"/>
  <c r="B1863" i="34"/>
  <c r="O1863" i="34"/>
  <c r="P1863" i="34"/>
  <c r="Q1863" i="34"/>
  <c r="R1863" i="34"/>
  <c r="S1863" i="34"/>
  <c r="T1863" i="34"/>
  <c r="U1863" i="34"/>
  <c r="V1863" i="34"/>
  <c r="W1863" i="34"/>
  <c r="X1863" i="34"/>
  <c r="Y1863" i="34"/>
  <c r="N1864" i="34"/>
  <c r="C1864" i="34"/>
  <c r="B1864" i="34"/>
  <c r="O1864" i="34"/>
  <c r="P1864" i="34"/>
  <c r="Q1864" i="34"/>
  <c r="R1864" i="34"/>
  <c r="S1864" i="34"/>
  <c r="T1864" i="34"/>
  <c r="U1864" i="34"/>
  <c r="V1864" i="34"/>
  <c r="W1864" i="34"/>
  <c r="X1864" i="34"/>
  <c r="Y1864" i="34"/>
  <c r="N1865" i="34"/>
  <c r="C1865" i="34"/>
  <c r="B1865" i="34"/>
  <c r="O1865" i="34"/>
  <c r="P1865" i="34"/>
  <c r="Q1865" i="34"/>
  <c r="R1865" i="34"/>
  <c r="S1865" i="34"/>
  <c r="T1865" i="34"/>
  <c r="U1865" i="34"/>
  <c r="V1865" i="34"/>
  <c r="W1865" i="34"/>
  <c r="X1865" i="34"/>
  <c r="Y1865" i="34"/>
  <c r="N1866" i="34"/>
  <c r="C1866" i="34"/>
  <c r="B1866" i="34"/>
  <c r="O1866" i="34"/>
  <c r="P1866" i="34"/>
  <c r="Q1866" i="34"/>
  <c r="R1866" i="34"/>
  <c r="S1866" i="34"/>
  <c r="T1866" i="34"/>
  <c r="U1866" i="34"/>
  <c r="V1866" i="34"/>
  <c r="W1866" i="34"/>
  <c r="X1866" i="34"/>
  <c r="Y1866" i="34"/>
  <c r="N1867" i="34"/>
  <c r="C1867" i="34"/>
  <c r="B1867" i="34"/>
  <c r="O1867" i="34"/>
  <c r="P1867" i="34"/>
  <c r="Q1867" i="34"/>
  <c r="R1867" i="34"/>
  <c r="S1867" i="34"/>
  <c r="T1867" i="34"/>
  <c r="U1867" i="34"/>
  <c r="V1867" i="34"/>
  <c r="W1867" i="34"/>
  <c r="X1867" i="34"/>
  <c r="Y1867" i="34"/>
  <c r="N1868" i="34"/>
  <c r="C1868" i="34"/>
  <c r="B1868" i="34"/>
  <c r="O1868" i="34"/>
  <c r="P1868" i="34"/>
  <c r="Q1868" i="34"/>
  <c r="R1868" i="34"/>
  <c r="S1868" i="34"/>
  <c r="T1868" i="34"/>
  <c r="U1868" i="34"/>
  <c r="V1868" i="34"/>
  <c r="W1868" i="34"/>
  <c r="X1868" i="34"/>
  <c r="Y1868" i="34"/>
  <c r="N1869" i="34"/>
  <c r="C1869" i="34"/>
  <c r="B1869" i="34"/>
  <c r="O1869" i="34"/>
  <c r="P1869" i="34"/>
  <c r="Q1869" i="34"/>
  <c r="R1869" i="34"/>
  <c r="S1869" i="34"/>
  <c r="T1869" i="34"/>
  <c r="U1869" i="34"/>
  <c r="V1869" i="34"/>
  <c r="W1869" i="34"/>
  <c r="X1869" i="34"/>
  <c r="Y1869" i="34"/>
  <c r="N1870" i="34"/>
  <c r="C1870" i="34"/>
  <c r="B1870" i="34"/>
  <c r="O1870" i="34"/>
  <c r="P1870" i="34"/>
  <c r="Q1870" i="34"/>
  <c r="R1870" i="34"/>
  <c r="S1870" i="34"/>
  <c r="T1870" i="34"/>
  <c r="U1870" i="34"/>
  <c r="V1870" i="34"/>
  <c r="W1870" i="34"/>
  <c r="X1870" i="34"/>
  <c r="Y1870" i="34"/>
  <c r="N1871" i="34"/>
  <c r="C1871" i="34"/>
  <c r="B1871" i="34"/>
  <c r="O1871" i="34"/>
  <c r="P1871" i="34"/>
  <c r="Q1871" i="34"/>
  <c r="R1871" i="34"/>
  <c r="S1871" i="34"/>
  <c r="T1871" i="34"/>
  <c r="U1871" i="34"/>
  <c r="V1871" i="34"/>
  <c r="W1871" i="34"/>
  <c r="X1871" i="34"/>
  <c r="Y1871" i="34"/>
  <c r="N1872" i="34"/>
  <c r="C1872" i="34"/>
  <c r="B1872" i="34"/>
  <c r="O1872" i="34"/>
  <c r="P1872" i="34"/>
  <c r="Q1872" i="34"/>
  <c r="R1872" i="34"/>
  <c r="S1872" i="34"/>
  <c r="T1872" i="34"/>
  <c r="U1872" i="34"/>
  <c r="V1872" i="34"/>
  <c r="W1872" i="34"/>
  <c r="X1872" i="34"/>
  <c r="Y1872" i="34"/>
  <c r="N1873" i="34"/>
  <c r="C1873" i="34"/>
  <c r="B1873" i="34"/>
  <c r="O1873" i="34"/>
  <c r="P1873" i="34"/>
  <c r="Q1873" i="34"/>
  <c r="R1873" i="34"/>
  <c r="S1873" i="34"/>
  <c r="T1873" i="34"/>
  <c r="U1873" i="34"/>
  <c r="V1873" i="34"/>
  <c r="W1873" i="34"/>
  <c r="X1873" i="34"/>
  <c r="Y1873" i="34"/>
  <c r="N1874" i="34"/>
  <c r="C1874" i="34"/>
  <c r="B1874" i="34"/>
  <c r="O1874" i="34"/>
  <c r="P1874" i="34"/>
  <c r="Q1874" i="34"/>
  <c r="R1874" i="34"/>
  <c r="S1874" i="34"/>
  <c r="T1874" i="34"/>
  <c r="U1874" i="34"/>
  <c r="V1874" i="34"/>
  <c r="W1874" i="34"/>
  <c r="X1874" i="34"/>
  <c r="Y1874" i="34"/>
  <c r="N1875" i="34"/>
  <c r="C1875" i="34"/>
  <c r="B1875" i="34"/>
  <c r="O1875" i="34"/>
  <c r="P1875" i="34"/>
  <c r="Q1875" i="34"/>
  <c r="R1875" i="34"/>
  <c r="S1875" i="34"/>
  <c r="T1875" i="34"/>
  <c r="U1875" i="34"/>
  <c r="V1875" i="34"/>
  <c r="W1875" i="34"/>
  <c r="X1875" i="34"/>
  <c r="Y1875" i="34"/>
  <c r="N1876" i="34"/>
  <c r="C1876" i="34"/>
  <c r="B1876" i="34"/>
  <c r="O1876" i="34"/>
  <c r="P1876" i="34"/>
  <c r="Q1876" i="34"/>
  <c r="R1876" i="34"/>
  <c r="S1876" i="34"/>
  <c r="T1876" i="34"/>
  <c r="U1876" i="34"/>
  <c r="V1876" i="34"/>
  <c r="W1876" i="34"/>
  <c r="X1876" i="34"/>
  <c r="Y1876" i="34"/>
  <c r="N1877" i="34"/>
  <c r="C1877" i="34"/>
  <c r="B1877" i="34"/>
  <c r="O1877" i="34"/>
  <c r="P1877" i="34"/>
  <c r="Q1877" i="34"/>
  <c r="R1877" i="34"/>
  <c r="S1877" i="34"/>
  <c r="T1877" i="34"/>
  <c r="U1877" i="34"/>
  <c r="V1877" i="34"/>
  <c r="W1877" i="34"/>
  <c r="X1877" i="34"/>
  <c r="Y1877" i="34"/>
  <c r="N1878" i="34"/>
  <c r="C1878" i="34"/>
  <c r="B1878" i="34"/>
  <c r="O1878" i="34"/>
  <c r="P1878" i="34"/>
  <c r="Q1878" i="34"/>
  <c r="R1878" i="34"/>
  <c r="S1878" i="34"/>
  <c r="T1878" i="34"/>
  <c r="U1878" i="34"/>
  <c r="V1878" i="34"/>
  <c r="W1878" i="34"/>
  <c r="X1878" i="34"/>
  <c r="Y1878" i="34"/>
  <c r="N1879" i="34"/>
  <c r="C1879" i="34"/>
  <c r="B1879" i="34"/>
  <c r="O1879" i="34"/>
  <c r="P1879" i="34"/>
  <c r="Q1879" i="34"/>
  <c r="R1879" i="34"/>
  <c r="S1879" i="34"/>
  <c r="T1879" i="34"/>
  <c r="U1879" i="34"/>
  <c r="V1879" i="34"/>
  <c r="W1879" i="34"/>
  <c r="X1879" i="34"/>
  <c r="Y1879" i="34"/>
  <c r="N1880" i="34"/>
  <c r="C1880" i="34"/>
  <c r="B1880" i="34"/>
  <c r="O1880" i="34"/>
  <c r="P1880" i="34"/>
  <c r="Q1880" i="34"/>
  <c r="R1880" i="34"/>
  <c r="S1880" i="34"/>
  <c r="T1880" i="34"/>
  <c r="U1880" i="34"/>
  <c r="V1880" i="34"/>
  <c r="W1880" i="34"/>
  <c r="X1880" i="34"/>
  <c r="Y1880" i="34"/>
  <c r="N1881" i="34"/>
  <c r="C1881" i="34"/>
  <c r="B1881" i="34"/>
  <c r="O1881" i="34"/>
  <c r="P1881" i="34"/>
  <c r="Q1881" i="34"/>
  <c r="R1881" i="34"/>
  <c r="S1881" i="34"/>
  <c r="T1881" i="34"/>
  <c r="U1881" i="34"/>
  <c r="V1881" i="34"/>
  <c r="W1881" i="34"/>
  <c r="X1881" i="34"/>
  <c r="Y1881" i="34"/>
  <c r="N1882" i="34"/>
  <c r="C1882" i="34"/>
  <c r="B1882" i="34"/>
  <c r="O1882" i="34"/>
  <c r="P1882" i="34"/>
  <c r="Q1882" i="34"/>
  <c r="R1882" i="34"/>
  <c r="S1882" i="34"/>
  <c r="T1882" i="34"/>
  <c r="U1882" i="34"/>
  <c r="V1882" i="34"/>
  <c r="W1882" i="34"/>
  <c r="X1882" i="34"/>
  <c r="Y1882" i="34"/>
  <c r="N1883" i="34"/>
  <c r="C1883" i="34"/>
  <c r="B1883" i="34"/>
  <c r="O1883" i="34"/>
  <c r="P1883" i="34"/>
  <c r="Q1883" i="34"/>
  <c r="R1883" i="34"/>
  <c r="S1883" i="34"/>
  <c r="T1883" i="34"/>
  <c r="U1883" i="34"/>
  <c r="V1883" i="34"/>
  <c r="W1883" i="34"/>
  <c r="X1883" i="34"/>
  <c r="Y1883" i="34"/>
  <c r="N1884" i="34"/>
  <c r="C1884" i="34"/>
  <c r="B1884" i="34"/>
  <c r="O1884" i="34"/>
  <c r="P1884" i="34"/>
  <c r="Q1884" i="34"/>
  <c r="R1884" i="34"/>
  <c r="S1884" i="34"/>
  <c r="T1884" i="34"/>
  <c r="U1884" i="34"/>
  <c r="V1884" i="34"/>
  <c r="W1884" i="34"/>
  <c r="X1884" i="34"/>
  <c r="Y1884" i="34"/>
  <c r="N1885" i="34"/>
  <c r="C1885" i="34"/>
  <c r="B1885" i="34"/>
  <c r="O1885" i="34"/>
  <c r="P1885" i="34"/>
  <c r="Q1885" i="34"/>
  <c r="R1885" i="34"/>
  <c r="S1885" i="34"/>
  <c r="T1885" i="34"/>
  <c r="U1885" i="34"/>
  <c r="V1885" i="34"/>
  <c r="W1885" i="34"/>
  <c r="X1885" i="34"/>
  <c r="Y1885" i="34"/>
  <c r="N1886" i="34"/>
  <c r="C1886" i="34"/>
  <c r="B1886" i="34"/>
  <c r="O1886" i="34"/>
  <c r="P1886" i="34"/>
  <c r="Q1886" i="34"/>
  <c r="R1886" i="34"/>
  <c r="S1886" i="34"/>
  <c r="T1886" i="34"/>
  <c r="U1886" i="34"/>
  <c r="V1886" i="34"/>
  <c r="W1886" i="34"/>
  <c r="X1886" i="34"/>
  <c r="Y1886" i="34"/>
  <c r="N1887" i="34"/>
  <c r="C1887" i="34"/>
  <c r="B1887" i="34"/>
  <c r="O1887" i="34"/>
  <c r="P1887" i="34"/>
  <c r="Q1887" i="34"/>
  <c r="R1887" i="34"/>
  <c r="S1887" i="34"/>
  <c r="T1887" i="34"/>
  <c r="U1887" i="34"/>
  <c r="V1887" i="34"/>
  <c r="W1887" i="34"/>
  <c r="X1887" i="34"/>
  <c r="Y1887" i="34"/>
  <c r="N1888" i="34"/>
  <c r="C1888" i="34"/>
  <c r="B1888" i="34"/>
  <c r="O1888" i="34"/>
  <c r="P1888" i="34"/>
  <c r="Q1888" i="34"/>
  <c r="R1888" i="34"/>
  <c r="S1888" i="34"/>
  <c r="T1888" i="34"/>
  <c r="U1888" i="34"/>
  <c r="V1888" i="34"/>
  <c r="W1888" i="34"/>
  <c r="X1888" i="34"/>
  <c r="Y1888" i="34"/>
  <c r="N1889" i="34"/>
  <c r="B1889" i="34"/>
  <c r="O1889" i="34"/>
  <c r="P1889" i="34"/>
  <c r="Q1889" i="34"/>
  <c r="R1889" i="34"/>
  <c r="S1889" i="34"/>
  <c r="T1889" i="34"/>
  <c r="U1889" i="34"/>
  <c r="V1889" i="34"/>
  <c r="W1889" i="34"/>
  <c r="X1889" i="34"/>
  <c r="Y1889" i="34"/>
  <c r="N1890" i="34"/>
  <c r="B1890" i="34"/>
  <c r="O1890" i="34"/>
  <c r="P1890" i="34"/>
  <c r="Q1890" i="34"/>
  <c r="R1890" i="34"/>
  <c r="S1890" i="34"/>
  <c r="T1890" i="34"/>
  <c r="U1890" i="34"/>
  <c r="V1890" i="34"/>
  <c r="W1890" i="34"/>
  <c r="X1890" i="34"/>
  <c r="Y1890" i="34"/>
  <c r="N1891" i="34"/>
  <c r="B1891" i="34"/>
  <c r="O1891" i="34"/>
  <c r="P1891" i="34"/>
  <c r="Q1891" i="34"/>
  <c r="R1891" i="34"/>
  <c r="S1891" i="34"/>
  <c r="T1891" i="34"/>
  <c r="U1891" i="34"/>
  <c r="V1891" i="34"/>
  <c r="W1891" i="34"/>
  <c r="X1891" i="34"/>
  <c r="Y1891" i="34"/>
  <c r="N1892" i="34"/>
  <c r="B1892" i="34"/>
  <c r="O1892" i="34"/>
  <c r="P1892" i="34"/>
  <c r="Q1892" i="34"/>
  <c r="R1892" i="34"/>
  <c r="S1892" i="34"/>
  <c r="T1892" i="34"/>
  <c r="U1892" i="34"/>
  <c r="V1892" i="34"/>
  <c r="W1892" i="34"/>
  <c r="X1892" i="34"/>
  <c r="Y1892" i="34"/>
  <c r="N1893" i="34"/>
  <c r="B1893" i="34"/>
  <c r="O1893" i="34"/>
  <c r="P1893" i="34"/>
  <c r="Q1893" i="34"/>
  <c r="R1893" i="34"/>
  <c r="S1893" i="34"/>
  <c r="T1893" i="34"/>
  <c r="U1893" i="34"/>
  <c r="V1893" i="34"/>
  <c r="W1893" i="34"/>
  <c r="X1893" i="34"/>
  <c r="Y1893" i="34"/>
  <c r="N1894" i="34"/>
  <c r="B1894" i="34"/>
  <c r="O1894" i="34"/>
  <c r="P1894" i="34"/>
  <c r="Q1894" i="34"/>
  <c r="R1894" i="34"/>
  <c r="S1894" i="34"/>
  <c r="T1894" i="34"/>
  <c r="U1894" i="34"/>
  <c r="V1894" i="34"/>
  <c r="W1894" i="34"/>
  <c r="X1894" i="34"/>
  <c r="Y1894" i="34"/>
  <c r="N1895" i="34"/>
  <c r="B1895" i="34"/>
  <c r="O1895" i="34"/>
  <c r="P1895" i="34"/>
  <c r="Q1895" i="34"/>
  <c r="R1895" i="34"/>
  <c r="S1895" i="34"/>
  <c r="T1895" i="34"/>
  <c r="U1895" i="34"/>
  <c r="V1895" i="34"/>
  <c r="W1895" i="34"/>
  <c r="X1895" i="34"/>
  <c r="Y1895" i="34"/>
  <c r="N1896" i="34"/>
  <c r="B1896" i="34"/>
  <c r="O1896" i="34"/>
  <c r="P1896" i="34"/>
  <c r="Q1896" i="34"/>
  <c r="R1896" i="34"/>
  <c r="S1896" i="34"/>
  <c r="T1896" i="34"/>
  <c r="U1896" i="34"/>
  <c r="V1896" i="34"/>
  <c r="W1896" i="34"/>
  <c r="X1896" i="34"/>
  <c r="Y1896" i="34"/>
  <c r="N1897" i="34"/>
  <c r="B1897" i="34"/>
  <c r="O1897" i="34"/>
  <c r="P1897" i="34"/>
  <c r="Q1897" i="34"/>
  <c r="R1897" i="34"/>
  <c r="S1897" i="34"/>
  <c r="T1897" i="34"/>
  <c r="U1897" i="34"/>
  <c r="V1897" i="34"/>
  <c r="W1897" i="34"/>
  <c r="X1897" i="34"/>
  <c r="Y1897" i="34"/>
  <c r="N1898" i="34"/>
  <c r="B1898" i="34"/>
  <c r="O1898" i="34"/>
  <c r="P1898" i="34"/>
  <c r="Q1898" i="34"/>
  <c r="R1898" i="34"/>
  <c r="S1898" i="34"/>
  <c r="T1898" i="34"/>
  <c r="U1898" i="34"/>
  <c r="V1898" i="34"/>
  <c r="W1898" i="34"/>
  <c r="X1898" i="34"/>
  <c r="Y1898" i="34"/>
  <c r="N1899" i="34"/>
  <c r="B1899" i="34"/>
  <c r="O1899" i="34"/>
  <c r="P1899" i="34"/>
  <c r="Q1899" i="34"/>
  <c r="R1899" i="34"/>
  <c r="S1899" i="34"/>
  <c r="T1899" i="34"/>
  <c r="U1899" i="34"/>
  <c r="V1899" i="34"/>
  <c r="W1899" i="34"/>
  <c r="X1899" i="34"/>
  <c r="Y1899" i="34"/>
  <c r="N1900" i="34"/>
  <c r="C1900" i="34"/>
  <c r="B1900" i="34"/>
  <c r="O1900" i="34"/>
  <c r="P1900" i="34"/>
  <c r="Q1900" i="34"/>
  <c r="R1900" i="34"/>
  <c r="S1900" i="34"/>
  <c r="T1900" i="34"/>
  <c r="U1900" i="34"/>
  <c r="V1900" i="34"/>
  <c r="W1900" i="34"/>
  <c r="X1900" i="34"/>
  <c r="Y1900" i="34"/>
  <c r="N1901" i="34"/>
  <c r="C1901" i="34"/>
  <c r="B1901" i="34"/>
  <c r="O1901" i="34"/>
  <c r="P1901" i="34"/>
  <c r="Q1901" i="34"/>
  <c r="R1901" i="34"/>
  <c r="S1901" i="34"/>
  <c r="T1901" i="34"/>
  <c r="U1901" i="34"/>
  <c r="V1901" i="34"/>
  <c r="W1901" i="34"/>
  <c r="X1901" i="34"/>
  <c r="Y1901" i="34"/>
  <c r="N1902" i="34"/>
  <c r="C1902" i="34"/>
  <c r="B1902" i="34"/>
  <c r="O1902" i="34"/>
  <c r="P1902" i="34"/>
  <c r="Q1902" i="34"/>
  <c r="R1902" i="34"/>
  <c r="S1902" i="34"/>
  <c r="T1902" i="34"/>
  <c r="U1902" i="34"/>
  <c r="V1902" i="34"/>
  <c r="W1902" i="34"/>
  <c r="X1902" i="34"/>
  <c r="Y1902" i="34"/>
  <c r="N1903" i="34"/>
  <c r="C1903" i="34"/>
  <c r="B1903" i="34"/>
  <c r="O1903" i="34"/>
  <c r="P1903" i="34"/>
  <c r="Q1903" i="34"/>
  <c r="R1903" i="34"/>
  <c r="S1903" i="34"/>
  <c r="T1903" i="34"/>
  <c r="U1903" i="34"/>
  <c r="V1903" i="34"/>
  <c r="W1903" i="34"/>
  <c r="X1903" i="34"/>
  <c r="Y1903" i="34"/>
  <c r="N1904" i="34"/>
  <c r="C1904" i="34"/>
  <c r="B1904" i="34"/>
  <c r="O1904" i="34"/>
  <c r="P1904" i="34"/>
  <c r="Q1904" i="34"/>
  <c r="R1904" i="34"/>
  <c r="S1904" i="34"/>
  <c r="T1904" i="34"/>
  <c r="U1904" i="34"/>
  <c r="V1904" i="34"/>
  <c r="W1904" i="34"/>
  <c r="X1904" i="34"/>
  <c r="Y1904" i="34"/>
  <c r="N1905" i="34"/>
  <c r="C1905" i="34"/>
  <c r="B1905" i="34"/>
  <c r="O1905" i="34"/>
  <c r="P1905" i="34"/>
  <c r="Q1905" i="34"/>
  <c r="R1905" i="34"/>
  <c r="S1905" i="34"/>
  <c r="T1905" i="34"/>
  <c r="U1905" i="34"/>
  <c r="V1905" i="34"/>
  <c r="W1905" i="34"/>
  <c r="X1905" i="34"/>
  <c r="Y1905" i="34"/>
  <c r="N1906" i="34"/>
  <c r="C1906" i="34"/>
  <c r="B1906" i="34"/>
  <c r="O1906" i="34"/>
  <c r="P1906" i="34"/>
  <c r="Q1906" i="34"/>
  <c r="R1906" i="34"/>
  <c r="S1906" i="34"/>
  <c r="T1906" i="34"/>
  <c r="U1906" i="34"/>
  <c r="V1906" i="34"/>
  <c r="W1906" i="34"/>
  <c r="X1906" i="34"/>
  <c r="Y1906" i="34"/>
  <c r="N1907" i="34"/>
  <c r="C1907" i="34"/>
  <c r="B1907" i="34"/>
  <c r="O1907" i="34"/>
  <c r="P1907" i="34"/>
  <c r="Q1907" i="34"/>
  <c r="R1907" i="34"/>
  <c r="S1907" i="34"/>
  <c r="T1907" i="34"/>
  <c r="U1907" i="34"/>
  <c r="V1907" i="34"/>
  <c r="W1907" i="34"/>
  <c r="X1907" i="34"/>
  <c r="Y1907" i="34"/>
  <c r="N1908" i="34"/>
  <c r="C1908" i="34"/>
  <c r="B1908" i="34"/>
  <c r="O1908" i="34"/>
  <c r="P1908" i="34"/>
  <c r="Q1908" i="34"/>
  <c r="R1908" i="34"/>
  <c r="S1908" i="34"/>
  <c r="T1908" i="34"/>
  <c r="U1908" i="34"/>
  <c r="V1908" i="34"/>
  <c r="W1908" i="34"/>
  <c r="X1908" i="34"/>
  <c r="Y1908" i="34"/>
  <c r="N1909" i="34"/>
  <c r="C1909" i="34"/>
  <c r="B1909" i="34"/>
  <c r="O1909" i="34"/>
  <c r="P1909" i="34"/>
  <c r="Q1909" i="34"/>
  <c r="R1909" i="34"/>
  <c r="S1909" i="34"/>
  <c r="T1909" i="34"/>
  <c r="U1909" i="34"/>
  <c r="V1909" i="34"/>
  <c r="W1909" i="34"/>
  <c r="X1909" i="34"/>
  <c r="Y1909" i="34"/>
  <c r="N1910" i="34"/>
  <c r="C1910" i="34"/>
  <c r="B1910" i="34"/>
  <c r="O1910" i="34"/>
  <c r="P1910" i="34"/>
  <c r="Q1910" i="34"/>
  <c r="R1910" i="34"/>
  <c r="S1910" i="34"/>
  <c r="T1910" i="34"/>
  <c r="U1910" i="34"/>
  <c r="V1910" i="34"/>
  <c r="W1910" i="34"/>
  <c r="X1910" i="34"/>
  <c r="Y1910" i="34"/>
  <c r="N1911" i="34"/>
  <c r="C1911" i="34"/>
  <c r="B1911" i="34"/>
  <c r="O1911" i="34"/>
  <c r="P1911" i="34"/>
  <c r="Q1911" i="34"/>
  <c r="R1911" i="34"/>
  <c r="S1911" i="34"/>
  <c r="T1911" i="34"/>
  <c r="U1911" i="34"/>
  <c r="V1911" i="34"/>
  <c r="W1911" i="34"/>
  <c r="X1911" i="34"/>
  <c r="Y1911" i="34"/>
  <c r="N1912" i="34"/>
  <c r="C1912" i="34"/>
  <c r="B1912" i="34"/>
  <c r="O1912" i="34"/>
  <c r="P1912" i="34"/>
  <c r="Q1912" i="34"/>
  <c r="R1912" i="34"/>
  <c r="S1912" i="34"/>
  <c r="T1912" i="34"/>
  <c r="U1912" i="34"/>
  <c r="V1912" i="34"/>
  <c r="W1912" i="34"/>
  <c r="X1912" i="34"/>
  <c r="Y1912" i="34"/>
  <c r="N1913" i="34"/>
  <c r="C1913" i="34"/>
  <c r="B1913" i="34"/>
  <c r="O1913" i="34"/>
  <c r="P1913" i="34"/>
  <c r="Q1913" i="34"/>
  <c r="R1913" i="34"/>
  <c r="S1913" i="34"/>
  <c r="T1913" i="34"/>
  <c r="U1913" i="34"/>
  <c r="V1913" i="34"/>
  <c r="W1913" i="34"/>
  <c r="X1913" i="34"/>
  <c r="Y1913" i="34"/>
  <c r="N1914" i="34"/>
  <c r="C1914" i="34"/>
  <c r="B1914" i="34"/>
  <c r="O1914" i="34"/>
  <c r="P1914" i="34"/>
  <c r="Q1914" i="34"/>
  <c r="R1914" i="34"/>
  <c r="S1914" i="34"/>
  <c r="T1914" i="34"/>
  <c r="U1914" i="34"/>
  <c r="V1914" i="34"/>
  <c r="W1914" i="34"/>
  <c r="X1914" i="34"/>
  <c r="Y1914" i="34"/>
  <c r="N1915" i="34"/>
  <c r="C1915" i="34"/>
  <c r="B1915" i="34"/>
  <c r="O1915" i="34"/>
  <c r="P1915" i="34"/>
  <c r="Q1915" i="34"/>
  <c r="R1915" i="34"/>
  <c r="S1915" i="34"/>
  <c r="T1915" i="34"/>
  <c r="U1915" i="34"/>
  <c r="V1915" i="34"/>
  <c r="W1915" i="34"/>
  <c r="X1915" i="34"/>
  <c r="Y1915" i="34"/>
  <c r="N1916" i="34"/>
  <c r="C1916" i="34"/>
  <c r="B1916" i="34"/>
  <c r="O1916" i="34"/>
  <c r="P1916" i="34"/>
  <c r="Q1916" i="34"/>
  <c r="R1916" i="34"/>
  <c r="S1916" i="34"/>
  <c r="T1916" i="34"/>
  <c r="U1916" i="34"/>
  <c r="V1916" i="34"/>
  <c r="W1916" i="34"/>
  <c r="X1916" i="34"/>
  <c r="Y1916" i="34"/>
  <c r="N1917" i="34"/>
  <c r="C1917" i="34"/>
  <c r="B1917" i="34"/>
  <c r="O1917" i="34"/>
  <c r="P1917" i="34"/>
  <c r="Q1917" i="34"/>
  <c r="R1917" i="34"/>
  <c r="S1917" i="34"/>
  <c r="T1917" i="34"/>
  <c r="U1917" i="34"/>
  <c r="V1917" i="34"/>
  <c r="W1917" i="34"/>
  <c r="X1917" i="34"/>
  <c r="Y1917" i="34"/>
  <c r="N1918" i="34"/>
  <c r="C1918" i="34"/>
  <c r="B1918" i="34"/>
  <c r="O1918" i="34"/>
  <c r="P1918" i="34"/>
  <c r="Q1918" i="34"/>
  <c r="R1918" i="34"/>
  <c r="S1918" i="34"/>
  <c r="T1918" i="34"/>
  <c r="U1918" i="34"/>
  <c r="V1918" i="34"/>
  <c r="W1918" i="34"/>
  <c r="X1918" i="34"/>
  <c r="Y1918" i="34"/>
  <c r="N1919" i="34"/>
  <c r="C1919" i="34"/>
  <c r="B1919" i="34"/>
  <c r="O1919" i="34"/>
  <c r="P1919" i="34"/>
  <c r="Q1919" i="34"/>
  <c r="R1919" i="34"/>
  <c r="S1919" i="34"/>
  <c r="T1919" i="34"/>
  <c r="U1919" i="34"/>
  <c r="V1919" i="34"/>
  <c r="W1919" i="34"/>
  <c r="X1919" i="34"/>
  <c r="Y1919" i="34"/>
  <c r="N1920" i="34"/>
  <c r="B1920" i="34"/>
  <c r="O1920" i="34"/>
  <c r="P1920" i="34"/>
  <c r="Q1920" i="34"/>
  <c r="R1920" i="34"/>
  <c r="S1920" i="34"/>
  <c r="T1920" i="34"/>
  <c r="U1920" i="34"/>
  <c r="V1920" i="34"/>
  <c r="W1920" i="34"/>
  <c r="X1920" i="34"/>
  <c r="Y1920" i="34"/>
  <c r="N1921" i="34"/>
  <c r="B1921" i="34"/>
  <c r="O1921" i="34"/>
  <c r="P1921" i="34"/>
  <c r="Q1921" i="34"/>
  <c r="R1921" i="34"/>
  <c r="S1921" i="34"/>
  <c r="T1921" i="34"/>
  <c r="U1921" i="34"/>
  <c r="V1921" i="34"/>
  <c r="W1921" i="34"/>
  <c r="X1921" i="34"/>
  <c r="Y1921" i="34"/>
  <c r="N1922" i="34"/>
  <c r="B1922" i="34"/>
  <c r="O1922" i="34"/>
  <c r="P1922" i="34"/>
  <c r="Q1922" i="34"/>
  <c r="R1922" i="34"/>
  <c r="S1922" i="34"/>
  <c r="T1922" i="34"/>
  <c r="U1922" i="34"/>
  <c r="V1922" i="34"/>
  <c r="W1922" i="34"/>
  <c r="X1922" i="34"/>
  <c r="Y1922" i="34"/>
  <c r="N1923" i="34"/>
  <c r="B1923" i="34"/>
  <c r="O1923" i="34"/>
  <c r="P1923" i="34"/>
  <c r="Q1923" i="34"/>
  <c r="R1923" i="34"/>
  <c r="S1923" i="34"/>
  <c r="T1923" i="34"/>
  <c r="U1923" i="34"/>
  <c r="V1923" i="34"/>
  <c r="W1923" i="34"/>
  <c r="X1923" i="34"/>
  <c r="Y1923" i="34"/>
  <c r="N1924" i="34"/>
  <c r="B1924" i="34"/>
  <c r="O1924" i="34"/>
  <c r="P1924" i="34"/>
  <c r="Q1924" i="34"/>
  <c r="R1924" i="34"/>
  <c r="S1924" i="34"/>
  <c r="T1924" i="34"/>
  <c r="U1924" i="34"/>
  <c r="V1924" i="34"/>
  <c r="W1924" i="34"/>
  <c r="X1924" i="34"/>
  <c r="Y1924" i="34"/>
  <c r="N1925" i="34"/>
  <c r="B1925" i="34"/>
  <c r="O1925" i="34"/>
  <c r="P1925" i="34"/>
  <c r="Q1925" i="34"/>
  <c r="R1925" i="34"/>
  <c r="S1925" i="34"/>
  <c r="T1925" i="34"/>
  <c r="U1925" i="34"/>
  <c r="V1925" i="34"/>
  <c r="W1925" i="34"/>
  <c r="X1925" i="34"/>
  <c r="Y1925" i="34"/>
  <c r="N1926" i="34"/>
  <c r="B1926" i="34"/>
  <c r="O1926" i="34"/>
  <c r="P1926" i="34"/>
  <c r="Q1926" i="34"/>
  <c r="R1926" i="34"/>
  <c r="S1926" i="34"/>
  <c r="T1926" i="34"/>
  <c r="U1926" i="34"/>
  <c r="V1926" i="34"/>
  <c r="W1926" i="34"/>
  <c r="X1926" i="34"/>
  <c r="Y1926" i="34"/>
  <c r="N1927" i="34"/>
  <c r="B1927" i="34"/>
  <c r="O1927" i="34"/>
  <c r="P1927" i="34"/>
  <c r="Q1927" i="34"/>
  <c r="R1927" i="34"/>
  <c r="S1927" i="34"/>
  <c r="T1927" i="34"/>
  <c r="U1927" i="34"/>
  <c r="V1927" i="34"/>
  <c r="W1927" i="34"/>
  <c r="X1927" i="34"/>
  <c r="Y1927" i="34"/>
  <c r="N1928" i="34"/>
  <c r="B1928" i="34"/>
  <c r="O1928" i="34"/>
  <c r="P1928" i="34"/>
  <c r="Q1928" i="34"/>
  <c r="R1928" i="34"/>
  <c r="S1928" i="34"/>
  <c r="T1928" i="34"/>
  <c r="U1928" i="34"/>
  <c r="V1928" i="34"/>
  <c r="W1928" i="34"/>
  <c r="X1928" i="34"/>
  <c r="Y1928" i="34"/>
  <c r="N1929" i="34"/>
  <c r="C1929" i="34"/>
  <c r="B1929" i="34"/>
  <c r="O1929" i="34"/>
  <c r="P1929" i="34"/>
  <c r="Q1929" i="34"/>
  <c r="R1929" i="34"/>
  <c r="S1929" i="34"/>
  <c r="T1929" i="34"/>
  <c r="U1929" i="34"/>
  <c r="V1929" i="34"/>
  <c r="W1929" i="34"/>
  <c r="X1929" i="34"/>
  <c r="Y1929" i="34"/>
  <c r="N1930" i="34"/>
  <c r="C1930" i="34"/>
  <c r="B1930" i="34"/>
  <c r="O1930" i="34"/>
  <c r="P1930" i="34"/>
  <c r="Q1930" i="34"/>
  <c r="R1930" i="34"/>
  <c r="S1930" i="34"/>
  <c r="T1930" i="34"/>
  <c r="U1930" i="34"/>
  <c r="V1930" i="34"/>
  <c r="W1930" i="34"/>
  <c r="X1930" i="34"/>
  <c r="Y1930" i="34"/>
  <c r="N1931" i="34"/>
  <c r="C1931" i="34"/>
  <c r="B1931" i="34"/>
  <c r="O1931" i="34"/>
  <c r="P1931" i="34"/>
  <c r="Q1931" i="34"/>
  <c r="R1931" i="34"/>
  <c r="S1931" i="34"/>
  <c r="T1931" i="34"/>
  <c r="U1931" i="34"/>
  <c r="V1931" i="34"/>
  <c r="W1931" i="34"/>
  <c r="X1931" i="34"/>
  <c r="Y1931" i="34"/>
  <c r="N1932" i="34"/>
  <c r="C1932" i="34"/>
  <c r="B1932" i="34"/>
  <c r="O1932" i="34"/>
  <c r="P1932" i="34"/>
  <c r="Q1932" i="34"/>
  <c r="R1932" i="34"/>
  <c r="S1932" i="34"/>
  <c r="T1932" i="34"/>
  <c r="U1932" i="34"/>
  <c r="V1932" i="34"/>
  <c r="W1932" i="34"/>
  <c r="X1932" i="34"/>
  <c r="Y1932" i="34"/>
  <c r="N1933" i="34"/>
  <c r="C1933" i="34"/>
  <c r="B1933" i="34"/>
  <c r="O1933" i="34"/>
  <c r="P1933" i="34"/>
  <c r="Q1933" i="34"/>
  <c r="R1933" i="34"/>
  <c r="S1933" i="34"/>
  <c r="T1933" i="34"/>
  <c r="U1933" i="34"/>
  <c r="V1933" i="34"/>
  <c r="W1933" i="34"/>
  <c r="X1933" i="34"/>
  <c r="Y1933" i="34"/>
  <c r="N1934" i="34"/>
  <c r="C1934" i="34"/>
  <c r="B1934" i="34"/>
  <c r="O1934" i="34"/>
  <c r="P1934" i="34"/>
  <c r="Q1934" i="34"/>
  <c r="R1934" i="34"/>
  <c r="S1934" i="34"/>
  <c r="T1934" i="34"/>
  <c r="U1934" i="34"/>
  <c r="V1934" i="34"/>
  <c r="W1934" i="34"/>
  <c r="X1934" i="34"/>
  <c r="Y1934" i="34"/>
  <c r="N1935" i="34"/>
  <c r="C1935" i="34"/>
  <c r="B1935" i="34"/>
  <c r="O1935" i="34"/>
  <c r="P1935" i="34"/>
  <c r="Q1935" i="34"/>
  <c r="R1935" i="34"/>
  <c r="S1935" i="34"/>
  <c r="T1935" i="34"/>
  <c r="U1935" i="34"/>
  <c r="V1935" i="34"/>
  <c r="W1935" i="34"/>
  <c r="X1935" i="34"/>
  <c r="Y1935" i="34"/>
  <c r="N1936" i="34"/>
  <c r="C1936" i="34"/>
  <c r="B1936" i="34"/>
  <c r="O1936" i="34"/>
  <c r="P1936" i="34"/>
  <c r="Q1936" i="34"/>
  <c r="R1936" i="34"/>
  <c r="S1936" i="34"/>
  <c r="T1936" i="34"/>
  <c r="U1936" i="34"/>
  <c r="V1936" i="34"/>
  <c r="W1936" i="34"/>
  <c r="X1936" i="34"/>
  <c r="Y1936" i="34"/>
  <c r="N1937" i="34"/>
  <c r="C1937" i="34"/>
  <c r="B1937" i="34"/>
  <c r="O1937" i="34"/>
  <c r="P1937" i="34"/>
  <c r="Q1937" i="34"/>
  <c r="R1937" i="34"/>
  <c r="S1937" i="34"/>
  <c r="T1937" i="34"/>
  <c r="U1937" i="34"/>
  <c r="V1937" i="34"/>
  <c r="W1937" i="34"/>
  <c r="X1937" i="34"/>
  <c r="Y1937" i="34"/>
  <c r="N1938" i="34"/>
  <c r="C1938" i="34"/>
  <c r="B1938" i="34"/>
  <c r="O1938" i="34"/>
  <c r="P1938" i="34"/>
  <c r="Q1938" i="34"/>
  <c r="R1938" i="34"/>
  <c r="S1938" i="34"/>
  <c r="T1938" i="34"/>
  <c r="U1938" i="34"/>
  <c r="V1938" i="34"/>
  <c r="W1938" i="34"/>
  <c r="X1938" i="34"/>
  <c r="Y1938" i="34"/>
  <c r="N1939" i="34"/>
  <c r="C1939" i="34"/>
  <c r="B1939" i="34"/>
  <c r="O1939" i="34"/>
  <c r="P1939" i="34"/>
  <c r="Q1939" i="34"/>
  <c r="R1939" i="34"/>
  <c r="S1939" i="34"/>
  <c r="T1939" i="34"/>
  <c r="U1939" i="34"/>
  <c r="V1939" i="34"/>
  <c r="W1939" i="34"/>
  <c r="X1939" i="34"/>
  <c r="Y1939" i="34"/>
  <c r="N1940" i="34"/>
  <c r="C1940" i="34"/>
  <c r="B1940" i="34"/>
  <c r="O1940" i="34"/>
  <c r="P1940" i="34"/>
  <c r="Q1940" i="34"/>
  <c r="R1940" i="34"/>
  <c r="S1940" i="34"/>
  <c r="T1940" i="34"/>
  <c r="U1940" i="34"/>
  <c r="V1940" i="34"/>
  <c r="W1940" i="34"/>
  <c r="X1940" i="34"/>
  <c r="Y1940" i="34"/>
  <c r="N1941" i="34"/>
  <c r="C1941" i="34"/>
  <c r="B1941" i="34"/>
  <c r="O1941" i="34"/>
  <c r="P1941" i="34"/>
  <c r="Q1941" i="34"/>
  <c r="R1941" i="34"/>
  <c r="S1941" i="34"/>
  <c r="T1941" i="34"/>
  <c r="U1941" i="34"/>
  <c r="V1941" i="34"/>
  <c r="W1941" i="34"/>
  <c r="X1941" i="34"/>
  <c r="Y1941" i="34"/>
  <c r="N1942" i="34"/>
  <c r="C1942" i="34"/>
  <c r="B1942" i="34"/>
  <c r="O1942" i="34"/>
  <c r="P1942" i="34"/>
  <c r="Q1942" i="34"/>
  <c r="R1942" i="34"/>
  <c r="S1942" i="34"/>
  <c r="T1942" i="34"/>
  <c r="U1942" i="34"/>
  <c r="V1942" i="34"/>
  <c r="W1942" i="34"/>
  <c r="X1942" i="34"/>
  <c r="Y1942" i="34"/>
  <c r="N1943" i="34"/>
  <c r="C1943" i="34"/>
  <c r="B1943" i="34"/>
  <c r="O1943" i="34"/>
  <c r="P1943" i="34"/>
  <c r="Q1943" i="34"/>
  <c r="R1943" i="34"/>
  <c r="S1943" i="34"/>
  <c r="T1943" i="34"/>
  <c r="U1943" i="34"/>
  <c r="V1943" i="34"/>
  <c r="W1943" i="34"/>
  <c r="X1943" i="34"/>
  <c r="Y1943" i="34"/>
  <c r="N1944" i="34"/>
  <c r="C1944" i="34"/>
  <c r="B1944" i="34"/>
  <c r="O1944" i="34"/>
  <c r="P1944" i="34"/>
  <c r="Q1944" i="34"/>
  <c r="R1944" i="34"/>
  <c r="S1944" i="34"/>
  <c r="T1944" i="34"/>
  <c r="U1944" i="34"/>
  <c r="V1944" i="34"/>
  <c r="W1944" i="34"/>
  <c r="X1944" i="34"/>
  <c r="Y1944" i="34"/>
  <c r="N1945" i="34"/>
  <c r="B1945" i="34"/>
  <c r="O1945" i="34"/>
  <c r="P1945" i="34"/>
  <c r="Q1945" i="34"/>
  <c r="R1945" i="34"/>
  <c r="S1945" i="34"/>
  <c r="T1945" i="34"/>
  <c r="U1945" i="34"/>
  <c r="V1945" i="34"/>
  <c r="W1945" i="34"/>
  <c r="X1945" i="34"/>
  <c r="Y1945" i="34"/>
  <c r="N1946" i="34"/>
  <c r="B1946" i="34"/>
  <c r="O1946" i="34"/>
  <c r="P1946" i="34"/>
  <c r="Q1946" i="34"/>
  <c r="R1946" i="34"/>
  <c r="S1946" i="34"/>
  <c r="T1946" i="34"/>
  <c r="U1946" i="34"/>
  <c r="V1946" i="34"/>
  <c r="W1946" i="34"/>
  <c r="X1946" i="34"/>
  <c r="Y1946" i="34"/>
  <c r="N1947" i="34"/>
  <c r="B1947" i="34"/>
  <c r="O1947" i="34"/>
  <c r="P1947" i="34"/>
  <c r="Q1947" i="34"/>
  <c r="R1947" i="34"/>
  <c r="S1947" i="34"/>
  <c r="T1947" i="34"/>
  <c r="U1947" i="34"/>
  <c r="V1947" i="34"/>
  <c r="W1947" i="34"/>
  <c r="X1947" i="34"/>
  <c r="Y1947" i="34"/>
  <c r="N1948" i="34"/>
  <c r="C1948" i="34"/>
  <c r="B1948" i="34"/>
  <c r="O1948" i="34"/>
  <c r="P1948" i="34"/>
  <c r="Q1948" i="34"/>
  <c r="R1948" i="34"/>
  <c r="S1948" i="34"/>
  <c r="T1948" i="34"/>
  <c r="U1948" i="34"/>
  <c r="V1948" i="34"/>
  <c r="W1948" i="34"/>
  <c r="X1948" i="34"/>
  <c r="Y1948" i="34"/>
  <c r="N1949" i="34"/>
  <c r="C1949" i="34"/>
  <c r="B1949" i="34"/>
  <c r="O1949" i="34"/>
  <c r="P1949" i="34"/>
  <c r="Q1949" i="34"/>
  <c r="R1949" i="34"/>
  <c r="S1949" i="34"/>
  <c r="T1949" i="34"/>
  <c r="U1949" i="34"/>
  <c r="V1949" i="34"/>
  <c r="W1949" i="34"/>
  <c r="X1949" i="34"/>
  <c r="Y1949" i="34"/>
  <c r="N1950" i="34"/>
  <c r="C1950" i="34"/>
  <c r="B1950" i="34"/>
  <c r="O1950" i="34"/>
  <c r="P1950" i="34"/>
  <c r="Q1950" i="34"/>
  <c r="R1950" i="34"/>
  <c r="S1950" i="34"/>
  <c r="T1950" i="34"/>
  <c r="U1950" i="34"/>
  <c r="V1950" i="34"/>
  <c r="W1950" i="34"/>
  <c r="X1950" i="34"/>
  <c r="Y1950" i="34"/>
  <c r="N1951" i="34"/>
  <c r="C1951" i="34"/>
  <c r="B1951" i="34"/>
  <c r="O1951" i="34"/>
  <c r="P1951" i="34"/>
  <c r="Q1951" i="34"/>
  <c r="R1951" i="34"/>
  <c r="S1951" i="34"/>
  <c r="T1951" i="34"/>
  <c r="U1951" i="34"/>
  <c r="V1951" i="34"/>
  <c r="W1951" i="34"/>
  <c r="X1951" i="34"/>
  <c r="Y1951" i="34"/>
  <c r="N1952" i="34"/>
  <c r="B1952" i="34"/>
  <c r="O1952" i="34"/>
  <c r="P1952" i="34"/>
  <c r="Q1952" i="34"/>
  <c r="R1952" i="34"/>
  <c r="S1952" i="34"/>
  <c r="T1952" i="34"/>
  <c r="U1952" i="34"/>
  <c r="V1952" i="34"/>
  <c r="W1952" i="34"/>
  <c r="X1952" i="34"/>
  <c r="Y1952" i="34"/>
  <c r="N1953" i="34"/>
  <c r="B1953" i="34"/>
  <c r="O1953" i="34"/>
  <c r="P1953" i="34"/>
  <c r="Q1953" i="34"/>
  <c r="R1953" i="34"/>
  <c r="S1953" i="34"/>
  <c r="T1953" i="34"/>
  <c r="U1953" i="34"/>
  <c r="V1953" i="34"/>
  <c r="W1953" i="34"/>
  <c r="X1953" i="34"/>
  <c r="Y1953" i="34"/>
  <c r="N1954" i="34"/>
  <c r="B1954" i="34"/>
  <c r="O1954" i="34"/>
  <c r="P1954" i="34"/>
  <c r="Q1954" i="34"/>
  <c r="R1954" i="34"/>
  <c r="S1954" i="34"/>
  <c r="T1954" i="34"/>
  <c r="U1954" i="34"/>
  <c r="V1954" i="34"/>
  <c r="W1954" i="34"/>
  <c r="X1954" i="34"/>
  <c r="Y1954" i="34"/>
  <c r="N1955" i="34"/>
  <c r="B1955" i="34"/>
  <c r="O1955" i="34"/>
  <c r="P1955" i="34"/>
  <c r="Q1955" i="34"/>
  <c r="R1955" i="34"/>
  <c r="S1955" i="34"/>
  <c r="T1955" i="34"/>
  <c r="U1955" i="34"/>
  <c r="V1955" i="34"/>
  <c r="W1955" i="34"/>
  <c r="X1955" i="34"/>
  <c r="Y1955" i="34"/>
  <c r="N1956" i="34"/>
  <c r="B1956" i="34"/>
  <c r="O1956" i="34"/>
  <c r="P1956" i="34"/>
  <c r="Q1956" i="34"/>
  <c r="R1956" i="34"/>
  <c r="S1956" i="34"/>
  <c r="T1956" i="34"/>
  <c r="U1956" i="34"/>
  <c r="V1956" i="34"/>
  <c r="W1956" i="34"/>
  <c r="X1956" i="34"/>
  <c r="Y1956" i="34"/>
  <c r="N1957" i="34"/>
  <c r="B1957" i="34"/>
  <c r="O1957" i="34"/>
  <c r="P1957" i="34"/>
  <c r="Q1957" i="34"/>
  <c r="R1957" i="34"/>
  <c r="S1957" i="34"/>
  <c r="T1957" i="34"/>
  <c r="U1957" i="34"/>
  <c r="V1957" i="34"/>
  <c r="W1957" i="34"/>
  <c r="X1957" i="34"/>
  <c r="Y1957" i="34"/>
  <c r="N1958" i="34"/>
  <c r="B1958" i="34"/>
  <c r="O1958" i="34"/>
  <c r="P1958" i="34"/>
  <c r="Q1958" i="34"/>
  <c r="R1958" i="34"/>
  <c r="S1958" i="34"/>
  <c r="T1958" i="34"/>
  <c r="U1958" i="34"/>
  <c r="V1958" i="34"/>
  <c r="W1958" i="34"/>
  <c r="X1958" i="34"/>
  <c r="Y1958" i="34"/>
  <c r="N1959" i="34"/>
  <c r="B1959" i="34"/>
  <c r="O1959" i="34"/>
  <c r="P1959" i="34"/>
  <c r="Q1959" i="34"/>
  <c r="R1959" i="34"/>
  <c r="S1959" i="34"/>
  <c r="T1959" i="34"/>
  <c r="U1959" i="34"/>
  <c r="V1959" i="34"/>
  <c r="W1959" i="34"/>
  <c r="X1959" i="34"/>
  <c r="Y1959" i="34"/>
  <c r="N1960" i="34"/>
  <c r="B1960" i="34"/>
  <c r="O1960" i="34"/>
  <c r="P1960" i="34"/>
  <c r="Q1960" i="34"/>
  <c r="R1960" i="34"/>
  <c r="S1960" i="34"/>
  <c r="T1960" i="34"/>
  <c r="U1960" i="34"/>
  <c r="V1960" i="34"/>
  <c r="W1960" i="34"/>
  <c r="X1960" i="34"/>
  <c r="Y1960" i="34"/>
  <c r="N1961" i="34"/>
  <c r="B1961" i="34"/>
  <c r="O1961" i="34"/>
  <c r="P1961" i="34"/>
  <c r="Q1961" i="34"/>
  <c r="R1961" i="34"/>
  <c r="S1961" i="34"/>
  <c r="T1961" i="34"/>
  <c r="U1961" i="34"/>
  <c r="V1961" i="34"/>
  <c r="W1961" i="34"/>
  <c r="X1961" i="34"/>
  <c r="Y1961" i="34"/>
  <c r="N1962" i="34"/>
  <c r="C1962" i="34"/>
  <c r="B1962" i="34"/>
  <c r="O1962" i="34"/>
  <c r="P1962" i="34"/>
  <c r="Q1962" i="34"/>
  <c r="R1962" i="34"/>
  <c r="S1962" i="34"/>
  <c r="T1962" i="34"/>
  <c r="U1962" i="34"/>
  <c r="V1962" i="34"/>
  <c r="W1962" i="34"/>
  <c r="X1962" i="34"/>
  <c r="Y1962" i="34"/>
  <c r="N1963" i="34"/>
  <c r="B1963" i="34"/>
  <c r="O1963" i="34"/>
  <c r="P1963" i="34"/>
  <c r="Q1963" i="34"/>
  <c r="R1963" i="34"/>
  <c r="S1963" i="34"/>
  <c r="T1963" i="34"/>
  <c r="U1963" i="34"/>
  <c r="V1963" i="34"/>
  <c r="W1963" i="34"/>
  <c r="X1963" i="34"/>
  <c r="Y1963" i="34"/>
  <c r="N1964" i="34"/>
  <c r="B1964" i="34"/>
  <c r="O1964" i="34"/>
  <c r="P1964" i="34"/>
  <c r="Q1964" i="34"/>
  <c r="R1964" i="34"/>
  <c r="S1964" i="34"/>
  <c r="T1964" i="34"/>
  <c r="U1964" i="34"/>
  <c r="V1964" i="34"/>
  <c r="W1964" i="34"/>
  <c r="X1964" i="34"/>
  <c r="Y1964" i="34"/>
  <c r="N1965" i="34"/>
  <c r="B1965" i="34"/>
  <c r="O1965" i="34"/>
  <c r="P1965" i="34"/>
  <c r="Q1965" i="34"/>
  <c r="R1965" i="34"/>
  <c r="S1965" i="34"/>
  <c r="T1965" i="34"/>
  <c r="U1965" i="34"/>
  <c r="V1965" i="34"/>
  <c r="W1965" i="34"/>
  <c r="X1965" i="34"/>
  <c r="Y1965" i="34"/>
  <c r="N1966" i="34"/>
  <c r="B1966" i="34"/>
  <c r="O1966" i="34"/>
  <c r="P1966" i="34"/>
  <c r="Q1966" i="34"/>
  <c r="R1966" i="34"/>
  <c r="S1966" i="34"/>
  <c r="T1966" i="34"/>
  <c r="U1966" i="34"/>
  <c r="V1966" i="34"/>
  <c r="W1966" i="34"/>
  <c r="X1966" i="34"/>
  <c r="Y1966" i="34"/>
  <c r="N1967" i="34"/>
  <c r="C1967" i="34"/>
  <c r="B1967" i="34"/>
  <c r="O1967" i="34"/>
  <c r="P1967" i="34"/>
  <c r="Q1967" i="34"/>
  <c r="R1967" i="34"/>
  <c r="S1967" i="34"/>
  <c r="T1967" i="34"/>
  <c r="U1967" i="34"/>
  <c r="V1967" i="34"/>
  <c r="W1967" i="34"/>
  <c r="X1967" i="34"/>
  <c r="Y1967" i="34"/>
  <c r="N1968" i="34"/>
  <c r="C1968" i="34"/>
  <c r="B1968" i="34"/>
  <c r="O1968" i="34"/>
  <c r="P1968" i="34"/>
  <c r="Q1968" i="34"/>
  <c r="R1968" i="34"/>
  <c r="S1968" i="34"/>
  <c r="T1968" i="34"/>
  <c r="U1968" i="34"/>
  <c r="V1968" i="34"/>
  <c r="W1968" i="34"/>
  <c r="X1968" i="34"/>
  <c r="Y1968" i="34"/>
  <c r="N1969" i="34"/>
  <c r="C1969" i="34"/>
  <c r="B1969" i="34"/>
  <c r="O1969" i="34"/>
  <c r="P1969" i="34"/>
  <c r="Q1969" i="34"/>
  <c r="R1969" i="34"/>
  <c r="S1969" i="34"/>
  <c r="T1969" i="34"/>
  <c r="U1969" i="34"/>
  <c r="V1969" i="34"/>
  <c r="W1969" i="34"/>
  <c r="X1969" i="34"/>
  <c r="Y1969" i="34"/>
  <c r="N1970" i="34"/>
  <c r="C1970" i="34"/>
  <c r="B1970" i="34"/>
  <c r="O1970" i="34"/>
  <c r="P1970" i="34"/>
  <c r="Q1970" i="34"/>
  <c r="R1970" i="34"/>
  <c r="S1970" i="34"/>
  <c r="T1970" i="34"/>
  <c r="U1970" i="34"/>
  <c r="V1970" i="34"/>
  <c r="W1970" i="34"/>
  <c r="X1970" i="34"/>
  <c r="Y1970" i="34"/>
  <c r="N1971" i="34"/>
  <c r="C1971" i="34"/>
  <c r="B1971" i="34"/>
  <c r="O1971" i="34"/>
  <c r="P1971" i="34"/>
  <c r="Q1971" i="34"/>
  <c r="R1971" i="34"/>
  <c r="S1971" i="34"/>
  <c r="T1971" i="34"/>
  <c r="U1971" i="34"/>
  <c r="V1971" i="34"/>
  <c r="W1971" i="34"/>
  <c r="X1971" i="34"/>
  <c r="Y1971" i="34"/>
  <c r="N1972" i="34"/>
  <c r="C1972" i="34"/>
  <c r="B1972" i="34"/>
  <c r="O1972" i="34"/>
  <c r="P1972" i="34"/>
  <c r="Q1972" i="34"/>
  <c r="R1972" i="34"/>
  <c r="S1972" i="34"/>
  <c r="T1972" i="34"/>
  <c r="U1972" i="34"/>
  <c r="V1972" i="34"/>
  <c r="W1972" i="34"/>
  <c r="X1972" i="34"/>
  <c r="Y1972" i="34"/>
  <c r="N1973" i="34"/>
  <c r="C1973" i="34"/>
  <c r="B1973" i="34"/>
  <c r="O1973" i="34"/>
  <c r="P1973" i="34"/>
  <c r="Q1973" i="34"/>
  <c r="R1973" i="34"/>
  <c r="S1973" i="34"/>
  <c r="T1973" i="34"/>
  <c r="U1973" i="34"/>
  <c r="V1973" i="34"/>
  <c r="W1973" i="34"/>
  <c r="X1973" i="34"/>
  <c r="Y1973" i="34"/>
  <c r="N1974" i="34"/>
  <c r="C1974" i="34"/>
  <c r="B1974" i="34"/>
  <c r="O1974" i="34"/>
  <c r="P1974" i="34"/>
  <c r="Q1974" i="34"/>
  <c r="R1974" i="34"/>
  <c r="S1974" i="34"/>
  <c r="T1974" i="34"/>
  <c r="U1974" i="34"/>
  <c r="V1974" i="34"/>
  <c r="W1974" i="34"/>
  <c r="X1974" i="34"/>
  <c r="Y1974" i="34"/>
  <c r="N1975" i="34"/>
  <c r="C1975" i="34"/>
  <c r="B1975" i="34"/>
  <c r="O1975" i="34"/>
  <c r="P1975" i="34"/>
  <c r="Q1975" i="34"/>
  <c r="R1975" i="34"/>
  <c r="S1975" i="34"/>
  <c r="T1975" i="34"/>
  <c r="U1975" i="34"/>
  <c r="V1975" i="34"/>
  <c r="W1975" i="34"/>
  <c r="X1975" i="34"/>
  <c r="Y1975" i="34"/>
  <c r="N1976" i="34"/>
  <c r="C1976" i="34"/>
  <c r="B1976" i="34"/>
  <c r="O1976" i="34"/>
  <c r="P1976" i="34"/>
  <c r="Q1976" i="34"/>
  <c r="R1976" i="34"/>
  <c r="S1976" i="34"/>
  <c r="T1976" i="34"/>
  <c r="U1976" i="34"/>
  <c r="V1976" i="34"/>
  <c r="W1976" i="34"/>
  <c r="X1976" i="34"/>
  <c r="Y1976" i="34"/>
  <c r="N1977" i="34"/>
  <c r="B1977" i="34"/>
  <c r="O1977" i="34"/>
  <c r="P1977" i="34"/>
  <c r="Q1977" i="34"/>
  <c r="R1977" i="34"/>
  <c r="S1977" i="34"/>
  <c r="T1977" i="34"/>
  <c r="U1977" i="34"/>
  <c r="V1977" i="34"/>
  <c r="W1977" i="34"/>
  <c r="X1977" i="34"/>
  <c r="Y1977" i="34"/>
  <c r="N1978" i="34"/>
  <c r="B1978" i="34"/>
  <c r="O1978" i="34"/>
  <c r="P1978" i="34"/>
  <c r="Q1978" i="34"/>
  <c r="R1978" i="34"/>
  <c r="S1978" i="34"/>
  <c r="T1978" i="34"/>
  <c r="U1978" i="34"/>
  <c r="V1978" i="34"/>
  <c r="W1978" i="34"/>
  <c r="X1978" i="34"/>
  <c r="Y1978" i="34"/>
  <c r="N1979" i="34"/>
  <c r="C1979" i="34"/>
  <c r="B1979" i="34"/>
  <c r="O1979" i="34"/>
  <c r="P1979" i="34"/>
  <c r="Q1979" i="34"/>
  <c r="R1979" i="34"/>
  <c r="S1979" i="34"/>
  <c r="T1979" i="34"/>
  <c r="U1979" i="34"/>
  <c r="V1979" i="34"/>
  <c r="W1979" i="34"/>
  <c r="X1979" i="34"/>
  <c r="Y1979" i="34"/>
  <c r="N1980" i="34"/>
  <c r="C1980" i="34"/>
  <c r="B1980" i="34"/>
  <c r="O1980" i="34"/>
  <c r="P1980" i="34"/>
  <c r="Q1980" i="34"/>
  <c r="R1980" i="34"/>
  <c r="S1980" i="34"/>
  <c r="T1980" i="34"/>
  <c r="U1980" i="34"/>
  <c r="V1980" i="34"/>
  <c r="W1980" i="34"/>
  <c r="X1980" i="34"/>
  <c r="Y1980" i="34"/>
  <c r="N1981" i="34"/>
  <c r="C1981" i="34"/>
  <c r="B1981" i="34"/>
  <c r="O1981" i="34"/>
  <c r="P1981" i="34"/>
  <c r="Q1981" i="34"/>
  <c r="R1981" i="34"/>
  <c r="S1981" i="34"/>
  <c r="T1981" i="34"/>
  <c r="U1981" i="34"/>
  <c r="V1981" i="34"/>
  <c r="W1981" i="34"/>
  <c r="X1981" i="34"/>
  <c r="Y1981" i="34"/>
  <c r="N1982" i="34"/>
  <c r="C1982" i="34"/>
  <c r="B1982" i="34"/>
  <c r="O1982" i="34"/>
  <c r="P1982" i="34"/>
  <c r="Q1982" i="34"/>
  <c r="R1982" i="34"/>
  <c r="S1982" i="34"/>
  <c r="T1982" i="34"/>
  <c r="U1982" i="34"/>
  <c r="V1982" i="34"/>
  <c r="W1982" i="34"/>
  <c r="X1982" i="34"/>
  <c r="Y1982" i="34"/>
  <c r="N1983" i="34"/>
  <c r="C1983" i="34"/>
  <c r="B1983" i="34"/>
  <c r="O1983" i="34"/>
  <c r="P1983" i="34"/>
  <c r="Q1983" i="34"/>
  <c r="R1983" i="34"/>
  <c r="S1983" i="34"/>
  <c r="T1983" i="34"/>
  <c r="U1983" i="34"/>
  <c r="V1983" i="34"/>
  <c r="W1983" i="34"/>
  <c r="X1983" i="34"/>
  <c r="Y1983" i="34"/>
  <c r="N1984" i="34"/>
  <c r="C1984" i="34"/>
  <c r="B1984" i="34"/>
  <c r="O1984" i="34"/>
  <c r="P1984" i="34"/>
  <c r="Q1984" i="34"/>
  <c r="R1984" i="34"/>
  <c r="S1984" i="34"/>
  <c r="T1984" i="34"/>
  <c r="U1984" i="34"/>
  <c r="V1984" i="34"/>
  <c r="W1984" i="34"/>
  <c r="X1984" i="34"/>
  <c r="Y1984" i="34"/>
  <c r="N1985" i="34"/>
  <c r="C1985" i="34"/>
  <c r="B1985" i="34"/>
  <c r="O1985" i="34"/>
  <c r="P1985" i="34"/>
  <c r="Q1985" i="34"/>
  <c r="R1985" i="34"/>
  <c r="S1985" i="34"/>
  <c r="T1985" i="34"/>
  <c r="U1985" i="34"/>
  <c r="V1985" i="34"/>
  <c r="W1985" i="34"/>
  <c r="X1985" i="34"/>
  <c r="Y1985" i="34"/>
  <c r="N1986" i="34"/>
  <c r="C1986" i="34"/>
  <c r="B1986" i="34"/>
  <c r="O1986" i="34"/>
  <c r="P1986" i="34"/>
  <c r="Q1986" i="34"/>
  <c r="R1986" i="34"/>
  <c r="S1986" i="34"/>
  <c r="T1986" i="34"/>
  <c r="U1986" i="34"/>
  <c r="V1986" i="34"/>
  <c r="W1986" i="34"/>
  <c r="X1986" i="34"/>
  <c r="Y1986" i="34"/>
  <c r="N1987" i="34"/>
  <c r="C1987" i="34"/>
  <c r="B1987" i="34"/>
  <c r="O1987" i="34"/>
  <c r="P1987" i="34"/>
  <c r="Q1987" i="34"/>
  <c r="R1987" i="34"/>
  <c r="S1987" i="34"/>
  <c r="T1987" i="34"/>
  <c r="U1987" i="34"/>
  <c r="V1987" i="34"/>
  <c r="W1987" i="34"/>
  <c r="X1987" i="34"/>
  <c r="Y1987" i="34"/>
  <c r="N1988" i="34"/>
  <c r="C1988" i="34"/>
  <c r="B1988" i="34"/>
  <c r="O1988" i="34"/>
  <c r="P1988" i="34"/>
  <c r="Q1988" i="34"/>
  <c r="R1988" i="34"/>
  <c r="S1988" i="34"/>
  <c r="T1988" i="34"/>
  <c r="U1988" i="34"/>
  <c r="V1988" i="34"/>
  <c r="W1988" i="34"/>
  <c r="X1988" i="34"/>
  <c r="Y1988" i="34"/>
  <c r="N1989" i="34"/>
  <c r="C1989" i="34"/>
  <c r="B1989" i="34"/>
  <c r="O1989" i="34"/>
  <c r="P1989" i="34"/>
  <c r="Q1989" i="34"/>
  <c r="R1989" i="34"/>
  <c r="S1989" i="34"/>
  <c r="T1989" i="34"/>
  <c r="U1989" i="34"/>
  <c r="V1989" i="34"/>
  <c r="W1989" i="34"/>
  <c r="X1989" i="34"/>
  <c r="Y1989" i="34"/>
  <c r="N1990" i="34"/>
  <c r="C1990" i="34"/>
  <c r="B1990" i="34"/>
  <c r="O1990" i="34"/>
  <c r="P1990" i="34"/>
  <c r="Q1990" i="34"/>
  <c r="R1990" i="34"/>
  <c r="S1990" i="34"/>
  <c r="T1990" i="34"/>
  <c r="U1990" i="34"/>
  <c r="V1990" i="34"/>
  <c r="W1990" i="34"/>
  <c r="X1990" i="34"/>
  <c r="Y1990" i="34"/>
  <c r="N1991" i="34"/>
  <c r="C1991" i="34"/>
  <c r="B1991" i="34"/>
  <c r="O1991" i="34"/>
  <c r="P1991" i="34"/>
  <c r="Q1991" i="34"/>
  <c r="R1991" i="34"/>
  <c r="S1991" i="34"/>
  <c r="T1991" i="34"/>
  <c r="U1991" i="34"/>
  <c r="V1991" i="34"/>
  <c r="W1991" i="34"/>
  <c r="X1991" i="34"/>
  <c r="Y1991" i="34"/>
  <c r="N1992" i="34"/>
  <c r="C1992" i="34"/>
  <c r="B1992" i="34"/>
  <c r="O1992" i="34"/>
  <c r="P1992" i="34"/>
  <c r="Q1992" i="34"/>
  <c r="R1992" i="34"/>
  <c r="S1992" i="34"/>
  <c r="T1992" i="34"/>
  <c r="U1992" i="34"/>
  <c r="V1992" i="34"/>
  <c r="W1992" i="34"/>
  <c r="X1992" i="34"/>
  <c r="Y1992" i="34"/>
  <c r="N1993" i="34"/>
  <c r="C1993" i="34"/>
  <c r="B1993" i="34"/>
  <c r="O1993" i="34"/>
  <c r="P1993" i="34"/>
  <c r="Q1993" i="34"/>
  <c r="R1993" i="34"/>
  <c r="S1993" i="34"/>
  <c r="T1993" i="34"/>
  <c r="U1993" i="34"/>
  <c r="V1993" i="34"/>
  <c r="W1993" i="34"/>
  <c r="X1993" i="34"/>
  <c r="Y1993" i="34"/>
  <c r="N1994" i="34"/>
  <c r="C1994" i="34"/>
  <c r="B1994" i="34"/>
  <c r="O1994" i="34"/>
  <c r="P1994" i="34"/>
  <c r="Q1994" i="34"/>
  <c r="R1994" i="34"/>
  <c r="S1994" i="34"/>
  <c r="T1994" i="34"/>
  <c r="U1994" i="34"/>
  <c r="V1994" i="34"/>
  <c r="W1994" i="34"/>
  <c r="X1994" i="34"/>
  <c r="Y1994" i="34"/>
  <c r="N1995" i="34"/>
  <c r="C1995" i="34"/>
  <c r="B1995" i="34"/>
  <c r="O1995" i="34"/>
  <c r="P1995" i="34"/>
  <c r="Q1995" i="34"/>
  <c r="R1995" i="34"/>
  <c r="S1995" i="34"/>
  <c r="T1995" i="34"/>
  <c r="U1995" i="34"/>
  <c r="V1995" i="34"/>
  <c r="W1995" i="34"/>
  <c r="X1995" i="34"/>
  <c r="Y1995" i="34"/>
  <c r="N1996" i="34"/>
  <c r="C1996" i="34"/>
  <c r="B1996" i="34"/>
  <c r="O1996" i="34"/>
  <c r="P1996" i="34"/>
  <c r="Q1996" i="34"/>
  <c r="R1996" i="34"/>
  <c r="S1996" i="34"/>
  <c r="T1996" i="34"/>
  <c r="U1996" i="34"/>
  <c r="V1996" i="34"/>
  <c r="W1996" i="34"/>
  <c r="X1996" i="34"/>
  <c r="Y1996" i="34"/>
  <c r="N1997" i="34"/>
  <c r="B1997" i="34"/>
  <c r="O1997" i="34"/>
  <c r="P1997" i="34"/>
  <c r="Q1997" i="34"/>
  <c r="R1997" i="34"/>
  <c r="S1997" i="34"/>
  <c r="T1997" i="34"/>
  <c r="U1997" i="34"/>
  <c r="V1997" i="34"/>
  <c r="W1997" i="34"/>
  <c r="X1997" i="34"/>
  <c r="Y1997" i="34"/>
  <c r="N1998" i="34"/>
  <c r="B1998" i="34"/>
  <c r="O1998" i="34"/>
  <c r="P1998" i="34"/>
  <c r="Q1998" i="34"/>
  <c r="R1998" i="34"/>
  <c r="S1998" i="34"/>
  <c r="T1998" i="34"/>
  <c r="U1998" i="34"/>
  <c r="V1998" i="34"/>
  <c r="W1998" i="34"/>
  <c r="X1998" i="34"/>
  <c r="Y1998" i="34"/>
  <c r="N1999" i="34"/>
  <c r="B1999" i="34"/>
  <c r="O1999" i="34"/>
  <c r="P1999" i="34"/>
  <c r="Q1999" i="34"/>
  <c r="R1999" i="34"/>
  <c r="S1999" i="34"/>
  <c r="T1999" i="34"/>
  <c r="U1999" i="34"/>
  <c r="V1999" i="34"/>
  <c r="W1999" i="34"/>
  <c r="X1999" i="34"/>
  <c r="Y1999" i="34"/>
  <c r="N2000" i="34"/>
  <c r="B2000" i="34"/>
  <c r="O2000" i="34"/>
  <c r="P2000" i="34"/>
  <c r="Q2000" i="34"/>
  <c r="R2000" i="34"/>
  <c r="S2000" i="34"/>
  <c r="T2000" i="34"/>
  <c r="U2000" i="34"/>
  <c r="V2000" i="34"/>
  <c r="W2000" i="34"/>
  <c r="X2000" i="34"/>
  <c r="Y2000" i="34"/>
  <c r="N2001" i="34"/>
  <c r="B2001" i="34"/>
  <c r="O2001" i="34"/>
  <c r="P2001" i="34"/>
  <c r="Q2001" i="34"/>
  <c r="R2001" i="34"/>
  <c r="S2001" i="34"/>
  <c r="T2001" i="34"/>
  <c r="U2001" i="34"/>
  <c r="V2001" i="34"/>
  <c r="W2001" i="34"/>
  <c r="X2001" i="34"/>
  <c r="Y2001" i="34"/>
  <c r="N2002" i="34"/>
  <c r="B2002" i="34"/>
  <c r="O2002" i="34"/>
  <c r="P2002" i="34"/>
  <c r="Q2002" i="34"/>
  <c r="R2002" i="34"/>
  <c r="S2002" i="34"/>
  <c r="T2002" i="34"/>
  <c r="U2002" i="34"/>
  <c r="V2002" i="34"/>
  <c r="W2002" i="34"/>
  <c r="X2002" i="34"/>
  <c r="Y2002" i="34"/>
  <c r="N2003" i="34"/>
  <c r="B2003" i="34"/>
  <c r="O2003" i="34"/>
  <c r="P2003" i="34"/>
  <c r="Q2003" i="34"/>
  <c r="R2003" i="34"/>
  <c r="S2003" i="34"/>
  <c r="T2003" i="34"/>
  <c r="U2003" i="34"/>
  <c r="V2003" i="34"/>
  <c r="W2003" i="34"/>
  <c r="X2003" i="34"/>
  <c r="Y2003" i="34"/>
  <c r="N2004" i="34"/>
  <c r="B2004" i="34"/>
  <c r="O2004" i="34"/>
  <c r="P2004" i="34"/>
  <c r="Q2004" i="34"/>
  <c r="R2004" i="34"/>
  <c r="S2004" i="34"/>
  <c r="T2004" i="34"/>
  <c r="U2004" i="34"/>
  <c r="V2004" i="34"/>
  <c r="W2004" i="34"/>
  <c r="X2004" i="34"/>
  <c r="Y2004" i="34"/>
  <c r="N2005" i="34"/>
  <c r="B2005" i="34"/>
  <c r="O2005" i="34"/>
  <c r="P2005" i="34"/>
  <c r="Q2005" i="34"/>
  <c r="R2005" i="34"/>
  <c r="S2005" i="34"/>
  <c r="T2005" i="34"/>
  <c r="U2005" i="34"/>
  <c r="V2005" i="34"/>
  <c r="W2005" i="34"/>
  <c r="X2005" i="34"/>
  <c r="Y2005" i="34"/>
  <c r="N2006" i="34"/>
  <c r="B2006" i="34"/>
  <c r="O2006" i="34"/>
  <c r="P2006" i="34"/>
  <c r="Q2006" i="34"/>
  <c r="R2006" i="34"/>
  <c r="S2006" i="34"/>
  <c r="T2006" i="34"/>
  <c r="U2006" i="34"/>
  <c r="V2006" i="34"/>
  <c r="W2006" i="34"/>
  <c r="X2006" i="34"/>
  <c r="Y2006" i="34"/>
  <c r="N2007" i="34"/>
  <c r="B2007" i="34"/>
  <c r="O2007" i="34"/>
  <c r="P2007" i="34"/>
  <c r="Q2007" i="34"/>
  <c r="R2007" i="34"/>
  <c r="S2007" i="34"/>
  <c r="T2007" i="34"/>
  <c r="U2007" i="34"/>
  <c r="V2007" i="34"/>
  <c r="W2007" i="34"/>
  <c r="X2007" i="34"/>
  <c r="Y2007" i="34"/>
  <c r="N2008" i="34"/>
  <c r="B2008" i="34"/>
  <c r="O2008" i="34"/>
  <c r="P2008" i="34"/>
  <c r="Q2008" i="34"/>
  <c r="R2008" i="34"/>
  <c r="S2008" i="34"/>
  <c r="T2008" i="34"/>
  <c r="U2008" i="34"/>
  <c r="V2008" i="34"/>
  <c r="W2008" i="34"/>
  <c r="X2008" i="34"/>
  <c r="Y2008" i="34"/>
  <c r="N2009" i="34"/>
  <c r="B2009" i="34"/>
  <c r="O2009" i="34"/>
  <c r="P2009" i="34"/>
  <c r="Q2009" i="34"/>
  <c r="R2009" i="34"/>
  <c r="S2009" i="34"/>
  <c r="T2009" i="34"/>
  <c r="U2009" i="34"/>
  <c r="V2009" i="34"/>
  <c r="W2009" i="34"/>
  <c r="X2009" i="34"/>
  <c r="Y2009" i="34"/>
  <c r="N2010" i="34"/>
  <c r="B2010" i="34"/>
  <c r="O2010" i="34"/>
  <c r="P2010" i="34"/>
  <c r="Q2010" i="34"/>
  <c r="R2010" i="34"/>
  <c r="S2010" i="34"/>
  <c r="T2010" i="34"/>
  <c r="U2010" i="34"/>
  <c r="V2010" i="34"/>
  <c r="W2010" i="34"/>
  <c r="X2010" i="34"/>
  <c r="Y2010" i="34"/>
  <c r="N2011" i="34"/>
  <c r="B2011" i="34"/>
  <c r="O2011" i="34"/>
  <c r="P2011" i="34"/>
  <c r="Q2011" i="34"/>
  <c r="R2011" i="34"/>
  <c r="S2011" i="34"/>
  <c r="T2011" i="34"/>
  <c r="U2011" i="34"/>
  <c r="V2011" i="34"/>
  <c r="W2011" i="34"/>
  <c r="X2011" i="34"/>
  <c r="Y2011" i="34"/>
  <c r="N2012" i="34"/>
  <c r="B2012" i="34"/>
  <c r="O2012" i="34"/>
  <c r="P2012" i="34"/>
  <c r="Q2012" i="34"/>
  <c r="R2012" i="34"/>
  <c r="S2012" i="34"/>
  <c r="T2012" i="34"/>
  <c r="U2012" i="34"/>
  <c r="V2012" i="34"/>
  <c r="W2012" i="34"/>
  <c r="X2012" i="34"/>
  <c r="Y2012" i="34"/>
  <c r="N2013" i="34"/>
  <c r="B2013" i="34"/>
  <c r="O2013" i="34"/>
  <c r="P2013" i="34"/>
  <c r="Q2013" i="34"/>
  <c r="R2013" i="34"/>
  <c r="S2013" i="34"/>
  <c r="T2013" i="34"/>
  <c r="U2013" i="34"/>
  <c r="V2013" i="34"/>
  <c r="W2013" i="34"/>
  <c r="X2013" i="34"/>
  <c r="Y2013" i="34"/>
  <c r="N2014" i="34"/>
  <c r="B2014" i="34"/>
  <c r="O2014" i="34"/>
  <c r="P2014" i="34"/>
  <c r="Q2014" i="34"/>
  <c r="R2014" i="34"/>
  <c r="S2014" i="34"/>
  <c r="T2014" i="34"/>
  <c r="U2014" i="34"/>
  <c r="V2014" i="34"/>
  <c r="W2014" i="34"/>
  <c r="X2014" i="34"/>
  <c r="Y2014" i="34"/>
  <c r="N2015" i="34"/>
  <c r="B2015" i="34"/>
  <c r="O2015" i="34"/>
  <c r="P2015" i="34"/>
  <c r="Q2015" i="34"/>
  <c r="R2015" i="34"/>
  <c r="S2015" i="34"/>
  <c r="T2015" i="34"/>
  <c r="U2015" i="34"/>
  <c r="V2015" i="34"/>
  <c r="W2015" i="34"/>
  <c r="X2015" i="34"/>
  <c r="Y2015" i="34"/>
  <c r="N2016" i="34"/>
  <c r="C2016" i="34"/>
  <c r="B2016" i="34"/>
  <c r="O2016" i="34"/>
  <c r="P2016" i="34"/>
  <c r="Q2016" i="34"/>
  <c r="R2016" i="34"/>
  <c r="S2016" i="34"/>
  <c r="T2016" i="34"/>
  <c r="U2016" i="34"/>
  <c r="V2016" i="34"/>
  <c r="W2016" i="34"/>
  <c r="X2016" i="34"/>
  <c r="Y2016" i="34"/>
  <c r="N2017" i="34"/>
  <c r="C2017" i="34"/>
  <c r="B2017" i="34"/>
  <c r="O2017" i="34"/>
  <c r="P2017" i="34"/>
  <c r="Q2017" i="34"/>
  <c r="R2017" i="34"/>
  <c r="S2017" i="34"/>
  <c r="T2017" i="34"/>
  <c r="U2017" i="34"/>
  <c r="V2017" i="34"/>
  <c r="W2017" i="34"/>
  <c r="X2017" i="34"/>
  <c r="Y2017" i="34"/>
  <c r="N2018" i="34"/>
  <c r="C2018" i="34"/>
  <c r="B2018" i="34"/>
  <c r="O2018" i="34"/>
  <c r="P2018" i="34"/>
  <c r="Q2018" i="34"/>
  <c r="R2018" i="34"/>
  <c r="S2018" i="34"/>
  <c r="T2018" i="34"/>
  <c r="U2018" i="34"/>
  <c r="V2018" i="34"/>
  <c r="W2018" i="34"/>
  <c r="X2018" i="34"/>
  <c r="Y2018" i="34"/>
  <c r="N2019" i="34"/>
  <c r="C2019" i="34"/>
  <c r="B2019" i="34"/>
  <c r="O2019" i="34"/>
  <c r="P2019" i="34"/>
  <c r="Q2019" i="34"/>
  <c r="R2019" i="34"/>
  <c r="S2019" i="34"/>
  <c r="T2019" i="34"/>
  <c r="U2019" i="34"/>
  <c r="V2019" i="34"/>
  <c r="W2019" i="34"/>
  <c r="X2019" i="34"/>
  <c r="Y2019" i="34"/>
  <c r="N2020" i="34"/>
  <c r="C2020" i="34"/>
  <c r="B2020" i="34"/>
  <c r="O2020" i="34"/>
  <c r="P2020" i="34"/>
  <c r="Q2020" i="34"/>
  <c r="R2020" i="34"/>
  <c r="S2020" i="34"/>
  <c r="T2020" i="34"/>
  <c r="U2020" i="34"/>
  <c r="V2020" i="34"/>
  <c r="W2020" i="34"/>
  <c r="X2020" i="34"/>
  <c r="Y2020" i="34"/>
  <c r="N2021" i="34"/>
  <c r="C2021" i="34"/>
  <c r="B2021" i="34"/>
  <c r="O2021" i="34"/>
  <c r="P2021" i="34"/>
  <c r="Q2021" i="34"/>
  <c r="R2021" i="34"/>
  <c r="S2021" i="34"/>
  <c r="T2021" i="34"/>
  <c r="U2021" i="34"/>
  <c r="V2021" i="34"/>
  <c r="W2021" i="34"/>
  <c r="X2021" i="34"/>
  <c r="Y2021" i="34"/>
  <c r="N2022" i="34"/>
  <c r="C2022" i="34"/>
  <c r="B2022" i="34"/>
  <c r="O2022" i="34"/>
  <c r="P2022" i="34"/>
  <c r="Q2022" i="34"/>
  <c r="R2022" i="34"/>
  <c r="S2022" i="34"/>
  <c r="T2022" i="34"/>
  <c r="U2022" i="34"/>
  <c r="V2022" i="34"/>
  <c r="W2022" i="34"/>
  <c r="X2022" i="34"/>
  <c r="Y2022" i="34"/>
  <c r="N2023" i="34"/>
  <c r="C2023" i="34"/>
  <c r="B2023" i="34"/>
  <c r="O2023" i="34"/>
  <c r="P2023" i="34"/>
  <c r="Q2023" i="34"/>
  <c r="R2023" i="34"/>
  <c r="S2023" i="34"/>
  <c r="T2023" i="34"/>
  <c r="U2023" i="34"/>
  <c r="V2023" i="34"/>
  <c r="W2023" i="34"/>
  <c r="X2023" i="34"/>
  <c r="Y2023" i="34"/>
  <c r="N2024" i="34"/>
  <c r="C2024" i="34"/>
  <c r="B2024" i="34"/>
  <c r="O2024" i="34"/>
  <c r="P2024" i="34"/>
  <c r="Q2024" i="34"/>
  <c r="R2024" i="34"/>
  <c r="S2024" i="34"/>
  <c r="T2024" i="34"/>
  <c r="U2024" i="34"/>
  <c r="V2024" i="34"/>
  <c r="W2024" i="34"/>
  <c r="X2024" i="34"/>
  <c r="Y2024" i="34"/>
  <c r="N2025" i="34"/>
  <c r="C2025" i="34"/>
  <c r="B2025" i="34"/>
  <c r="O2025" i="34"/>
  <c r="P2025" i="34"/>
  <c r="Q2025" i="34"/>
  <c r="R2025" i="34"/>
  <c r="S2025" i="34"/>
  <c r="T2025" i="34"/>
  <c r="U2025" i="34"/>
  <c r="V2025" i="34"/>
  <c r="W2025" i="34"/>
  <c r="X2025" i="34"/>
  <c r="Y2025" i="34"/>
  <c r="N2026" i="34"/>
  <c r="C2026" i="34"/>
  <c r="B2026" i="34"/>
  <c r="O2026" i="34"/>
  <c r="P2026" i="34"/>
  <c r="Q2026" i="34"/>
  <c r="R2026" i="34"/>
  <c r="S2026" i="34"/>
  <c r="T2026" i="34"/>
  <c r="U2026" i="34"/>
  <c r="V2026" i="34"/>
  <c r="W2026" i="34"/>
  <c r="X2026" i="34"/>
  <c r="Y2026" i="34"/>
  <c r="N2027" i="34"/>
  <c r="C2027" i="34"/>
  <c r="B2027" i="34"/>
  <c r="O2027" i="34"/>
  <c r="P2027" i="34"/>
  <c r="Q2027" i="34"/>
  <c r="R2027" i="34"/>
  <c r="S2027" i="34"/>
  <c r="T2027" i="34"/>
  <c r="U2027" i="34"/>
  <c r="V2027" i="34"/>
  <c r="W2027" i="34"/>
  <c r="X2027" i="34"/>
  <c r="Y2027" i="34"/>
  <c r="N2028" i="34"/>
  <c r="C2028" i="34"/>
  <c r="B2028" i="34"/>
  <c r="O2028" i="34"/>
  <c r="P2028" i="34"/>
  <c r="Q2028" i="34"/>
  <c r="R2028" i="34"/>
  <c r="S2028" i="34"/>
  <c r="T2028" i="34"/>
  <c r="U2028" i="34"/>
  <c r="V2028" i="34"/>
  <c r="W2028" i="34"/>
  <c r="X2028" i="34"/>
  <c r="Y2028" i="34"/>
  <c r="N2029" i="34"/>
  <c r="C2029" i="34"/>
  <c r="B2029" i="34"/>
  <c r="O2029" i="34"/>
  <c r="P2029" i="34"/>
  <c r="Q2029" i="34"/>
  <c r="R2029" i="34"/>
  <c r="S2029" i="34"/>
  <c r="T2029" i="34"/>
  <c r="U2029" i="34"/>
  <c r="V2029" i="34"/>
  <c r="W2029" i="34"/>
  <c r="X2029" i="34"/>
  <c r="Y2029" i="34"/>
  <c r="N2030" i="34"/>
  <c r="C2030" i="34"/>
  <c r="B2030" i="34"/>
  <c r="O2030" i="34"/>
  <c r="P2030" i="34"/>
  <c r="Q2030" i="34"/>
  <c r="R2030" i="34"/>
  <c r="S2030" i="34"/>
  <c r="T2030" i="34"/>
  <c r="U2030" i="34"/>
  <c r="V2030" i="34"/>
  <c r="W2030" i="34"/>
  <c r="X2030" i="34"/>
  <c r="Y2030" i="34"/>
  <c r="N2031" i="34"/>
  <c r="C2031" i="34"/>
  <c r="B2031" i="34"/>
  <c r="O2031" i="34"/>
  <c r="P2031" i="34"/>
  <c r="Q2031" i="34"/>
  <c r="R2031" i="34"/>
  <c r="S2031" i="34"/>
  <c r="T2031" i="34"/>
  <c r="U2031" i="34"/>
  <c r="V2031" i="34"/>
  <c r="W2031" i="34"/>
  <c r="X2031" i="34"/>
  <c r="Y2031" i="34"/>
  <c r="N2032" i="34"/>
  <c r="C2032" i="34"/>
  <c r="B2032" i="34"/>
  <c r="O2032" i="34"/>
  <c r="P2032" i="34"/>
  <c r="Q2032" i="34"/>
  <c r="R2032" i="34"/>
  <c r="S2032" i="34"/>
  <c r="T2032" i="34"/>
  <c r="U2032" i="34"/>
  <c r="V2032" i="34"/>
  <c r="W2032" i="34"/>
  <c r="X2032" i="34"/>
  <c r="Y2032" i="34"/>
  <c r="N2033" i="34"/>
  <c r="C2033" i="34"/>
  <c r="B2033" i="34"/>
  <c r="O2033" i="34"/>
  <c r="P2033" i="34"/>
  <c r="Q2033" i="34"/>
  <c r="R2033" i="34"/>
  <c r="S2033" i="34"/>
  <c r="T2033" i="34"/>
  <c r="U2033" i="34"/>
  <c r="V2033" i="34"/>
  <c r="W2033" i="34"/>
  <c r="X2033" i="34"/>
  <c r="Y2033" i="34"/>
  <c r="N2034" i="34"/>
  <c r="C2034" i="34"/>
  <c r="B2034" i="34"/>
  <c r="O2034" i="34"/>
  <c r="P2034" i="34"/>
  <c r="Q2034" i="34"/>
  <c r="R2034" i="34"/>
  <c r="S2034" i="34"/>
  <c r="T2034" i="34"/>
  <c r="U2034" i="34"/>
  <c r="V2034" i="34"/>
  <c r="W2034" i="34"/>
  <c r="X2034" i="34"/>
  <c r="Y2034" i="34"/>
  <c r="N2035" i="34"/>
  <c r="C2035" i="34"/>
  <c r="B2035" i="34"/>
  <c r="O2035" i="34"/>
  <c r="P2035" i="34"/>
  <c r="Q2035" i="34"/>
  <c r="R2035" i="34"/>
  <c r="S2035" i="34"/>
  <c r="T2035" i="34"/>
  <c r="U2035" i="34"/>
  <c r="V2035" i="34"/>
  <c r="W2035" i="34"/>
  <c r="X2035" i="34"/>
  <c r="Y2035" i="34"/>
  <c r="N2036" i="34"/>
  <c r="C2036" i="34"/>
  <c r="B2036" i="34"/>
  <c r="O2036" i="34"/>
  <c r="P2036" i="34"/>
  <c r="Q2036" i="34"/>
  <c r="R2036" i="34"/>
  <c r="S2036" i="34"/>
  <c r="T2036" i="34"/>
  <c r="U2036" i="34"/>
  <c r="V2036" i="34"/>
  <c r="W2036" i="34"/>
  <c r="X2036" i="34"/>
  <c r="Y2036" i="34"/>
  <c r="N2037" i="34"/>
  <c r="C2037" i="34"/>
  <c r="B2037" i="34"/>
  <c r="O2037" i="34"/>
  <c r="P2037" i="34"/>
  <c r="Q2037" i="34"/>
  <c r="R2037" i="34"/>
  <c r="S2037" i="34"/>
  <c r="T2037" i="34"/>
  <c r="U2037" i="34"/>
  <c r="V2037" i="34"/>
  <c r="W2037" i="34"/>
  <c r="X2037" i="34"/>
  <c r="Y2037" i="34"/>
  <c r="N2038" i="34"/>
  <c r="C2038" i="34"/>
  <c r="B2038" i="34"/>
  <c r="O2038" i="34"/>
  <c r="P2038" i="34"/>
  <c r="Q2038" i="34"/>
  <c r="R2038" i="34"/>
  <c r="S2038" i="34"/>
  <c r="T2038" i="34"/>
  <c r="U2038" i="34"/>
  <c r="V2038" i="34"/>
  <c r="W2038" i="34"/>
  <c r="X2038" i="34"/>
  <c r="Y2038" i="34"/>
  <c r="N2039" i="34"/>
  <c r="C2039" i="34"/>
  <c r="B2039" i="34"/>
  <c r="O2039" i="34"/>
  <c r="P2039" i="34"/>
  <c r="Q2039" i="34"/>
  <c r="R2039" i="34"/>
  <c r="S2039" i="34"/>
  <c r="T2039" i="34"/>
  <c r="U2039" i="34"/>
  <c r="V2039" i="34"/>
  <c r="W2039" i="34"/>
  <c r="X2039" i="34"/>
  <c r="Y2039" i="34"/>
  <c r="N2040" i="34"/>
  <c r="C2040" i="34"/>
  <c r="B2040" i="34"/>
  <c r="O2040" i="34"/>
  <c r="P2040" i="34"/>
  <c r="Q2040" i="34"/>
  <c r="R2040" i="34"/>
  <c r="S2040" i="34"/>
  <c r="T2040" i="34"/>
  <c r="U2040" i="34"/>
  <c r="V2040" i="34"/>
  <c r="W2040" i="34"/>
  <c r="X2040" i="34"/>
  <c r="Y2040" i="34"/>
  <c r="N2041" i="34"/>
  <c r="C2041" i="34"/>
  <c r="B2041" i="34"/>
  <c r="O2041" i="34"/>
  <c r="P2041" i="34"/>
  <c r="Q2041" i="34"/>
  <c r="R2041" i="34"/>
  <c r="S2041" i="34"/>
  <c r="T2041" i="34"/>
  <c r="U2041" i="34"/>
  <c r="V2041" i="34"/>
  <c r="W2041" i="34"/>
  <c r="X2041" i="34"/>
  <c r="Y2041" i="34"/>
  <c r="N2042" i="34"/>
  <c r="C2042" i="34"/>
  <c r="B2042" i="34"/>
  <c r="O2042" i="34"/>
  <c r="P2042" i="34"/>
  <c r="Q2042" i="34"/>
  <c r="R2042" i="34"/>
  <c r="S2042" i="34"/>
  <c r="T2042" i="34"/>
  <c r="U2042" i="34"/>
  <c r="V2042" i="34"/>
  <c r="W2042" i="34"/>
  <c r="X2042" i="34"/>
  <c r="Y2042" i="34"/>
  <c r="N2043" i="34"/>
  <c r="C2043" i="34"/>
  <c r="B2043" i="34"/>
  <c r="O2043" i="34"/>
  <c r="P2043" i="34"/>
  <c r="Q2043" i="34"/>
  <c r="R2043" i="34"/>
  <c r="S2043" i="34"/>
  <c r="T2043" i="34"/>
  <c r="U2043" i="34"/>
  <c r="V2043" i="34"/>
  <c r="W2043" i="34"/>
  <c r="X2043" i="34"/>
  <c r="Y2043" i="34"/>
  <c r="N2044" i="34"/>
  <c r="C2044" i="34"/>
  <c r="B2044" i="34"/>
  <c r="O2044" i="34"/>
  <c r="P2044" i="34"/>
  <c r="Q2044" i="34"/>
  <c r="R2044" i="34"/>
  <c r="S2044" i="34"/>
  <c r="T2044" i="34"/>
  <c r="U2044" i="34"/>
  <c r="V2044" i="34"/>
  <c r="W2044" i="34"/>
  <c r="X2044" i="34"/>
  <c r="Y2044" i="34"/>
  <c r="N2045" i="34"/>
  <c r="C2045" i="34"/>
  <c r="B2045" i="34"/>
  <c r="O2045" i="34"/>
  <c r="P2045" i="34"/>
  <c r="Q2045" i="34"/>
  <c r="R2045" i="34"/>
  <c r="S2045" i="34"/>
  <c r="T2045" i="34"/>
  <c r="U2045" i="34"/>
  <c r="V2045" i="34"/>
  <c r="W2045" i="34"/>
  <c r="X2045" i="34"/>
  <c r="Y2045" i="34"/>
  <c r="N2046" i="34"/>
  <c r="C2046" i="34"/>
  <c r="B2046" i="34"/>
  <c r="O2046" i="34"/>
  <c r="P2046" i="34"/>
  <c r="Q2046" i="34"/>
  <c r="R2046" i="34"/>
  <c r="S2046" i="34"/>
  <c r="T2046" i="34"/>
  <c r="U2046" i="34"/>
  <c r="V2046" i="34"/>
  <c r="W2046" i="34"/>
  <c r="X2046" i="34"/>
  <c r="Y2046" i="34"/>
  <c r="N2047" i="34"/>
  <c r="C2047" i="34"/>
  <c r="B2047" i="34"/>
  <c r="O2047" i="34"/>
  <c r="P2047" i="34"/>
  <c r="Q2047" i="34"/>
  <c r="R2047" i="34"/>
  <c r="S2047" i="34"/>
  <c r="T2047" i="34"/>
  <c r="U2047" i="34"/>
  <c r="V2047" i="34"/>
  <c r="W2047" i="34"/>
  <c r="X2047" i="34"/>
  <c r="Y2047" i="34"/>
  <c r="N2048" i="34"/>
  <c r="C2048" i="34"/>
  <c r="B2048" i="34"/>
  <c r="O2048" i="34"/>
  <c r="P2048" i="34"/>
  <c r="Q2048" i="34"/>
  <c r="R2048" i="34"/>
  <c r="S2048" i="34"/>
  <c r="T2048" i="34"/>
  <c r="U2048" i="34"/>
  <c r="V2048" i="34"/>
  <c r="W2048" i="34"/>
  <c r="X2048" i="34"/>
  <c r="Y2048" i="34"/>
  <c r="N2049" i="34"/>
  <c r="C2049" i="34"/>
  <c r="B2049" i="34"/>
  <c r="O2049" i="34"/>
  <c r="P2049" i="34"/>
  <c r="Q2049" i="34"/>
  <c r="R2049" i="34"/>
  <c r="S2049" i="34"/>
  <c r="T2049" i="34"/>
  <c r="U2049" i="34"/>
  <c r="V2049" i="34"/>
  <c r="W2049" i="34"/>
  <c r="X2049" i="34"/>
  <c r="Y2049" i="34"/>
  <c r="N2050" i="34"/>
  <c r="C2050" i="34"/>
  <c r="B2050" i="34"/>
  <c r="O2050" i="34"/>
  <c r="P2050" i="34"/>
  <c r="Q2050" i="34"/>
  <c r="R2050" i="34"/>
  <c r="S2050" i="34"/>
  <c r="T2050" i="34"/>
  <c r="U2050" i="34"/>
  <c r="V2050" i="34"/>
  <c r="W2050" i="34"/>
  <c r="X2050" i="34"/>
  <c r="Y2050" i="34"/>
  <c r="N2051" i="34"/>
  <c r="C2051" i="34"/>
  <c r="B2051" i="34"/>
  <c r="O2051" i="34"/>
  <c r="P2051" i="34"/>
  <c r="Q2051" i="34"/>
  <c r="R2051" i="34"/>
  <c r="S2051" i="34"/>
  <c r="T2051" i="34"/>
  <c r="U2051" i="34"/>
  <c r="V2051" i="34"/>
  <c r="W2051" i="34"/>
  <c r="X2051" i="34"/>
  <c r="Y2051" i="34"/>
  <c r="N2052" i="34"/>
  <c r="C2052" i="34"/>
  <c r="B2052" i="34"/>
  <c r="O2052" i="34"/>
  <c r="P2052" i="34"/>
  <c r="Q2052" i="34"/>
  <c r="R2052" i="34"/>
  <c r="S2052" i="34"/>
  <c r="T2052" i="34"/>
  <c r="U2052" i="34"/>
  <c r="V2052" i="34"/>
  <c r="W2052" i="34"/>
  <c r="X2052" i="34"/>
  <c r="Y2052" i="34"/>
  <c r="N2053" i="34"/>
  <c r="C2053" i="34"/>
  <c r="B2053" i="34"/>
  <c r="O2053" i="34"/>
  <c r="P2053" i="34"/>
  <c r="Q2053" i="34"/>
  <c r="R2053" i="34"/>
  <c r="S2053" i="34"/>
  <c r="T2053" i="34"/>
  <c r="U2053" i="34"/>
  <c r="V2053" i="34"/>
  <c r="W2053" i="34"/>
  <c r="X2053" i="34"/>
  <c r="Y2053" i="34"/>
  <c r="N2054" i="34"/>
  <c r="C2054" i="34"/>
  <c r="B2054" i="34"/>
  <c r="O2054" i="34"/>
  <c r="P2054" i="34"/>
  <c r="Q2054" i="34"/>
  <c r="R2054" i="34"/>
  <c r="S2054" i="34"/>
  <c r="T2054" i="34"/>
  <c r="U2054" i="34"/>
  <c r="V2054" i="34"/>
  <c r="W2054" i="34"/>
  <c r="X2054" i="34"/>
  <c r="Y2054" i="34"/>
  <c r="N2055" i="34"/>
  <c r="C2055" i="34"/>
  <c r="B2055" i="34"/>
  <c r="O2055" i="34"/>
  <c r="P2055" i="34"/>
  <c r="Q2055" i="34"/>
  <c r="R2055" i="34"/>
  <c r="S2055" i="34"/>
  <c r="T2055" i="34"/>
  <c r="U2055" i="34"/>
  <c r="V2055" i="34"/>
  <c r="W2055" i="34"/>
  <c r="X2055" i="34"/>
  <c r="Y2055" i="34"/>
  <c r="N2056" i="34"/>
  <c r="C2056" i="34"/>
  <c r="B2056" i="34"/>
  <c r="O2056" i="34"/>
  <c r="P2056" i="34"/>
  <c r="Q2056" i="34"/>
  <c r="R2056" i="34"/>
  <c r="S2056" i="34"/>
  <c r="T2056" i="34"/>
  <c r="U2056" i="34"/>
  <c r="V2056" i="34"/>
  <c r="W2056" i="34"/>
  <c r="X2056" i="34"/>
  <c r="Y2056" i="34"/>
  <c r="N2057" i="34"/>
  <c r="B2057" i="34"/>
  <c r="O2057" i="34"/>
  <c r="P2057" i="34"/>
  <c r="Q2057" i="34"/>
  <c r="R2057" i="34"/>
  <c r="S2057" i="34"/>
  <c r="T2057" i="34"/>
  <c r="U2057" i="34"/>
  <c r="V2057" i="34"/>
  <c r="W2057" i="34"/>
  <c r="X2057" i="34"/>
  <c r="Y2057" i="34"/>
  <c r="N2058" i="34"/>
  <c r="B2058" i="34"/>
  <c r="O2058" i="34"/>
  <c r="P2058" i="34"/>
  <c r="Q2058" i="34"/>
  <c r="R2058" i="34"/>
  <c r="S2058" i="34"/>
  <c r="T2058" i="34"/>
  <c r="U2058" i="34"/>
  <c r="V2058" i="34"/>
  <c r="W2058" i="34"/>
  <c r="X2058" i="34"/>
  <c r="Y2058" i="34"/>
  <c r="N2059" i="34"/>
  <c r="B2059" i="34"/>
  <c r="O2059" i="34"/>
  <c r="P2059" i="34"/>
  <c r="Q2059" i="34"/>
  <c r="R2059" i="34"/>
  <c r="S2059" i="34"/>
  <c r="T2059" i="34"/>
  <c r="U2059" i="34"/>
  <c r="V2059" i="34"/>
  <c r="W2059" i="34"/>
  <c r="X2059" i="34"/>
  <c r="Y2059" i="34"/>
  <c r="N2060" i="34"/>
  <c r="B2060" i="34"/>
  <c r="O2060" i="34"/>
  <c r="P2060" i="34"/>
  <c r="Q2060" i="34"/>
  <c r="R2060" i="34"/>
  <c r="S2060" i="34"/>
  <c r="T2060" i="34"/>
  <c r="U2060" i="34"/>
  <c r="V2060" i="34"/>
  <c r="W2060" i="34"/>
  <c r="X2060" i="34"/>
  <c r="Y2060" i="34"/>
  <c r="N2061" i="34"/>
  <c r="B2061" i="34"/>
  <c r="O2061" i="34"/>
  <c r="P2061" i="34"/>
  <c r="Q2061" i="34"/>
  <c r="R2061" i="34"/>
  <c r="S2061" i="34"/>
  <c r="T2061" i="34"/>
  <c r="U2061" i="34"/>
  <c r="V2061" i="34"/>
  <c r="W2061" i="34"/>
  <c r="X2061" i="34"/>
  <c r="Y2061" i="34"/>
  <c r="N2062" i="34"/>
  <c r="B2062" i="34"/>
  <c r="O2062" i="34"/>
  <c r="P2062" i="34"/>
  <c r="Q2062" i="34"/>
  <c r="R2062" i="34"/>
  <c r="S2062" i="34"/>
  <c r="T2062" i="34"/>
  <c r="U2062" i="34"/>
  <c r="V2062" i="34"/>
  <c r="W2062" i="34"/>
  <c r="X2062" i="34"/>
  <c r="Y2062" i="34"/>
  <c r="N2063" i="34"/>
  <c r="B2063" i="34"/>
  <c r="O2063" i="34"/>
  <c r="P2063" i="34"/>
  <c r="Q2063" i="34"/>
  <c r="R2063" i="34"/>
  <c r="S2063" i="34"/>
  <c r="T2063" i="34"/>
  <c r="U2063" i="34"/>
  <c r="V2063" i="34"/>
  <c r="W2063" i="34"/>
  <c r="X2063" i="34"/>
  <c r="Y2063" i="34"/>
  <c r="N2064" i="34"/>
  <c r="B2064" i="34"/>
  <c r="O2064" i="34"/>
  <c r="P2064" i="34"/>
  <c r="Q2064" i="34"/>
  <c r="R2064" i="34"/>
  <c r="S2064" i="34"/>
  <c r="T2064" i="34"/>
  <c r="U2064" i="34"/>
  <c r="V2064" i="34"/>
  <c r="W2064" i="34"/>
  <c r="X2064" i="34"/>
  <c r="Y2064" i="34"/>
  <c r="N2065" i="34"/>
  <c r="B2065" i="34"/>
  <c r="O2065" i="34"/>
  <c r="P2065" i="34"/>
  <c r="Q2065" i="34"/>
  <c r="R2065" i="34"/>
  <c r="S2065" i="34"/>
  <c r="T2065" i="34"/>
  <c r="U2065" i="34"/>
  <c r="V2065" i="34"/>
  <c r="W2065" i="34"/>
  <c r="X2065" i="34"/>
  <c r="Y2065" i="34"/>
  <c r="N2066" i="34"/>
  <c r="B2066" i="34"/>
  <c r="O2066" i="34"/>
  <c r="P2066" i="34"/>
  <c r="Q2066" i="34"/>
  <c r="R2066" i="34"/>
  <c r="S2066" i="34"/>
  <c r="T2066" i="34"/>
  <c r="U2066" i="34"/>
  <c r="V2066" i="34"/>
  <c r="W2066" i="34"/>
  <c r="X2066" i="34"/>
  <c r="Y2066" i="34"/>
  <c r="N2067" i="34"/>
  <c r="B2067" i="34"/>
  <c r="O2067" i="34"/>
  <c r="P2067" i="34"/>
  <c r="Q2067" i="34"/>
  <c r="R2067" i="34"/>
  <c r="S2067" i="34"/>
  <c r="T2067" i="34"/>
  <c r="U2067" i="34"/>
  <c r="V2067" i="34"/>
  <c r="W2067" i="34"/>
  <c r="X2067" i="34"/>
  <c r="Y2067" i="34"/>
  <c r="N2068" i="34"/>
  <c r="B2068" i="34"/>
  <c r="O2068" i="34"/>
  <c r="P2068" i="34"/>
  <c r="Q2068" i="34"/>
  <c r="R2068" i="34"/>
  <c r="S2068" i="34"/>
  <c r="T2068" i="34"/>
  <c r="U2068" i="34"/>
  <c r="V2068" i="34"/>
  <c r="W2068" i="34"/>
  <c r="X2068" i="34"/>
  <c r="Y2068" i="34"/>
  <c r="N2069" i="34"/>
  <c r="B2069" i="34"/>
  <c r="O2069" i="34"/>
  <c r="P2069" i="34"/>
  <c r="Q2069" i="34"/>
  <c r="R2069" i="34"/>
  <c r="S2069" i="34"/>
  <c r="T2069" i="34"/>
  <c r="U2069" i="34"/>
  <c r="V2069" i="34"/>
  <c r="W2069" i="34"/>
  <c r="X2069" i="34"/>
  <c r="Y2069" i="34"/>
  <c r="N2070" i="34"/>
  <c r="B2070" i="34"/>
  <c r="O2070" i="34"/>
  <c r="P2070" i="34"/>
  <c r="Q2070" i="34"/>
  <c r="R2070" i="34"/>
  <c r="S2070" i="34"/>
  <c r="T2070" i="34"/>
  <c r="U2070" i="34"/>
  <c r="V2070" i="34"/>
  <c r="W2070" i="34"/>
  <c r="X2070" i="34"/>
  <c r="Y2070" i="34"/>
  <c r="N2071" i="34"/>
  <c r="B2071" i="34"/>
  <c r="O2071" i="34"/>
  <c r="P2071" i="34"/>
  <c r="Q2071" i="34"/>
  <c r="R2071" i="34"/>
  <c r="S2071" i="34"/>
  <c r="T2071" i="34"/>
  <c r="U2071" i="34"/>
  <c r="V2071" i="34"/>
  <c r="W2071" i="34"/>
  <c r="X2071" i="34"/>
  <c r="Y2071" i="34"/>
  <c r="N2072" i="34"/>
  <c r="B2072" i="34"/>
  <c r="O2072" i="34"/>
  <c r="P2072" i="34"/>
  <c r="Q2072" i="34"/>
  <c r="R2072" i="34"/>
  <c r="S2072" i="34"/>
  <c r="T2072" i="34"/>
  <c r="U2072" i="34"/>
  <c r="V2072" i="34"/>
  <c r="W2072" i="34"/>
  <c r="X2072" i="34"/>
  <c r="Y2072" i="34"/>
  <c r="N2073" i="34"/>
  <c r="B2073" i="34"/>
  <c r="O2073" i="34"/>
  <c r="P2073" i="34"/>
  <c r="Q2073" i="34"/>
  <c r="R2073" i="34"/>
  <c r="S2073" i="34"/>
  <c r="T2073" i="34"/>
  <c r="U2073" i="34"/>
  <c r="V2073" i="34"/>
  <c r="W2073" i="34"/>
  <c r="X2073" i="34"/>
  <c r="Y2073" i="34"/>
  <c r="N2074" i="34"/>
  <c r="B2074" i="34"/>
  <c r="O2074" i="34"/>
  <c r="P2074" i="34"/>
  <c r="Q2074" i="34"/>
  <c r="R2074" i="34"/>
  <c r="S2074" i="34"/>
  <c r="T2074" i="34"/>
  <c r="U2074" i="34"/>
  <c r="V2074" i="34"/>
  <c r="W2074" i="34"/>
  <c r="X2074" i="34"/>
  <c r="Y2074" i="34"/>
  <c r="N2075" i="34"/>
  <c r="B2075" i="34"/>
  <c r="O2075" i="34"/>
  <c r="P2075" i="34"/>
  <c r="Q2075" i="34"/>
  <c r="R2075" i="34"/>
  <c r="S2075" i="34"/>
  <c r="T2075" i="34"/>
  <c r="U2075" i="34"/>
  <c r="V2075" i="34"/>
  <c r="W2075" i="34"/>
  <c r="X2075" i="34"/>
  <c r="Y2075" i="34"/>
  <c r="N2076" i="34"/>
  <c r="C2076" i="34"/>
  <c r="B2076" i="34"/>
  <c r="O2076" i="34"/>
  <c r="P2076" i="34"/>
  <c r="Q2076" i="34"/>
  <c r="R2076" i="34"/>
  <c r="S2076" i="34"/>
  <c r="T2076" i="34"/>
  <c r="U2076" i="34"/>
  <c r="V2076" i="34"/>
  <c r="W2076" i="34"/>
  <c r="X2076" i="34"/>
  <c r="Y2076" i="34"/>
  <c r="N2077" i="34"/>
  <c r="C2077" i="34"/>
  <c r="B2077" i="34"/>
  <c r="O2077" i="34"/>
  <c r="P2077" i="34"/>
  <c r="Q2077" i="34"/>
  <c r="R2077" i="34"/>
  <c r="S2077" i="34"/>
  <c r="T2077" i="34"/>
  <c r="U2077" i="34"/>
  <c r="V2077" i="34"/>
  <c r="W2077" i="34"/>
  <c r="X2077" i="34"/>
  <c r="Y2077" i="34"/>
  <c r="N2078" i="34"/>
  <c r="C2078" i="34"/>
  <c r="B2078" i="34"/>
  <c r="O2078" i="34"/>
  <c r="P2078" i="34"/>
  <c r="Q2078" i="34"/>
  <c r="R2078" i="34"/>
  <c r="S2078" i="34"/>
  <c r="T2078" i="34"/>
  <c r="U2078" i="34"/>
  <c r="V2078" i="34"/>
  <c r="W2078" i="34"/>
  <c r="X2078" i="34"/>
  <c r="Y2078" i="34"/>
  <c r="N2079" i="34"/>
  <c r="C2079" i="34"/>
  <c r="B2079" i="34"/>
  <c r="O2079" i="34"/>
  <c r="P2079" i="34"/>
  <c r="Q2079" i="34"/>
  <c r="R2079" i="34"/>
  <c r="S2079" i="34"/>
  <c r="T2079" i="34"/>
  <c r="U2079" i="34"/>
  <c r="V2079" i="34"/>
  <c r="W2079" i="34"/>
  <c r="X2079" i="34"/>
  <c r="Y2079" i="34"/>
  <c r="N2080" i="34"/>
  <c r="C2080" i="34"/>
  <c r="B2080" i="34"/>
  <c r="O2080" i="34"/>
  <c r="P2080" i="34"/>
  <c r="Q2080" i="34"/>
  <c r="R2080" i="34"/>
  <c r="S2080" i="34"/>
  <c r="T2080" i="34"/>
  <c r="U2080" i="34"/>
  <c r="V2080" i="34"/>
  <c r="W2080" i="34"/>
  <c r="X2080" i="34"/>
  <c r="Y2080" i="34"/>
  <c r="N2081" i="34"/>
  <c r="C2081" i="34"/>
  <c r="B2081" i="34"/>
  <c r="O2081" i="34"/>
  <c r="P2081" i="34"/>
  <c r="Q2081" i="34"/>
  <c r="R2081" i="34"/>
  <c r="S2081" i="34"/>
  <c r="T2081" i="34"/>
  <c r="U2081" i="34"/>
  <c r="V2081" i="34"/>
  <c r="W2081" i="34"/>
  <c r="X2081" i="34"/>
  <c r="Y2081" i="34"/>
  <c r="N2082" i="34"/>
  <c r="C2082" i="34"/>
  <c r="B2082" i="34"/>
  <c r="O2082" i="34"/>
  <c r="P2082" i="34"/>
  <c r="Q2082" i="34"/>
  <c r="R2082" i="34"/>
  <c r="S2082" i="34"/>
  <c r="T2082" i="34"/>
  <c r="U2082" i="34"/>
  <c r="V2082" i="34"/>
  <c r="W2082" i="34"/>
  <c r="X2082" i="34"/>
  <c r="Y2082" i="34"/>
  <c r="N2083" i="34"/>
  <c r="C2083" i="34"/>
  <c r="B2083" i="34"/>
  <c r="O2083" i="34"/>
  <c r="P2083" i="34"/>
  <c r="Q2083" i="34"/>
  <c r="R2083" i="34"/>
  <c r="S2083" i="34"/>
  <c r="T2083" i="34"/>
  <c r="U2083" i="34"/>
  <c r="V2083" i="34"/>
  <c r="W2083" i="34"/>
  <c r="X2083" i="34"/>
  <c r="Y2083" i="34"/>
  <c r="N2084" i="34"/>
  <c r="C2084" i="34"/>
  <c r="B2084" i="34"/>
  <c r="O2084" i="34"/>
  <c r="P2084" i="34"/>
  <c r="Q2084" i="34"/>
  <c r="R2084" i="34"/>
  <c r="S2084" i="34"/>
  <c r="T2084" i="34"/>
  <c r="U2084" i="34"/>
  <c r="V2084" i="34"/>
  <c r="W2084" i="34"/>
  <c r="X2084" i="34"/>
  <c r="Y2084" i="34"/>
  <c r="N2085" i="34"/>
  <c r="C2085" i="34"/>
  <c r="B2085" i="34"/>
  <c r="O2085" i="34"/>
  <c r="P2085" i="34"/>
  <c r="Q2085" i="34"/>
  <c r="R2085" i="34"/>
  <c r="S2085" i="34"/>
  <c r="T2085" i="34"/>
  <c r="U2085" i="34"/>
  <c r="V2085" i="34"/>
  <c r="W2085" i="34"/>
  <c r="X2085" i="34"/>
  <c r="Y2085" i="34"/>
  <c r="N2086" i="34"/>
  <c r="C2086" i="34"/>
  <c r="B2086" i="34"/>
  <c r="O2086" i="34"/>
  <c r="P2086" i="34"/>
  <c r="Q2086" i="34"/>
  <c r="R2086" i="34"/>
  <c r="S2086" i="34"/>
  <c r="T2086" i="34"/>
  <c r="U2086" i="34"/>
  <c r="V2086" i="34"/>
  <c r="W2086" i="34"/>
  <c r="X2086" i="34"/>
  <c r="Y2086" i="34"/>
  <c r="N2087" i="34"/>
  <c r="C2087" i="34"/>
  <c r="B2087" i="34"/>
  <c r="O2087" i="34"/>
  <c r="P2087" i="34"/>
  <c r="Q2087" i="34"/>
  <c r="R2087" i="34"/>
  <c r="S2087" i="34"/>
  <c r="T2087" i="34"/>
  <c r="U2087" i="34"/>
  <c r="V2087" i="34"/>
  <c r="W2087" i="34"/>
  <c r="X2087" i="34"/>
  <c r="Y2087" i="34"/>
  <c r="N2088" i="34"/>
  <c r="C2088" i="34"/>
  <c r="B2088" i="34"/>
  <c r="O2088" i="34"/>
  <c r="P2088" i="34"/>
  <c r="Q2088" i="34"/>
  <c r="R2088" i="34"/>
  <c r="S2088" i="34"/>
  <c r="T2088" i="34"/>
  <c r="U2088" i="34"/>
  <c r="V2088" i="34"/>
  <c r="W2088" i="34"/>
  <c r="X2088" i="34"/>
  <c r="Y2088" i="34"/>
  <c r="N2089" i="34"/>
  <c r="C2089" i="34"/>
  <c r="B2089" i="34"/>
  <c r="O2089" i="34"/>
  <c r="P2089" i="34"/>
  <c r="Q2089" i="34"/>
  <c r="R2089" i="34"/>
  <c r="S2089" i="34"/>
  <c r="T2089" i="34"/>
  <c r="U2089" i="34"/>
  <c r="V2089" i="34"/>
  <c r="W2089" i="34"/>
  <c r="X2089" i="34"/>
  <c r="Y2089" i="34"/>
  <c r="N2090" i="34"/>
  <c r="C2090" i="34"/>
  <c r="B2090" i="34"/>
  <c r="O2090" i="34"/>
  <c r="P2090" i="34"/>
  <c r="Q2090" i="34"/>
  <c r="R2090" i="34"/>
  <c r="S2090" i="34"/>
  <c r="T2090" i="34"/>
  <c r="U2090" i="34"/>
  <c r="V2090" i="34"/>
  <c r="W2090" i="34"/>
  <c r="X2090" i="34"/>
  <c r="Y2090" i="34"/>
  <c r="N2091" i="34"/>
  <c r="C2091" i="34"/>
  <c r="B2091" i="34"/>
  <c r="O2091" i="34"/>
  <c r="P2091" i="34"/>
  <c r="Q2091" i="34"/>
  <c r="R2091" i="34"/>
  <c r="S2091" i="34"/>
  <c r="T2091" i="34"/>
  <c r="U2091" i="34"/>
  <c r="V2091" i="34"/>
  <c r="W2091" i="34"/>
  <c r="X2091" i="34"/>
  <c r="Y2091" i="34"/>
  <c r="N2092" i="34"/>
  <c r="C2092" i="34"/>
  <c r="B2092" i="34"/>
  <c r="O2092" i="34"/>
  <c r="P2092" i="34"/>
  <c r="Q2092" i="34"/>
  <c r="R2092" i="34"/>
  <c r="S2092" i="34"/>
  <c r="T2092" i="34"/>
  <c r="U2092" i="34"/>
  <c r="V2092" i="34"/>
  <c r="W2092" i="34"/>
  <c r="X2092" i="34"/>
  <c r="Y2092" i="34"/>
  <c r="N2093" i="34"/>
  <c r="C2093" i="34"/>
  <c r="B2093" i="34"/>
  <c r="O2093" i="34"/>
  <c r="P2093" i="34"/>
  <c r="Q2093" i="34"/>
  <c r="R2093" i="34"/>
  <c r="S2093" i="34"/>
  <c r="T2093" i="34"/>
  <c r="U2093" i="34"/>
  <c r="V2093" i="34"/>
  <c r="W2093" i="34"/>
  <c r="X2093" i="34"/>
  <c r="Y2093" i="34"/>
  <c r="N2094" i="34"/>
  <c r="C2094" i="34"/>
  <c r="B2094" i="34"/>
  <c r="O2094" i="34"/>
  <c r="P2094" i="34"/>
  <c r="Q2094" i="34"/>
  <c r="R2094" i="34"/>
  <c r="S2094" i="34"/>
  <c r="T2094" i="34"/>
  <c r="U2094" i="34"/>
  <c r="V2094" i="34"/>
  <c r="W2094" i="34"/>
  <c r="X2094" i="34"/>
  <c r="Y2094" i="34"/>
  <c r="N2095" i="34"/>
  <c r="C2095" i="34"/>
  <c r="B2095" i="34"/>
  <c r="O2095" i="34"/>
  <c r="P2095" i="34"/>
  <c r="Q2095" i="34"/>
  <c r="R2095" i="34"/>
  <c r="S2095" i="34"/>
  <c r="T2095" i="34"/>
  <c r="U2095" i="34"/>
  <c r="V2095" i="34"/>
  <c r="W2095" i="34"/>
  <c r="X2095" i="34"/>
  <c r="Y2095" i="34"/>
  <c r="N2096" i="34"/>
  <c r="C2096" i="34"/>
  <c r="B2096" i="34"/>
  <c r="O2096" i="34"/>
  <c r="P2096" i="34"/>
  <c r="Q2096" i="34"/>
  <c r="R2096" i="34"/>
  <c r="S2096" i="34"/>
  <c r="T2096" i="34"/>
  <c r="U2096" i="34"/>
  <c r="V2096" i="34"/>
  <c r="W2096" i="34"/>
  <c r="X2096" i="34"/>
  <c r="Y2096" i="34"/>
  <c r="N2097" i="34"/>
  <c r="C2097" i="34"/>
  <c r="B2097" i="34"/>
  <c r="O2097" i="34"/>
  <c r="P2097" i="34"/>
  <c r="Q2097" i="34"/>
  <c r="R2097" i="34"/>
  <c r="S2097" i="34"/>
  <c r="T2097" i="34"/>
  <c r="U2097" i="34"/>
  <c r="V2097" i="34"/>
  <c r="W2097" i="34"/>
  <c r="X2097" i="34"/>
  <c r="Y2097" i="34"/>
  <c r="N2098" i="34"/>
  <c r="C2098" i="34"/>
  <c r="B2098" i="34"/>
  <c r="O2098" i="34"/>
  <c r="P2098" i="34"/>
  <c r="Q2098" i="34"/>
  <c r="R2098" i="34"/>
  <c r="S2098" i="34"/>
  <c r="T2098" i="34"/>
  <c r="U2098" i="34"/>
  <c r="V2098" i="34"/>
  <c r="W2098" i="34"/>
  <c r="X2098" i="34"/>
  <c r="Y2098" i="34"/>
  <c r="N2099" i="34"/>
  <c r="C2099" i="34"/>
  <c r="B2099" i="34"/>
  <c r="O2099" i="34"/>
  <c r="P2099" i="34"/>
  <c r="Q2099" i="34"/>
  <c r="R2099" i="34"/>
  <c r="S2099" i="34"/>
  <c r="T2099" i="34"/>
  <c r="U2099" i="34"/>
  <c r="V2099" i="34"/>
  <c r="W2099" i="34"/>
  <c r="X2099" i="34"/>
  <c r="Y2099" i="34"/>
  <c r="N2100" i="34"/>
  <c r="C2100" i="34"/>
  <c r="B2100" i="34"/>
  <c r="O2100" i="34"/>
  <c r="P2100" i="34"/>
  <c r="Q2100" i="34"/>
  <c r="R2100" i="34"/>
  <c r="S2100" i="34"/>
  <c r="T2100" i="34"/>
  <c r="U2100" i="34"/>
  <c r="V2100" i="34"/>
  <c r="W2100" i="34"/>
  <c r="X2100" i="34"/>
  <c r="Y2100" i="34"/>
  <c r="N2101" i="34"/>
  <c r="C2101" i="34"/>
  <c r="B2101" i="34"/>
  <c r="O2101" i="34"/>
  <c r="P2101" i="34"/>
  <c r="Q2101" i="34"/>
  <c r="R2101" i="34"/>
  <c r="S2101" i="34"/>
  <c r="T2101" i="34"/>
  <c r="U2101" i="34"/>
  <c r="V2101" i="34"/>
  <c r="W2101" i="34"/>
  <c r="X2101" i="34"/>
  <c r="Y2101" i="34"/>
  <c r="N2102" i="34"/>
  <c r="C2102" i="34"/>
  <c r="B2102" i="34"/>
  <c r="O2102" i="34"/>
  <c r="P2102" i="34"/>
  <c r="Q2102" i="34"/>
  <c r="R2102" i="34"/>
  <c r="S2102" i="34"/>
  <c r="T2102" i="34"/>
  <c r="U2102" i="34"/>
  <c r="V2102" i="34"/>
  <c r="W2102" i="34"/>
  <c r="X2102" i="34"/>
  <c r="Y2102" i="34"/>
  <c r="N2103" i="34"/>
  <c r="C2103" i="34"/>
  <c r="B2103" i="34"/>
  <c r="O2103" i="34"/>
  <c r="P2103" i="34"/>
  <c r="Q2103" i="34"/>
  <c r="R2103" i="34"/>
  <c r="S2103" i="34"/>
  <c r="T2103" i="34"/>
  <c r="U2103" i="34"/>
  <c r="V2103" i="34"/>
  <c r="W2103" i="34"/>
  <c r="X2103" i="34"/>
  <c r="Y2103" i="34"/>
  <c r="N2104" i="34"/>
  <c r="C2104" i="34"/>
  <c r="B2104" i="34"/>
  <c r="O2104" i="34"/>
  <c r="P2104" i="34"/>
  <c r="Q2104" i="34"/>
  <c r="R2104" i="34"/>
  <c r="S2104" i="34"/>
  <c r="T2104" i="34"/>
  <c r="U2104" i="34"/>
  <c r="V2104" i="34"/>
  <c r="W2104" i="34"/>
  <c r="X2104" i="34"/>
  <c r="Y2104" i="34"/>
  <c r="N2105" i="34"/>
  <c r="C2105" i="34"/>
  <c r="B2105" i="34"/>
  <c r="O2105" i="34"/>
  <c r="P2105" i="34"/>
  <c r="Q2105" i="34"/>
  <c r="R2105" i="34"/>
  <c r="S2105" i="34"/>
  <c r="T2105" i="34"/>
  <c r="U2105" i="34"/>
  <c r="V2105" i="34"/>
  <c r="W2105" i="34"/>
  <c r="X2105" i="34"/>
  <c r="Y2105" i="34"/>
  <c r="N2106" i="34"/>
  <c r="C2106" i="34"/>
  <c r="B2106" i="34"/>
  <c r="O2106" i="34"/>
  <c r="P2106" i="34"/>
  <c r="Q2106" i="34"/>
  <c r="R2106" i="34"/>
  <c r="S2106" i="34"/>
  <c r="T2106" i="34"/>
  <c r="U2106" i="34"/>
  <c r="V2106" i="34"/>
  <c r="W2106" i="34"/>
  <c r="X2106" i="34"/>
  <c r="Y2106" i="34"/>
  <c r="N2107" i="34"/>
  <c r="C2107" i="34"/>
  <c r="B2107" i="34"/>
  <c r="O2107" i="34"/>
  <c r="P2107" i="34"/>
  <c r="Q2107" i="34"/>
  <c r="R2107" i="34"/>
  <c r="S2107" i="34"/>
  <c r="T2107" i="34"/>
  <c r="U2107" i="34"/>
  <c r="V2107" i="34"/>
  <c r="W2107" i="34"/>
  <c r="X2107" i="34"/>
  <c r="Y2107" i="34"/>
  <c r="N2108" i="34"/>
  <c r="C2108" i="34"/>
  <c r="B2108" i="34"/>
  <c r="O2108" i="34"/>
  <c r="P2108" i="34"/>
  <c r="Q2108" i="34"/>
  <c r="R2108" i="34"/>
  <c r="S2108" i="34"/>
  <c r="T2108" i="34"/>
  <c r="U2108" i="34"/>
  <c r="V2108" i="34"/>
  <c r="W2108" i="34"/>
  <c r="X2108" i="34"/>
  <c r="Y2108" i="34"/>
  <c r="N2109" i="34"/>
  <c r="C2109" i="34"/>
  <c r="B2109" i="34"/>
  <c r="O2109" i="34"/>
  <c r="P2109" i="34"/>
  <c r="Q2109" i="34"/>
  <c r="R2109" i="34"/>
  <c r="S2109" i="34"/>
  <c r="T2109" i="34"/>
  <c r="U2109" i="34"/>
  <c r="V2109" i="34"/>
  <c r="W2109" i="34"/>
  <c r="X2109" i="34"/>
  <c r="Y2109" i="34"/>
  <c r="N2110" i="34"/>
  <c r="C2110" i="34"/>
  <c r="B2110" i="34"/>
  <c r="O2110" i="34"/>
  <c r="P2110" i="34"/>
  <c r="Q2110" i="34"/>
  <c r="R2110" i="34"/>
  <c r="S2110" i="34"/>
  <c r="T2110" i="34"/>
  <c r="U2110" i="34"/>
  <c r="V2110" i="34"/>
  <c r="W2110" i="34"/>
  <c r="X2110" i="34"/>
  <c r="Y2110" i="34"/>
  <c r="N2111" i="34"/>
  <c r="C2111" i="34"/>
  <c r="B2111" i="34"/>
  <c r="O2111" i="34"/>
  <c r="P2111" i="34"/>
  <c r="Q2111" i="34"/>
  <c r="R2111" i="34"/>
  <c r="S2111" i="34"/>
  <c r="T2111" i="34"/>
  <c r="U2111" i="34"/>
  <c r="V2111" i="34"/>
  <c r="W2111" i="34"/>
  <c r="X2111" i="34"/>
  <c r="Y2111" i="34"/>
  <c r="N2112" i="34"/>
  <c r="B2112" i="34"/>
  <c r="O2112" i="34"/>
  <c r="P2112" i="34"/>
  <c r="Q2112" i="34"/>
  <c r="R2112" i="34"/>
  <c r="S2112" i="34"/>
  <c r="T2112" i="34"/>
  <c r="U2112" i="34"/>
  <c r="V2112" i="34"/>
  <c r="W2112" i="34"/>
  <c r="X2112" i="34"/>
  <c r="Y2112" i="34"/>
  <c r="N2113" i="34"/>
  <c r="B2113" i="34"/>
  <c r="O2113" i="34"/>
  <c r="P2113" i="34"/>
  <c r="Q2113" i="34"/>
  <c r="R2113" i="34"/>
  <c r="S2113" i="34"/>
  <c r="T2113" i="34"/>
  <c r="U2113" i="34"/>
  <c r="V2113" i="34"/>
  <c r="W2113" i="34"/>
  <c r="X2113" i="34"/>
  <c r="Y2113" i="34"/>
  <c r="N2114" i="34"/>
  <c r="B2114" i="34"/>
  <c r="O2114" i="34"/>
  <c r="P2114" i="34"/>
  <c r="Q2114" i="34"/>
  <c r="R2114" i="34"/>
  <c r="S2114" i="34"/>
  <c r="T2114" i="34"/>
  <c r="U2114" i="34"/>
  <c r="V2114" i="34"/>
  <c r="W2114" i="34"/>
  <c r="X2114" i="34"/>
  <c r="Y2114" i="34"/>
  <c r="N2115" i="34"/>
  <c r="C2115" i="34"/>
  <c r="B2115" i="34"/>
  <c r="O2115" i="34"/>
  <c r="P2115" i="34"/>
  <c r="Q2115" i="34"/>
  <c r="R2115" i="34"/>
  <c r="S2115" i="34"/>
  <c r="T2115" i="34"/>
  <c r="U2115" i="34"/>
  <c r="V2115" i="34"/>
  <c r="W2115" i="34"/>
  <c r="X2115" i="34"/>
  <c r="Y2115" i="34"/>
  <c r="N2116" i="34"/>
  <c r="C2116" i="34"/>
  <c r="B2116" i="34"/>
  <c r="O2116" i="34"/>
  <c r="P2116" i="34"/>
  <c r="Q2116" i="34"/>
  <c r="R2116" i="34"/>
  <c r="S2116" i="34"/>
  <c r="T2116" i="34"/>
  <c r="U2116" i="34"/>
  <c r="V2116" i="34"/>
  <c r="W2116" i="34"/>
  <c r="X2116" i="34"/>
  <c r="Y2116" i="34"/>
  <c r="N2117" i="34"/>
  <c r="C2117" i="34"/>
  <c r="B2117" i="34"/>
  <c r="O2117" i="34"/>
  <c r="P2117" i="34"/>
  <c r="Q2117" i="34"/>
  <c r="R2117" i="34"/>
  <c r="S2117" i="34"/>
  <c r="T2117" i="34"/>
  <c r="U2117" i="34"/>
  <c r="V2117" i="34"/>
  <c r="W2117" i="34"/>
  <c r="X2117" i="34"/>
  <c r="Y2117" i="34"/>
  <c r="N2118" i="34"/>
  <c r="C2118" i="34"/>
  <c r="B2118" i="34"/>
  <c r="O2118" i="34"/>
  <c r="P2118" i="34"/>
  <c r="Q2118" i="34"/>
  <c r="R2118" i="34"/>
  <c r="S2118" i="34"/>
  <c r="T2118" i="34"/>
  <c r="U2118" i="34"/>
  <c r="V2118" i="34"/>
  <c r="W2118" i="34"/>
  <c r="X2118" i="34"/>
  <c r="Y2118" i="34"/>
  <c r="N2119" i="34"/>
  <c r="C2119" i="34"/>
  <c r="B2119" i="34"/>
  <c r="O2119" i="34"/>
  <c r="P2119" i="34"/>
  <c r="Q2119" i="34"/>
  <c r="R2119" i="34"/>
  <c r="S2119" i="34"/>
  <c r="T2119" i="34"/>
  <c r="U2119" i="34"/>
  <c r="V2119" i="34"/>
  <c r="W2119" i="34"/>
  <c r="X2119" i="34"/>
  <c r="Y2119" i="34"/>
  <c r="N2120" i="34"/>
  <c r="C2120" i="34"/>
  <c r="B2120" i="34"/>
  <c r="O2120" i="34"/>
  <c r="P2120" i="34"/>
  <c r="Q2120" i="34"/>
  <c r="R2120" i="34"/>
  <c r="S2120" i="34"/>
  <c r="T2120" i="34"/>
  <c r="U2120" i="34"/>
  <c r="V2120" i="34"/>
  <c r="W2120" i="34"/>
  <c r="X2120" i="34"/>
  <c r="Y2120" i="34"/>
  <c r="N2121" i="34"/>
  <c r="C2121" i="34"/>
  <c r="B2121" i="34"/>
  <c r="O2121" i="34"/>
  <c r="P2121" i="34"/>
  <c r="Q2121" i="34"/>
  <c r="R2121" i="34"/>
  <c r="S2121" i="34"/>
  <c r="T2121" i="34"/>
  <c r="U2121" i="34"/>
  <c r="V2121" i="34"/>
  <c r="W2121" i="34"/>
  <c r="X2121" i="34"/>
  <c r="Y2121" i="34"/>
  <c r="N2122" i="34"/>
  <c r="C2122" i="34"/>
  <c r="B2122" i="34"/>
  <c r="O2122" i="34"/>
  <c r="P2122" i="34"/>
  <c r="Q2122" i="34"/>
  <c r="R2122" i="34"/>
  <c r="S2122" i="34"/>
  <c r="T2122" i="34"/>
  <c r="U2122" i="34"/>
  <c r="V2122" i="34"/>
  <c r="W2122" i="34"/>
  <c r="X2122" i="34"/>
  <c r="Y2122" i="34"/>
  <c r="N2123" i="34"/>
  <c r="C2123" i="34"/>
  <c r="B2123" i="34"/>
  <c r="O2123" i="34"/>
  <c r="P2123" i="34"/>
  <c r="Q2123" i="34"/>
  <c r="R2123" i="34"/>
  <c r="S2123" i="34"/>
  <c r="T2123" i="34"/>
  <c r="U2123" i="34"/>
  <c r="V2123" i="34"/>
  <c r="W2123" i="34"/>
  <c r="X2123" i="34"/>
  <c r="Y2123" i="34"/>
  <c r="N2124" i="34"/>
  <c r="C2124" i="34"/>
  <c r="B2124" i="34"/>
  <c r="O2124" i="34"/>
  <c r="P2124" i="34"/>
  <c r="Q2124" i="34"/>
  <c r="R2124" i="34"/>
  <c r="S2124" i="34"/>
  <c r="T2124" i="34"/>
  <c r="U2124" i="34"/>
  <c r="V2124" i="34"/>
  <c r="W2124" i="34"/>
  <c r="X2124" i="34"/>
  <c r="Y2124" i="34"/>
  <c r="N2125" i="34"/>
  <c r="C2125" i="34"/>
  <c r="B2125" i="34"/>
  <c r="O2125" i="34"/>
  <c r="P2125" i="34"/>
  <c r="Q2125" i="34"/>
  <c r="R2125" i="34"/>
  <c r="S2125" i="34"/>
  <c r="T2125" i="34"/>
  <c r="U2125" i="34"/>
  <c r="V2125" i="34"/>
  <c r="W2125" i="34"/>
  <c r="X2125" i="34"/>
  <c r="Y2125" i="34"/>
  <c r="N2126" i="34"/>
  <c r="C2126" i="34"/>
  <c r="B2126" i="34"/>
  <c r="O2126" i="34"/>
  <c r="P2126" i="34"/>
  <c r="Q2126" i="34"/>
  <c r="R2126" i="34"/>
  <c r="S2126" i="34"/>
  <c r="T2126" i="34"/>
  <c r="U2126" i="34"/>
  <c r="V2126" i="34"/>
  <c r="W2126" i="34"/>
  <c r="X2126" i="34"/>
  <c r="Y2126" i="34"/>
  <c r="N2127" i="34"/>
  <c r="C2127" i="34"/>
  <c r="B2127" i="34"/>
  <c r="O2127" i="34"/>
  <c r="P2127" i="34"/>
  <c r="Q2127" i="34"/>
  <c r="R2127" i="34"/>
  <c r="S2127" i="34"/>
  <c r="T2127" i="34"/>
  <c r="U2127" i="34"/>
  <c r="V2127" i="34"/>
  <c r="W2127" i="34"/>
  <c r="X2127" i="34"/>
  <c r="Y2127" i="34"/>
  <c r="N2128" i="34"/>
  <c r="C2128" i="34"/>
  <c r="B2128" i="34"/>
  <c r="O2128" i="34"/>
  <c r="P2128" i="34"/>
  <c r="Q2128" i="34"/>
  <c r="R2128" i="34"/>
  <c r="S2128" i="34"/>
  <c r="T2128" i="34"/>
  <c r="U2128" i="34"/>
  <c r="V2128" i="34"/>
  <c r="W2128" i="34"/>
  <c r="X2128" i="34"/>
  <c r="Y2128" i="34"/>
  <c r="N2129" i="34"/>
  <c r="C2129" i="34"/>
  <c r="B2129" i="34"/>
  <c r="O2129" i="34"/>
  <c r="P2129" i="34"/>
  <c r="Q2129" i="34"/>
  <c r="R2129" i="34"/>
  <c r="S2129" i="34"/>
  <c r="T2129" i="34"/>
  <c r="U2129" i="34"/>
  <c r="V2129" i="34"/>
  <c r="W2129" i="34"/>
  <c r="X2129" i="34"/>
  <c r="Y2129" i="34"/>
  <c r="N2130" i="34"/>
  <c r="C2130" i="34"/>
  <c r="B2130" i="34"/>
  <c r="O2130" i="34"/>
  <c r="P2130" i="34"/>
  <c r="Q2130" i="34"/>
  <c r="R2130" i="34"/>
  <c r="S2130" i="34"/>
  <c r="T2130" i="34"/>
  <c r="U2130" i="34"/>
  <c r="V2130" i="34"/>
  <c r="W2130" i="34"/>
  <c r="X2130" i="34"/>
  <c r="Y2130" i="34"/>
  <c r="N2131" i="34"/>
  <c r="C2131" i="34"/>
  <c r="B2131" i="34"/>
  <c r="O2131" i="34"/>
  <c r="P2131" i="34"/>
  <c r="Q2131" i="34"/>
  <c r="R2131" i="34"/>
  <c r="S2131" i="34"/>
  <c r="T2131" i="34"/>
  <c r="U2131" i="34"/>
  <c r="V2131" i="34"/>
  <c r="W2131" i="34"/>
  <c r="X2131" i="34"/>
  <c r="Y2131" i="34"/>
  <c r="N2132" i="34"/>
  <c r="C2132" i="34"/>
  <c r="B2132" i="34"/>
  <c r="O2132" i="34"/>
  <c r="P2132" i="34"/>
  <c r="Q2132" i="34"/>
  <c r="R2132" i="34"/>
  <c r="S2132" i="34"/>
  <c r="T2132" i="34"/>
  <c r="U2132" i="34"/>
  <c r="V2132" i="34"/>
  <c r="W2132" i="34"/>
  <c r="X2132" i="34"/>
  <c r="Y2132" i="34"/>
  <c r="N2133" i="34"/>
  <c r="C2133" i="34"/>
  <c r="B2133" i="34"/>
  <c r="O2133" i="34"/>
  <c r="P2133" i="34"/>
  <c r="Q2133" i="34"/>
  <c r="R2133" i="34"/>
  <c r="S2133" i="34"/>
  <c r="T2133" i="34"/>
  <c r="U2133" i="34"/>
  <c r="V2133" i="34"/>
  <c r="W2133" i="34"/>
  <c r="X2133" i="34"/>
  <c r="Y2133" i="34"/>
  <c r="N2134" i="34"/>
  <c r="C2134" i="34"/>
  <c r="B2134" i="34"/>
  <c r="O2134" i="34"/>
  <c r="P2134" i="34"/>
  <c r="Q2134" i="34"/>
  <c r="R2134" i="34"/>
  <c r="S2134" i="34"/>
  <c r="T2134" i="34"/>
  <c r="U2134" i="34"/>
  <c r="V2134" i="34"/>
  <c r="W2134" i="34"/>
  <c r="X2134" i="34"/>
  <c r="Y2134" i="34"/>
  <c r="N2135" i="34"/>
  <c r="C2135" i="34"/>
  <c r="B2135" i="34"/>
  <c r="O2135" i="34"/>
  <c r="P2135" i="34"/>
  <c r="Q2135" i="34"/>
  <c r="R2135" i="34"/>
  <c r="S2135" i="34"/>
  <c r="T2135" i="34"/>
  <c r="U2135" i="34"/>
  <c r="V2135" i="34"/>
  <c r="W2135" i="34"/>
  <c r="X2135" i="34"/>
  <c r="Y2135" i="34"/>
  <c r="N2136" i="34"/>
  <c r="C2136" i="34"/>
  <c r="B2136" i="34"/>
  <c r="O2136" i="34"/>
  <c r="P2136" i="34"/>
  <c r="Q2136" i="34"/>
  <c r="R2136" i="34"/>
  <c r="S2136" i="34"/>
  <c r="T2136" i="34"/>
  <c r="U2136" i="34"/>
  <c r="V2136" i="34"/>
  <c r="W2136" i="34"/>
  <c r="X2136" i="34"/>
  <c r="Y2136" i="34"/>
  <c r="N2137" i="34"/>
  <c r="C2137" i="34"/>
  <c r="B2137" i="34"/>
  <c r="O2137" i="34"/>
  <c r="P2137" i="34"/>
  <c r="Q2137" i="34"/>
  <c r="R2137" i="34"/>
  <c r="S2137" i="34"/>
  <c r="T2137" i="34"/>
  <c r="U2137" i="34"/>
  <c r="V2137" i="34"/>
  <c r="W2137" i="34"/>
  <c r="X2137" i="34"/>
  <c r="Y2137" i="34"/>
  <c r="N2138" i="34"/>
  <c r="C2138" i="34"/>
  <c r="B2138" i="34"/>
  <c r="O2138" i="34"/>
  <c r="P2138" i="34"/>
  <c r="Q2138" i="34"/>
  <c r="R2138" i="34"/>
  <c r="S2138" i="34"/>
  <c r="T2138" i="34"/>
  <c r="U2138" i="34"/>
  <c r="V2138" i="34"/>
  <c r="W2138" i="34"/>
  <c r="X2138" i="34"/>
  <c r="Y2138" i="34"/>
  <c r="N2139" i="34"/>
  <c r="C2139" i="34"/>
  <c r="B2139" i="34"/>
  <c r="O2139" i="34"/>
  <c r="P2139" i="34"/>
  <c r="Q2139" i="34"/>
  <c r="R2139" i="34"/>
  <c r="S2139" i="34"/>
  <c r="T2139" i="34"/>
  <c r="U2139" i="34"/>
  <c r="V2139" i="34"/>
  <c r="W2139" i="34"/>
  <c r="X2139" i="34"/>
  <c r="Y2139" i="34"/>
  <c r="N2140" i="34"/>
  <c r="C2140" i="34"/>
  <c r="B2140" i="34"/>
  <c r="O2140" i="34"/>
  <c r="P2140" i="34"/>
  <c r="Q2140" i="34"/>
  <c r="R2140" i="34"/>
  <c r="S2140" i="34"/>
  <c r="T2140" i="34"/>
  <c r="U2140" i="34"/>
  <c r="V2140" i="34"/>
  <c r="W2140" i="34"/>
  <c r="X2140" i="34"/>
  <c r="Y2140" i="34"/>
  <c r="N2141" i="34"/>
  <c r="C2141" i="34"/>
  <c r="B2141" i="34"/>
  <c r="O2141" i="34"/>
  <c r="P2141" i="34"/>
  <c r="Q2141" i="34"/>
  <c r="R2141" i="34"/>
  <c r="S2141" i="34"/>
  <c r="T2141" i="34"/>
  <c r="U2141" i="34"/>
  <c r="V2141" i="34"/>
  <c r="W2141" i="34"/>
  <c r="X2141" i="34"/>
  <c r="Y2141" i="34"/>
  <c r="N2142" i="34"/>
  <c r="B2142" i="34"/>
  <c r="O2142" i="34"/>
  <c r="P2142" i="34"/>
  <c r="Q2142" i="34"/>
  <c r="R2142" i="34"/>
  <c r="S2142" i="34"/>
  <c r="T2142" i="34"/>
  <c r="U2142" i="34"/>
  <c r="V2142" i="34"/>
  <c r="W2142" i="34"/>
  <c r="X2142" i="34"/>
  <c r="Y2142" i="34"/>
  <c r="N2143" i="34"/>
  <c r="B2143" i="34"/>
  <c r="O2143" i="34"/>
  <c r="P2143" i="34"/>
  <c r="Q2143" i="34"/>
  <c r="R2143" i="34"/>
  <c r="S2143" i="34"/>
  <c r="T2143" i="34"/>
  <c r="U2143" i="34"/>
  <c r="V2143" i="34"/>
  <c r="W2143" i="34"/>
  <c r="X2143" i="34"/>
  <c r="Y2143" i="34"/>
  <c r="N2144" i="34"/>
  <c r="B2144" i="34"/>
  <c r="O2144" i="34"/>
  <c r="P2144" i="34"/>
  <c r="Q2144" i="34"/>
  <c r="R2144" i="34"/>
  <c r="S2144" i="34"/>
  <c r="T2144" i="34"/>
  <c r="U2144" i="34"/>
  <c r="V2144" i="34"/>
  <c r="W2144" i="34"/>
  <c r="X2144" i="34"/>
  <c r="Y2144" i="34"/>
  <c r="N2145" i="34"/>
  <c r="B2145" i="34"/>
  <c r="O2145" i="34"/>
  <c r="P2145" i="34"/>
  <c r="Q2145" i="34"/>
  <c r="R2145" i="34"/>
  <c r="S2145" i="34"/>
  <c r="T2145" i="34"/>
  <c r="U2145" i="34"/>
  <c r="V2145" i="34"/>
  <c r="W2145" i="34"/>
  <c r="X2145" i="34"/>
  <c r="Y2145" i="34"/>
  <c r="N2146" i="34"/>
  <c r="B2146" i="34"/>
  <c r="O2146" i="34"/>
  <c r="P2146" i="34"/>
  <c r="Q2146" i="34"/>
  <c r="R2146" i="34"/>
  <c r="S2146" i="34"/>
  <c r="T2146" i="34"/>
  <c r="U2146" i="34"/>
  <c r="V2146" i="34"/>
  <c r="W2146" i="34"/>
  <c r="X2146" i="34"/>
  <c r="Y2146" i="34"/>
  <c r="N2147" i="34"/>
  <c r="B2147" i="34"/>
  <c r="O2147" i="34"/>
  <c r="P2147" i="34"/>
  <c r="Q2147" i="34"/>
  <c r="R2147" i="34"/>
  <c r="S2147" i="34"/>
  <c r="T2147" i="34"/>
  <c r="U2147" i="34"/>
  <c r="V2147" i="34"/>
  <c r="W2147" i="34"/>
  <c r="X2147" i="34"/>
  <c r="Y2147" i="34"/>
  <c r="N2148" i="34"/>
  <c r="B2148" i="34"/>
  <c r="O2148" i="34"/>
  <c r="P2148" i="34"/>
  <c r="Q2148" i="34"/>
  <c r="R2148" i="34"/>
  <c r="S2148" i="34"/>
  <c r="T2148" i="34"/>
  <c r="U2148" i="34"/>
  <c r="V2148" i="34"/>
  <c r="W2148" i="34"/>
  <c r="X2148" i="34"/>
  <c r="Y2148" i="34"/>
  <c r="N2149" i="34"/>
  <c r="B2149" i="34"/>
  <c r="O2149" i="34"/>
  <c r="P2149" i="34"/>
  <c r="Q2149" i="34"/>
  <c r="R2149" i="34"/>
  <c r="S2149" i="34"/>
  <c r="T2149" i="34"/>
  <c r="U2149" i="34"/>
  <c r="V2149" i="34"/>
  <c r="W2149" i="34"/>
  <c r="X2149" i="34"/>
  <c r="Y2149" i="34"/>
  <c r="N2150" i="34"/>
  <c r="B2150" i="34"/>
  <c r="O2150" i="34"/>
  <c r="P2150" i="34"/>
  <c r="Q2150" i="34"/>
  <c r="R2150" i="34"/>
  <c r="S2150" i="34"/>
  <c r="T2150" i="34"/>
  <c r="U2150" i="34"/>
  <c r="V2150" i="34"/>
  <c r="W2150" i="34"/>
  <c r="X2150" i="34"/>
  <c r="Y2150" i="34"/>
  <c r="N2151" i="34"/>
  <c r="B2151" i="34"/>
  <c r="O2151" i="34"/>
  <c r="P2151" i="34"/>
  <c r="Q2151" i="34"/>
  <c r="R2151" i="34"/>
  <c r="S2151" i="34"/>
  <c r="T2151" i="34"/>
  <c r="U2151" i="34"/>
  <c r="V2151" i="34"/>
  <c r="W2151" i="34"/>
  <c r="X2151" i="34"/>
  <c r="Y2151" i="34"/>
  <c r="N2152" i="34"/>
  <c r="B2152" i="34"/>
  <c r="O2152" i="34"/>
  <c r="P2152" i="34"/>
  <c r="Q2152" i="34"/>
  <c r="R2152" i="34"/>
  <c r="S2152" i="34"/>
  <c r="T2152" i="34"/>
  <c r="U2152" i="34"/>
  <c r="V2152" i="34"/>
  <c r="W2152" i="34"/>
  <c r="X2152" i="34"/>
  <c r="Y2152" i="34"/>
  <c r="N2153" i="34"/>
  <c r="B2153" i="34"/>
  <c r="O2153" i="34"/>
  <c r="P2153" i="34"/>
  <c r="Q2153" i="34"/>
  <c r="R2153" i="34"/>
  <c r="S2153" i="34"/>
  <c r="T2153" i="34"/>
  <c r="U2153" i="34"/>
  <c r="V2153" i="34"/>
  <c r="W2153" i="34"/>
  <c r="X2153" i="34"/>
  <c r="Y2153" i="34"/>
  <c r="N2154" i="34"/>
  <c r="B2154" i="34"/>
  <c r="O2154" i="34"/>
  <c r="P2154" i="34"/>
  <c r="Q2154" i="34"/>
  <c r="R2154" i="34"/>
  <c r="S2154" i="34"/>
  <c r="T2154" i="34"/>
  <c r="U2154" i="34"/>
  <c r="V2154" i="34"/>
  <c r="W2154" i="34"/>
  <c r="X2154" i="34"/>
  <c r="Y2154" i="34"/>
  <c r="N2155" i="34"/>
  <c r="B2155" i="34"/>
  <c r="O2155" i="34"/>
  <c r="P2155" i="34"/>
  <c r="Q2155" i="34"/>
  <c r="R2155" i="34"/>
  <c r="S2155" i="34"/>
  <c r="T2155" i="34"/>
  <c r="U2155" i="34"/>
  <c r="V2155" i="34"/>
  <c r="W2155" i="34"/>
  <c r="X2155" i="34"/>
  <c r="Y2155" i="34"/>
  <c r="N2156" i="34"/>
  <c r="B2156" i="34"/>
  <c r="O2156" i="34"/>
  <c r="P2156" i="34"/>
  <c r="Q2156" i="34"/>
  <c r="R2156" i="34"/>
  <c r="S2156" i="34"/>
  <c r="T2156" i="34"/>
  <c r="U2156" i="34"/>
  <c r="V2156" i="34"/>
  <c r="W2156" i="34"/>
  <c r="X2156" i="34"/>
  <c r="Y2156" i="34"/>
  <c r="N2157" i="34"/>
  <c r="B2157" i="34"/>
  <c r="O2157" i="34"/>
  <c r="P2157" i="34"/>
  <c r="Q2157" i="34"/>
  <c r="R2157" i="34"/>
  <c r="S2157" i="34"/>
  <c r="T2157" i="34"/>
  <c r="U2157" i="34"/>
  <c r="V2157" i="34"/>
  <c r="W2157" i="34"/>
  <c r="X2157" i="34"/>
  <c r="Y2157" i="34"/>
  <c r="N2158" i="34"/>
  <c r="B2158" i="34"/>
  <c r="O2158" i="34"/>
  <c r="P2158" i="34"/>
  <c r="Q2158" i="34"/>
  <c r="R2158" i="34"/>
  <c r="S2158" i="34"/>
  <c r="T2158" i="34"/>
  <c r="U2158" i="34"/>
  <c r="V2158" i="34"/>
  <c r="W2158" i="34"/>
  <c r="X2158" i="34"/>
  <c r="Y2158" i="34"/>
  <c r="N2159" i="34"/>
  <c r="B2159" i="34"/>
  <c r="O2159" i="34"/>
  <c r="P2159" i="34"/>
  <c r="Q2159" i="34"/>
  <c r="R2159" i="34"/>
  <c r="S2159" i="34"/>
  <c r="T2159" i="34"/>
  <c r="U2159" i="34"/>
  <c r="V2159" i="34"/>
  <c r="W2159" i="34"/>
  <c r="X2159" i="34"/>
  <c r="Y2159" i="34"/>
  <c r="N2160" i="34"/>
  <c r="B2160" i="34"/>
  <c r="O2160" i="34"/>
  <c r="P2160" i="34"/>
  <c r="Q2160" i="34"/>
  <c r="R2160" i="34"/>
  <c r="S2160" i="34"/>
  <c r="T2160" i="34"/>
  <c r="U2160" i="34"/>
  <c r="V2160" i="34"/>
  <c r="W2160" i="34"/>
  <c r="X2160" i="34"/>
  <c r="Y2160" i="34"/>
  <c r="N2161" i="34"/>
  <c r="B2161" i="34"/>
  <c r="O2161" i="34"/>
  <c r="P2161" i="34"/>
  <c r="Q2161" i="34"/>
  <c r="R2161" i="34"/>
  <c r="S2161" i="34"/>
  <c r="T2161" i="34"/>
  <c r="U2161" i="34"/>
  <c r="V2161" i="34"/>
  <c r="W2161" i="34"/>
  <c r="X2161" i="34"/>
  <c r="Y2161" i="34"/>
  <c r="N2162" i="34"/>
  <c r="B2162" i="34"/>
  <c r="O2162" i="34"/>
  <c r="P2162" i="34"/>
  <c r="Q2162" i="34"/>
  <c r="R2162" i="34"/>
  <c r="S2162" i="34"/>
  <c r="T2162" i="34"/>
  <c r="U2162" i="34"/>
  <c r="V2162" i="34"/>
  <c r="W2162" i="34"/>
  <c r="X2162" i="34"/>
  <c r="Y2162" i="34"/>
  <c r="N2163" i="34"/>
  <c r="B2163" i="34"/>
  <c r="O2163" i="34"/>
  <c r="P2163" i="34"/>
  <c r="Q2163" i="34"/>
  <c r="R2163" i="34"/>
  <c r="S2163" i="34"/>
  <c r="T2163" i="34"/>
  <c r="U2163" i="34"/>
  <c r="V2163" i="34"/>
  <c r="W2163" i="34"/>
  <c r="X2163" i="34"/>
  <c r="Y2163" i="34"/>
  <c r="N2164" i="34"/>
  <c r="B2164" i="34"/>
  <c r="O2164" i="34"/>
  <c r="P2164" i="34"/>
  <c r="Q2164" i="34"/>
  <c r="R2164" i="34"/>
  <c r="S2164" i="34"/>
  <c r="T2164" i="34"/>
  <c r="U2164" i="34"/>
  <c r="V2164" i="34"/>
  <c r="W2164" i="34"/>
  <c r="X2164" i="34"/>
  <c r="Y2164" i="34"/>
  <c r="N2165" i="34"/>
  <c r="B2165" i="34"/>
  <c r="O2165" i="34"/>
  <c r="P2165" i="34"/>
  <c r="Q2165" i="34"/>
  <c r="R2165" i="34"/>
  <c r="S2165" i="34"/>
  <c r="T2165" i="34"/>
  <c r="U2165" i="34"/>
  <c r="V2165" i="34"/>
  <c r="W2165" i="34"/>
  <c r="X2165" i="34"/>
  <c r="Y2165" i="34"/>
  <c r="N2166" i="34"/>
  <c r="B2166" i="34"/>
  <c r="O2166" i="34"/>
  <c r="P2166" i="34"/>
  <c r="Q2166" i="34"/>
  <c r="R2166" i="34"/>
  <c r="S2166" i="34"/>
  <c r="T2166" i="34"/>
  <c r="U2166" i="34"/>
  <c r="V2166" i="34"/>
  <c r="W2166" i="34"/>
  <c r="X2166" i="34"/>
  <c r="Y2166" i="34"/>
  <c r="N2167" i="34"/>
  <c r="B2167" i="34"/>
  <c r="O2167" i="34"/>
  <c r="P2167" i="34"/>
  <c r="Q2167" i="34"/>
  <c r="R2167" i="34"/>
  <c r="S2167" i="34"/>
  <c r="T2167" i="34"/>
  <c r="U2167" i="34"/>
  <c r="V2167" i="34"/>
  <c r="W2167" i="34"/>
  <c r="X2167" i="34"/>
  <c r="Y2167" i="34"/>
  <c r="N2168" i="34"/>
  <c r="B2168" i="34"/>
  <c r="O2168" i="34"/>
  <c r="P2168" i="34"/>
  <c r="Q2168" i="34"/>
  <c r="R2168" i="34"/>
  <c r="S2168" i="34"/>
  <c r="T2168" i="34"/>
  <c r="U2168" i="34"/>
  <c r="V2168" i="34"/>
  <c r="W2168" i="34"/>
  <c r="X2168" i="34"/>
  <c r="Y2168" i="34"/>
  <c r="N2169" i="34"/>
  <c r="B2169" i="34"/>
  <c r="O2169" i="34"/>
  <c r="P2169" i="34"/>
  <c r="Q2169" i="34"/>
  <c r="R2169" i="34"/>
  <c r="S2169" i="34"/>
  <c r="T2169" i="34"/>
  <c r="U2169" i="34"/>
  <c r="V2169" i="34"/>
  <c r="W2169" i="34"/>
  <c r="X2169" i="34"/>
  <c r="Y2169" i="34"/>
  <c r="N2170" i="34"/>
  <c r="B2170" i="34"/>
  <c r="O2170" i="34"/>
  <c r="P2170" i="34"/>
  <c r="Q2170" i="34"/>
  <c r="R2170" i="34"/>
  <c r="S2170" i="34"/>
  <c r="T2170" i="34"/>
  <c r="U2170" i="34"/>
  <c r="V2170" i="34"/>
  <c r="W2170" i="34"/>
  <c r="X2170" i="34"/>
  <c r="Y2170" i="34"/>
  <c r="N2171" i="34"/>
  <c r="C2171" i="34"/>
  <c r="B2171" i="34"/>
  <c r="O2171" i="34"/>
  <c r="P2171" i="34"/>
  <c r="Q2171" i="34"/>
  <c r="R2171" i="34"/>
  <c r="S2171" i="34"/>
  <c r="T2171" i="34"/>
  <c r="U2171" i="34"/>
  <c r="V2171" i="34"/>
  <c r="W2171" i="34"/>
  <c r="X2171" i="34"/>
  <c r="Y2171" i="34"/>
  <c r="N2172" i="34"/>
  <c r="C2172" i="34"/>
  <c r="B2172" i="34"/>
  <c r="O2172" i="34"/>
  <c r="P2172" i="34"/>
  <c r="Q2172" i="34"/>
  <c r="R2172" i="34"/>
  <c r="S2172" i="34"/>
  <c r="T2172" i="34"/>
  <c r="U2172" i="34"/>
  <c r="V2172" i="34"/>
  <c r="W2172" i="34"/>
  <c r="X2172" i="34"/>
  <c r="Y2172" i="34"/>
  <c r="N2173" i="34"/>
  <c r="C2173" i="34"/>
  <c r="B2173" i="34"/>
  <c r="O2173" i="34"/>
  <c r="P2173" i="34"/>
  <c r="Q2173" i="34"/>
  <c r="R2173" i="34"/>
  <c r="S2173" i="34"/>
  <c r="T2173" i="34"/>
  <c r="U2173" i="34"/>
  <c r="V2173" i="34"/>
  <c r="W2173" i="34"/>
  <c r="X2173" i="34"/>
  <c r="Y2173" i="34"/>
  <c r="N2174" i="34"/>
  <c r="C2174" i="34"/>
  <c r="B2174" i="34"/>
  <c r="O2174" i="34"/>
  <c r="P2174" i="34"/>
  <c r="Q2174" i="34"/>
  <c r="R2174" i="34"/>
  <c r="S2174" i="34"/>
  <c r="T2174" i="34"/>
  <c r="U2174" i="34"/>
  <c r="V2174" i="34"/>
  <c r="W2174" i="34"/>
  <c r="X2174" i="34"/>
  <c r="Y2174" i="34"/>
  <c r="N2175" i="34"/>
  <c r="C2175" i="34"/>
  <c r="B2175" i="34"/>
  <c r="O2175" i="34"/>
  <c r="P2175" i="34"/>
  <c r="Q2175" i="34"/>
  <c r="R2175" i="34"/>
  <c r="S2175" i="34"/>
  <c r="T2175" i="34"/>
  <c r="U2175" i="34"/>
  <c r="V2175" i="34"/>
  <c r="W2175" i="34"/>
  <c r="X2175" i="34"/>
  <c r="Y2175" i="34"/>
  <c r="N2176" i="34"/>
  <c r="C2176" i="34"/>
  <c r="B2176" i="34"/>
  <c r="O2176" i="34"/>
  <c r="P2176" i="34"/>
  <c r="Q2176" i="34"/>
  <c r="R2176" i="34"/>
  <c r="S2176" i="34"/>
  <c r="T2176" i="34"/>
  <c r="U2176" i="34"/>
  <c r="V2176" i="34"/>
  <c r="W2176" i="34"/>
  <c r="X2176" i="34"/>
  <c r="Y2176" i="34"/>
  <c r="N2177" i="34"/>
  <c r="C2177" i="34"/>
  <c r="B2177" i="34"/>
  <c r="O2177" i="34"/>
  <c r="P2177" i="34"/>
  <c r="Q2177" i="34"/>
  <c r="R2177" i="34"/>
  <c r="S2177" i="34"/>
  <c r="T2177" i="34"/>
  <c r="U2177" i="34"/>
  <c r="V2177" i="34"/>
  <c r="W2177" i="34"/>
  <c r="X2177" i="34"/>
  <c r="Y2177" i="34"/>
  <c r="N2178" i="34"/>
  <c r="C2178" i="34"/>
  <c r="B2178" i="34"/>
  <c r="O2178" i="34"/>
  <c r="P2178" i="34"/>
  <c r="Q2178" i="34"/>
  <c r="R2178" i="34"/>
  <c r="S2178" i="34"/>
  <c r="T2178" i="34"/>
  <c r="U2178" i="34"/>
  <c r="V2178" i="34"/>
  <c r="W2178" i="34"/>
  <c r="X2178" i="34"/>
  <c r="Y2178" i="34"/>
  <c r="N2179" i="34"/>
  <c r="C2179" i="34"/>
  <c r="B2179" i="34"/>
  <c r="O2179" i="34"/>
  <c r="P2179" i="34"/>
  <c r="Q2179" i="34"/>
  <c r="R2179" i="34"/>
  <c r="S2179" i="34"/>
  <c r="T2179" i="34"/>
  <c r="U2179" i="34"/>
  <c r="V2179" i="34"/>
  <c r="W2179" i="34"/>
  <c r="X2179" i="34"/>
  <c r="Y2179" i="34"/>
  <c r="N2180" i="34"/>
  <c r="C2180" i="34"/>
  <c r="B2180" i="34"/>
  <c r="O2180" i="34"/>
  <c r="P2180" i="34"/>
  <c r="Q2180" i="34"/>
  <c r="R2180" i="34"/>
  <c r="S2180" i="34"/>
  <c r="T2180" i="34"/>
  <c r="U2180" i="34"/>
  <c r="V2180" i="34"/>
  <c r="W2180" i="34"/>
  <c r="X2180" i="34"/>
  <c r="Y2180" i="34"/>
  <c r="N2181" i="34"/>
  <c r="C2181" i="34"/>
  <c r="B2181" i="34"/>
  <c r="O2181" i="34"/>
  <c r="P2181" i="34"/>
  <c r="Q2181" i="34"/>
  <c r="R2181" i="34"/>
  <c r="S2181" i="34"/>
  <c r="T2181" i="34"/>
  <c r="U2181" i="34"/>
  <c r="V2181" i="34"/>
  <c r="W2181" i="34"/>
  <c r="X2181" i="34"/>
  <c r="Y2181" i="34"/>
  <c r="N2182" i="34"/>
  <c r="C2182" i="34"/>
  <c r="B2182" i="34"/>
  <c r="O2182" i="34"/>
  <c r="P2182" i="34"/>
  <c r="Q2182" i="34"/>
  <c r="R2182" i="34"/>
  <c r="S2182" i="34"/>
  <c r="T2182" i="34"/>
  <c r="U2182" i="34"/>
  <c r="V2182" i="34"/>
  <c r="W2182" i="34"/>
  <c r="X2182" i="34"/>
  <c r="Y2182" i="34"/>
  <c r="N2183" i="34"/>
  <c r="C2183" i="34"/>
  <c r="B2183" i="34"/>
  <c r="O2183" i="34"/>
  <c r="P2183" i="34"/>
  <c r="Q2183" i="34"/>
  <c r="R2183" i="34"/>
  <c r="S2183" i="34"/>
  <c r="T2183" i="34"/>
  <c r="U2183" i="34"/>
  <c r="V2183" i="34"/>
  <c r="W2183" i="34"/>
  <c r="X2183" i="34"/>
  <c r="Y2183" i="34"/>
  <c r="N2184" i="34"/>
  <c r="C2184" i="34"/>
  <c r="B2184" i="34"/>
  <c r="O2184" i="34"/>
  <c r="P2184" i="34"/>
  <c r="Q2184" i="34"/>
  <c r="R2184" i="34"/>
  <c r="S2184" i="34"/>
  <c r="T2184" i="34"/>
  <c r="U2184" i="34"/>
  <c r="V2184" i="34"/>
  <c r="W2184" i="34"/>
  <c r="X2184" i="34"/>
  <c r="Y2184" i="34"/>
  <c r="N2185" i="34"/>
  <c r="C2185" i="34"/>
  <c r="B2185" i="34"/>
  <c r="O2185" i="34"/>
  <c r="P2185" i="34"/>
  <c r="Q2185" i="34"/>
  <c r="R2185" i="34"/>
  <c r="S2185" i="34"/>
  <c r="T2185" i="34"/>
  <c r="U2185" i="34"/>
  <c r="V2185" i="34"/>
  <c r="W2185" i="34"/>
  <c r="X2185" i="34"/>
  <c r="Y2185" i="34"/>
  <c r="N2186" i="34"/>
  <c r="C2186" i="34"/>
  <c r="B2186" i="34"/>
  <c r="O2186" i="34"/>
  <c r="P2186" i="34"/>
  <c r="Q2186" i="34"/>
  <c r="R2186" i="34"/>
  <c r="S2186" i="34"/>
  <c r="T2186" i="34"/>
  <c r="U2186" i="34"/>
  <c r="V2186" i="34"/>
  <c r="W2186" i="34"/>
  <c r="X2186" i="34"/>
  <c r="Y2186" i="34"/>
  <c r="N2187" i="34"/>
  <c r="C2187" i="34"/>
  <c r="B2187" i="34"/>
  <c r="O2187" i="34"/>
  <c r="P2187" i="34"/>
  <c r="Q2187" i="34"/>
  <c r="R2187" i="34"/>
  <c r="S2187" i="34"/>
  <c r="T2187" i="34"/>
  <c r="U2187" i="34"/>
  <c r="V2187" i="34"/>
  <c r="W2187" i="34"/>
  <c r="X2187" i="34"/>
  <c r="Y2187" i="34"/>
  <c r="N2188" i="34"/>
  <c r="C2188" i="34"/>
  <c r="B2188" i="34"/>
  <c r="O2188" i="34"/>
  <c r="P2188" i="34"/>
  <c r="Q2188" i="34"/>
  <c r="R2188" i="34"/>
  <c r="S2188" i="34"/>
  <c r="T2188" i="34"/>
  <c r="U2188" i="34"/>
  <c r="V2188" i="34"/>
  <c r="W2188" i="34"/>
  <c r="X2188" i="34"/>
  <c r="Y2188" i="34"/>
  <c r="N2189" i="34"/>
  <c r="C2189" i="34"/>
  <c r="B2189" i="34"/>
  <c r="O2189" i="34"/>
  <c r="P2189" i="34"/>
  <c r="Q2189" i="34"/>
  <c r="R2189" i="34"/>
  <c r="S2189" i="34"/>
  <c r="T2189" i="34"/>
  <c r="U2189" i="34"/>
  <c r="V2189" i="34"/>
  <c r="W2189" i="34"/>
  <c r="X2189" i="34"/>
  <c r="Y2189" i="34"/>
  <c r="N2190" i="34"/>
  <c r="C2190" i="34"/>
  <c r="B2190" i="34"/>
  <c r="O2190" i="34"/>
  <c r="P2190" i="34"/>
  <c r="Q2190" i="34"/>
  <c r="R2190" i="34"/>
  <c r="S2190" i="34"/>
  <c r="T2190" i="34"/>
  <c r="U2190" i="34"/>
  <c r="V2190" i="34"/>
  <c r="W2190" i="34"/>
  <c r="X2190" i="34"/>
  <c r="Y2190" i="34"/>
  <c r="N2191" i="34"/>
  <c r="C2191" i="34"/>
  <c r="B2191" i="34"/>
  <c r="O2191" i="34"/>
  <c r="P2191" i="34"/>
  <c r="Q2191" i="34"/>
  <c r="R2191" i="34"/>
  <c r="S2191" i="34"/>
  <c r="T2191" i="34"/>
  <c r="U2191" i="34"/>
  <c r="V2191" i="34"/>
  <c r="W2191" i="34"/>
  <c r="X2191" i="34"/>
  <c r="Y2191" i="34"/>
  <c r="N2192" i="34"/>
  <c r="C2192" i="34"/>
  <c r="B2192" i="34"/>
  <c r="O2192" i="34"/>
  <c r="P2192" i="34"/>
  <c r="Q2192" i="34"/>
  <c r="R2192" i="34"/>
  <c r="S2192" i="34"/>
  <c r="T2192" i="34"/>
  <c r="U2192" i="34"/>
  <c r="V2192" i="34"/>
  <c r="W2192" i="34"/>
  <c r="X2192" i="34"/>
  <c r="Y2192" i="34"/>
  <c r="N2193" i="34"/>
  <c r="C2193" i="34"/>
  <c r="B2193" i="34"/>
  <c r="O2193" i="34"/>
  <c r="P2193" i="34"/>
  <c r="Q2193" i="34"/>
  <c r="R2193" i="34"/>
  <c r="S2193" i="34"/>
  <c r="T2193" i="34"/>
  <c r="U2193" i="34"/>
  <c r="V2193" i="34"/>
  <c r="W2193" i="34"/>
  <c r="X2193" i="34"/>
  <c r="Y2193" i="34"/>
  <c r="N2194" i="34"/>
  <c r="C2194" i="34"/>
  <c r="B2194" i="34"/>
  <c r="O2194" i="34"/>
  <c r="P2194" i="34"/>
  <c r="Q2194" i="34"/>
  <c r="R2194" i="34"/>
  <c r="S2194" i="34"/>
  <c r="T2194" i="34"/>
  <c r="U2194" i="34"/>
  <c r="V2194" i="34"/>
  <c r="W2194" i="34"/>
  <c r="X2194" i="34"/>
  <c r="Y2194" i="34"/>
  <c r="N2195" i="34"/>
  <c r="C2195" i="34"/>
  <c r="B2195" i="34"/>
  <c r="O2195" i="34"/>
  <c r="P2195" i="34"/>
  <c r="Q2195" i="34"/>
  <c r="R2195" i="34"/>
  <c r="S2195" i="34"/>
  <c r="T2195" i="34"/>
  <c r="U2195" i="34"/>
  <c r="V2195" i="34"/>
  <c r="W2195" i="34"/>
  <c r="X2195" i="34"/>
  <c r="Y2195" i="34"/>
  <c r="N2196" i="34"/>
  <c r="C2196" i="34"/>
  <c r="B2196" i="34"/>
  <c r="O2196" i="34"/>
  <c r="P2196" i="34"/>
  <c r="Q2196" i="34"/>
  <c r="R2196" i="34"/>
  <c r="S2196" i="34"/>
  <c r="T2196" i="34"/>
  <c r="U2196" i="34"/>
  <c r="V2196" i="34"/>
  <c r="W2196" i="34"/>
  <c r="X2196" i="34"/>
  <c r="Y2196" i="34"/>
  <c r="N2197" i="34"/>
  <c r="C2197" i="34"/>
  <c r="B2197" i="34"/>
  <c r="O2197" i="34"/>
  <c r="P2197" i="34"/>
  <c r="Q2197" i="34"/>
  <c r="R2197" i="34"/>
  <c r="S2197" i="34"/>
  <c r="T2197" i="34"/>
  <c r="U2197" i="34"/>
  <c r="V2197" i="34"/>
  <c r="W2197" i="34"/>
  <c r="X2197" i="34"/>
  <c r="Y2197" i="34"/>
  <c r="N2198" i="34"/>
  <c r="C2198" i="34"/>
  <c r="B2198" i="34"/>
  <c r="O2198" i="34"/>
  <c r="P2198" i="34"/>
  <c r="Q2198" i="34"/>
  <c r="R2198" i="34"/>
  <c r="S2198" i="34"/>
  <c r="T2198" i="34"/>
  <c r="U2198" i="34"/>
  <c r="V2198" i="34"/>
  <c r="W2198" i="34"/>
  <c r="X2198" i="34"/>
  <c r="Y2198" i="34"/>
  <c r="N2199" i="34"/>
  <c r="C2199" i="34"/>
  <c r="B2199" i="34"/>
  <c r="O2199" i="34"/>
  <c r="P2199" i="34"/>
  <c r="Q2199" i="34"/>
  <c r="R2199" i="34"/>
  <c r="S2199" i="34"/>
  <c r="T2199" i="34"/>
  <c r="U2199" i="34"/>
  <c r="V2199" i="34"/>
  <c r="W2199" i="34"/>
  <c r="X2199" i="34"/>
  <c r="Y2199" i="34"/>
  <c r="N2200" i="34"/>
  <c r="C2200" i="34"/>
  <c r="B2200" i="34"/>
  <c r="O2200" i="34"/>
  <c r="P2200" i="34"/>
  <c r="Q2200" i="34"/>
  <c r="R2200" i="34"/>
  <c r="S2200" i="34"/>
  <c r="T2200" i="34"/>
  <c r="U2200" i="34"/>
  <c r="V2200" i="34"/>
  <c r="W2200" i="34"/>
  <c r="X2200" i="34"/>
  <c r="Y2200" i="34"/>
  <c r="N2201" i="34"/>
  <c r="C2201" i="34"/>
  <c r="B2201" i="34"/>
  <c r="O2201" i="34"/>
  <c r="P2201" i="34"/>
  <c r="Q2201" i="34"/>
  <c r="R2201" i="34"/>
  <c r="S2201" i="34"/>
  <c r="T2201" i="34"/>
  <c r="U2201" i="34"/>
  <c r="V2201" i="34"/>
  <c r="W2201" i="34"/>
  <c r="X2201" i="34"/>
  <c r="Y2201" i="34"/>
  <c r="N2202" i="34"/>
  <c r="C2202" i="34"/>
  <c r="B2202" i="34"/>
  <c r="O2202" i="34"/>
  <c r="P2202" i="34"/>
  <c r="Q2202" i="34"/>
  <c r="R2202" i="34"/>
  <c r="S2202" i="34"/>
  <c r="T2202" i="34"/>
  <c r="U2202" i="34"/>
  <c r="V2202" i="34"/>
  <c r="W2202" i="34"/>
  <c r="X2202" i="34"/>
  <c r="Y2202" i="34"/>
  <c r="N2203" i="34"/>
  <c r="C2203" i="34"/>
  <c r="B2203" i="34"/>
  <c r="O2203" i="34"/>
  <c r="P2203" i="34"/>
  <c r="Q2203" i="34"/>
  <c r="R2203" i="34"/>
  <c r="S2203" i="34"/>
  <c r="T2203" i="34"/>
  <c r="U2203" i="34"/>
  <c r="V2203" i="34"/>
  <c r="W2203" i="34"/>
  <c r="X2203" i="34"/>
  <c r="Y2203" i="34"/>
  <c r="N2204" i="34"/>
  <c r="C2204" i="34"/>
  <c r="B2204" i="34"/>
  <c r="O2204" i="34"/>
  <c r="P2204" i="34"/>
  <c r="Q2204" i="34"/>
  <c r="R2204" i="34"/>
  <c r="S2204" i="34"/>
  <c r="T2204" i="34"/>
  <c r="U2204" i="34"/>
  <c r="V2204" i="34"/>
  <c r="W2204" i="34"/>
  <c r="X2204" i="34"/>
  <c r="Y2204" i="34"/>
  <c r="N2205" i="34"/>
  <c r="C2205" i="34"/>
  <c r="B2205" i="34"/>
  <c r="O2205" i="34"/>
  <c r="P2205" i="34"/>
  <c r="Q2205" i="34"/>
  <c r="R2205" i="34"/>
  <c r="S2205" i="34"/>
  <c r="T2205" i="34"/>
  <c r="U2205" i="34"/>
  <c r="V2205" i="34"/>
  <c r="W2205" i="34"/>
  <c r="X2205" i="34"/>
  <c r="Y2205" i="34"/>
  <c r="N2206" i="34"/>
  <c r="C2206" i="34"/>
  <c r="B2206" i="34"/>
  <c r="O2206" i="34"/>
  <c r="P2206" i="34"/>
  <c r="Q2206" i="34"/>
  <c r="R2206" i="34"/>
  <c r="S2206" i="34"/>
  <c r="T2206" i="34"/>
  <c r="U2206" i="34"/>
  <c r="V2206" i="34"/>
  <c r="W2206" i="34"/>
  <c r="X2206" i="34"/>
  <c r="Y2206" i="34"/>
  <c r="N2207" i="34"/>
  <c r="C2207" i="34"/>
  <c r="B2207" i="34"/>
  <c r="O2207" i="34"/>
  <c r="P2207" i="34"/>
  <c r="Q2207" i="34"/>
  <c r="R2207" i="34"/>
  <c r="S2207" i="34"/>
  <c r="T2207" i="34"/>
  <c r="U2207" i="34"/>
  <c r="V2207" i="34"/>
  <c r="W2207" i="34"/>
  <c r="X2207" i="34"/>
  <c r="Y2207" i="34"/>
  <c r="N2208" i="34"/>
  <c r="C2208" i="34"/>
  <c r="B2208" i="34"/>
  <c r="O2208" i="34"/>
  <c r="P2208" i="34"/>
  <c r="Q2208" i="34"/>
  <c r="R2208" i="34"/>
  <c r="S2208" i="34"/>
  <c r="T2208" i="34"/>
  <c r="U2208" i="34"/>
  <c r="V2208" i="34"/>
  <c r="W2208" i="34"/>
  <c r="X2208" i="34"/>
  <c r="Y2208" i="34"/>
  <c r="N2209" i="34"/>
  <c r="C2209" i="34"/>
  <c r="B2209" i="34"/>
  <c r="O2209" i="34"/>
  <c r="P2209" i="34"/>
  <c r="Q2209" i="34"/>
  <c r="R2209" i="34"/>
  <c r="S2209" i="34"/>
  <c r="T2209" i="34"/>
  <c r="U2209" i="34"/>
  <c r="V2209" i="34"/>
  <c r="W2209" i="34"/>
  <c r="X2209" i="34"/>
  <c r="Y2209" i="34"/>
  <c r="N2210" i="34"/>
  <c r="C2210" i="34"/>
  <c r="B2210" i="34"/>
  <c r="O2210" i="34"/>
  <c r="P2210" i="34"/>
  <c r="Q2210" i="34"/>
  <c r="R2210" i="34"/>
  <c r="S2210" i="34"/>
  <c r="T2210" i="34"/>
  <c r="U2210" i="34"/>
  <c r="V2210" i="34"/>
  <c r="W2210" i="34"/>
  <c r="X2210" i="34"/>
  <c r="Y2210" i="34"/>
  <c r="N2211" i="34"/>
  <c r="C2211" i="34"/>
  <c r="B2211" i="34"/>
  <c r="O2211" i="34"/>
  <c r="P2211" i="34"/>
  <c r="Q2211" i="34"/>
  <c r="R2211" i="34"/>
  <c r="S2211" i="34"/>
  <c r="T2211" i="34"/>
  <c r="U2211" i="34"/>
  <c r="V2211" i="34"/>
  <c r="W2211" i="34"/>
  <c r="X2211" i="34"/>
  <c r="Y2211" i="34"/>
  <c r="N2212" i="34"/>
  <c r="C2212" i="34"/>
  <c r="B2212" i="34"/>
  <c r="O2212" i="34"/>
  <c r="P2212" i="34"/>
  <c r="Q2212" i="34"/>
  <c r="R2212" i="34"/>
  <c r="S2212" i="34"/>
  <c r="T2212" i="34"/>
  <c r="U2212" i="34"/>
  <c r="V2212" i="34"/>
  <c r="W2212" i="34"/>
  <c r="X2212" i="34"/>
  <c r="Y2212" i="34"/>
  <c r="N2213" i="34"/>
  <c r="C2213" i="34"/>
  <c r="B2213" i="34"/>
  <c r="O2213" i="34"/>
  <c r="P2213" i="34"/>
  <c r="Q2213" i="34"/>
  <c r="R2213" i="34"/>
  <c r="S2213" i="34"/>
  <c r="T2213" i="34"/>
  <c r="U2213" i="34"/>
  <c r="V2213" i="34"/>
  <c r="W2213" i="34"/>
  <c r="X2213" i="34"/>
  <c r="Y2213" i="34"/>
  <c r="N2214" i="34"/>
  <c r="C2214" i="34"/>
  <c r="B2214" i="34"/>
  <c r="O2214" i="34"/>
  <c r="P2214" i="34"/>
  <c r="Q2214" i="34"/>
  <c r="R2214" i="34"/>
  <c r="S2214" i="34"/>
  <c r="T2214" i="34"/>
  <c r="U2214" i="34"/>
  <c r="V2214" i="34"/>
  <c r="W2214" i="34"/>
  <c r="X2214" i="34"/>
  <c r="Y2214" i="34"/>
  <c r="N2215" i="34"/>
  <c r="C2215" i="34"/>
  <c r="B2215" i="34"/>
  <c r="O2215" i="34"/>
  <c r="P2215" i="34"/>
  <c r="Q2215" i="34"/>
  <c r="R2215" i="34"/>
  <c r="S2215" i="34"/>
  <c r="T2215" i="34"/>
  <c r="U2215" i="34"/>
  <c r="V2215" i="34"/>
  <c r="W2215" i="34"/>
  <c r="X2215" i="34"/>
  <c r="Y2215" i="34"/>
  <c r="N2216" i="34"/>
  <c r="C2216" i="34"/>
  <c r="B2216" i="34"/>
  <c r="O2216" i="34"/>
  <c r="P2216" i="34"/>
  <c r="Q2216" i="34"/>
  <c r="R2216" i="34"/>
  <c r="S2216" i="34"/>
  <c r="T2216" i="34"/>
  <c r="U2216" i="34"/>
  <c r="V2216" i="34"/>
  <c r="W2216" i="34"/>
  <c r="X2216" i="34"/>
  <c r="Y2216" i="34"/>
  <c r="N2217" i="34"/>
  <c r="C2217" i="34"/>
  <c r="B2217" i="34"/>
  <c r="O2217" i="34"/>
  <c r="P2217" i="34"/>
  <c r="Q2217" i="34"/>
  <c r="R2217" i="34"/>
  <c r="S2217" i="34"/>
  <c r="T2217" i="34"/>
  <c r="U2217" i="34"/>
  <c r="V2217" i="34"/>
  <c r="W2217" i="34"/>
  <c r="X2217" i="34"/>
  <c r="Y2217" i="34"/>
  <c r="N2218" i="34"/>
  <c r="C2218" i="34"/>
  <c r="B2218" i="34"/>
  <c r="O2218" i="34"/>
  <c r="P2218" i="34"/>
  <c r="Q2218" i="34"/>
  <c r="R2218" i="34"/>
  <c r="S2218" i="34"/>
  <c r="T2218" i="34"/>
  <c r="U2218" i="34"/>
  <c r="V2218" i="34"/>
  <c r="W2218" i="34"/>
  <c r="X2218" i="34"/>
  <c r="Y2218" i="34"/>
  <c r="N2219" i="34"/>
  <c r="C2219" i="34"/>
  <c r="B2219" i="34"/>
  <c r="O2219" i="34"/>
  <c r="P2219" i="34"/>
  <c r="Q2219" i="34"/>
  <c r="R2219" i="34"/>
  <c r="S2219" i="34"/>
  <c r="T2219" i="34"/>
  <c r="U2219" i="34"/>
  <c r="V2219" i="34"/>
  <c r="W2219" i="34"/>
  <c r="X2219" i="34"/>
  <c r="Y2219" i="34"/>
  <c r="N2220" i="34"/>
  <c r="C2220" i="34"/>
  <c r="B2220" i="34"/>
  <c r="O2220" i="34"/>
  <c r="P2220" i="34"/>
  <c r="Q2220" i="34"/>
  <c r="R2220" i="34"/>
  <c r="S2220" i="34"/>
  <c r="T2220" i="34"/>
  <c r="U2220" i="34"/>
  <c r="V2220" i="34"/>
  <c r="W2220" i="34"/>
  <c r="X2220" i="34"/>
  <c r="Y2220" i="34"/>
  <c r="N2221" i="34"/>
  <c r="C2221" i="34"/>
  <c r="B2221" i="34"/>
  <c r="O2221" i="34"/>
  <c r="P2221" i="34"/>
  <c r="Q2221" i="34"/>
  <c r="R2221" i="34"/>
  <c r="S2221" i="34"/>
  <c r="T2221" i="34"/>
  <c r="U2221" i="34"/>
  <c r="V2221" i="34"/>
  <c r="W2221" i="34"/>
  <c r="X2221" i="34"/>
  <c r="Y2221" i="34"/>
  <c r="N2222" i="34"/>
  <c r="C2222" i="34"/>
  <c r="B2222" i="34"/>
  <c r="O2222" i="34"/>
  <c r="P2222" i="34"/>
  <c r="Q2222" i="34"/>
  <c r="R2222" i="34"/>
  <c r="S2222" i="34"/>
  <c r="T2222" i="34"/>
  <c r="U2222" i="34"/>
  <c r="V2222" i="34"/>
  <c r="W2222" i="34"/>
  <c r="X2222" i="34"/>
  <c r="Y2222" i="34"/>
  <c r="N2223" i="34"/>
  <c r="C2223" i="34"/>
  <c r="B2223" i="34"/>
  <c r="O2223" i="34"/>
  <c r="P2223" i="34"/>
  <c r="Q2223" i="34"/>
  <c r="R2223" i="34"/>
  <c r="S2223" i="34"/>
  <c r="T2223" i="34"/>
  <c r="U2223" i="34"/>
  <c r="V2223" i="34"/>
  <c r="W2223" i="34"/>
  <c r="X2223" i="34"/>
  <c r="Y2223" i="34"/>
  <c r="N2224" i="34"/>
  <c r="C2224" i="34"/>
  <c r="B2224" i="34"/>
  <c r="O2224" i="34"/>
  <c r="P2224" i="34"/>
  <c r="Q2224" i="34"/>
  <c r="R2224" i="34"/>
  <c r="S2224" i="34"/>
  <c r="T2224" i="34"/>
  <c r="U2224" i="34"/>
  <c r="V2224" i="34"/>
  <c r="W2224" i="34"/>
  <c r="X2224" i="34"/>
  <c r="Y2224" i="34"/>
  <c r="N2225" i="34"/>
  <c r="C2225" i="34"/>
  <c r="B2225" i="34"/>
  <c r="O2225" i="34"/>
  <c r="P2225" i="34"/>
  <c r="Q2225" i="34"/>
  <c r="R2225" i="34"/>
  <c r="S2225" i="34"/>
  <c r="T2225" i="34"/>
  <c r="U2225" i="34"/>
  <c r="V2225" i="34"/>
  <c r="W2225" i="34"/>
  <c r="X2225" i="34"/>
  <c r="Y2225" i="34"/>
  <c r="N2226" i="34"/>
  <c r="C2226" i="34"/>
  <c r="B2226" i="34"/>
  <c r="O2226" i="34"/>
  <c r="P2226" i="34"/>
  <c r="Q2226" i="34"/>
  <c r="R2226" i="34"/>
  <c r="S2226" i="34"/>
  <c r="T2226" i="34"/>
  <c r="U2226" i="34"/>
  <c r="V2226" i="34"/>
  <c r="W2226" i="34"/>
  <c r="X2226" i="34"/>
  <c r="Y2226" i="34"/>
  <c r="N2227" i="34"/>
  <c r="C2227" i="34"/>
  <c r="B2227" i="34"/>
  <c r="O2227" i="34"/>
  <c r="P2227" i="34"/>
  <c r="Q2227" i="34"/>
  <c r="R2227" i="34"/>
  <c r="S2227" i="34"/>
  <c r="T2227" i="34"/>
  <c r="U2227" i="34"/>
  <c r="V2227" i="34"/>
  <c r="W2227" i="34"/>
  <c r="X2227" i="34"/>
  <c r="Y2227" i="34"/>
  <c r="N2228" i="34"/>
  <c r="C2228" i="34"/>
  <c r="B2228" i="34"/>
  <c r="O2228" i="34"/>
  <c r="P2228" i="34"/>
  <c r="Q2228" i="34"/>
  <c r="R2228" i="34"/>
  <c r="S2228" i="34"/>
  <c r="T2228" i="34"/>
  <c r="U2228" i="34"/>
  <c r="V2228" i="34"/>
  <c r="W2228" i="34"/>
  <c r="X2228" i="34"/>
  <c r="Y2228" i="34"/>
  <c r="N2229" i="34"/>
  <c r="C2229" i="34"/>
  <c r="B2229" i="34"/>
  <c r="O2229" i="34"/>
  <c r="P2229" i="34"/>
  <c r="Q2229" i="34"/>
  <c r="R2229" i="34"/>
  <c r="S2229" i="34"/>
  <c r="T2229" i="34"/>
  <c r="U2229" i="34"/>
  <c r="V2229" i="34"/>
  <c r="W2229" i="34"/>
  <c r="X2229" i="34"/>
  <c r="Y2229" i="34"/>
  <c r="N2230" i="34"/>
  <c r="C2230" i="34"/>
  <c r="B2230" i="34"/>
  <c r="O2230" i="34"/>
  <c r="P2230" i="34"/>
  <c r="Q2230" i="34"/>
  <c r="R2230" i="34"/>
  <c r="S2230" i="34"/>
  <c r="T2230" i="34"/>
  <c r="U2230" i="34"/>
  <c r="V2230" i="34"/>
  <c r="W2230" i="34"/>
  <c r="X2230" i="34"/>
  <c r="Y2230" i="34"/>
  <c r="N2231" i="34"/>
  <c r="C2231" i="34"/>
  <c r="B2231" i="34"/>
  <c r="O2231" i="34"/>
  <c r="P2231" i="34"/>
  <c r="Q2231" i="34"/>
  <c r="R2231" i="34"/>
  <c r="S2231" i="34"/>
  <c r="T2231" i="34"/>
  <c r="U2231" i="34"/>
  <c r="V2231" i="34"/>
  <c r="W2231" i="34"/>
  <c r="X2231" i="34"/>
  <c r="Y2231" i="34"/>
  <c r="N2232" i="34"/>
  <c r="C2232" i="34"/>
  <c r="B2232" i="34"/>
  <c r="O2232" i="34"/>
  <c r="P2232" i="34"/>
  <c r="Q2232" i="34"/>
  <c r="R2232" i="34"/>
  <c r="S2232" i="34"/>
  <c r="T2232" i="34"/>
  <c r="U2232" i="34"/>
  <c r="V2232" i="34"/>
  <c r="W2232" i="34"/>
  <c r="X2232" i="34"/>
  <c r="Y2232" i="34"/>
  <c r="N2233" i="34"/>
  <c r="C2233" i="34"/>
  <c r="B2233" i="34"/>
  <c r="O2233" i="34"/>
  <c r="P2233" i="34"/>
  <c r="Q2233" i="34"/>
  <c r="R2233" i="34"/>
  <c r="S2233" i="34"/>
  <c r="T2233" i="34"/>
  <c r="U2233" i="34"/>
  <c r="V2233" i="34"/>
  <c r="W2233" i="34"/>
  <c r="X2233" i="34"/>
  <c r="Y2233" i="34"/>
  <c r="N2234" i="34"/>
  <c r="C2234" i="34"/>
  <c r="B2234" i="34"/>
  <c r="O2234" i="34"/>
  <c r="P2234" i="34"/>
  <c r="Q2234" i="34"/>
  <c r="R2234" i="34"/>
  <c r="S2234" i="34"/>
  <c r="T2234" i="34"/>
  <c r="U2234" i="34"/>
  <c r="V2234" i="34"/>
  <c r="W2234" i="34"/>
  <c r="X2234" i="34"/>
  <c r="Y2234" i="34"/>
  <c r="N2235" i="34"/>
  <c r="C2235" i="34"/>
  <c r="B2235" i="34"/>
  <c r="O2235" i="34"/>
  <c r="P2235" i="34"/>
  <c r="Q2235" i="34"/>
  <c r="R2235" i="34"/>
  <c r="S2235" i="34"/>
  <c r="T2235" i="34"/>
  <c r="U2235" i="34"/>
  <c r="V2235" i="34"/>
  <c r="W2235" i="34"/>
  <c r="X2235" i="34"/>
  <c r="Y2235" i="34"/>
  <c r="N2236" i="34"/>
  <c r="C2236" i="34"/>
  <c r="B2236" i="34"/>
  <c r="O2236" i="34"/>
  <c r="P2236" i="34"/>
  <c r="Q2236" i="34"/>
  <c r="R2236" i="34"/>
  <c r="S2236" i="34"/>
  <c r="T2236" i="34"/>
  <c r="U2236" i="34"/>
  <c r="V2236" i="34"/>
  <c r="W2236" i="34"/>
  <c r="X2236" i="34"/>
  <c r="Y2236" i="34"/>
  <c r="N2237" i="34"/>
  <c r="C2237" i="34"/>
  <c r="B2237" i="34"/>
  <c r="O2237" i="34"/>
  <c r="P2237" i="34"/>
  <c r="Q2237" i="34"/>
  <c r="R2237" i="34"/>
  <c r="S2237" i="34"/>
  <c r="T2237" i="34"/>
  <c r="U2237" i="34"/>
  <c r="V2237" i="34"/>
  <c r="W2237" i="34"/>
  <c r="X2237" i="34"/>
  <c r="Y2237" i="34"/>
  <c r="N2238" i="34"/>
  <c r="C2238" i="34"/>
  <c r="B2238" i="34"/>
  <c r="O2238" i="34"/>
  <c r="P2238" i="34"/>
  <c r="Q2238" i="34"/>
  <c r="R2238" i="34"/>
  <c r="S2238" i="34"/>
  <c r="T2238" i="34"/>
  <c r="U2238" i="34"/>
  <c r="V2238" i="34"/>
  <c r="W2238" i="34"/>
  <c r="X2238" i="34"/>
  <c r="Y2238" i="34"/>
  <c r="N2239" i="34"/>
  <c r="C2239" i="34"/>
  <c r="B2239" i="34"/>
  <c r="O2239" i="34"/>
  <c r="P2239" i="34"/>
  <c r="Q2239" i="34"/>
  <c r="R2239" i="34"/>
  <c r="S2239" i="34"/>
  <c r="T2239" i="34"/>
  <c r="U2239" i="34"/>
  <c r="V2239" i="34"/>
  <c r="W2239" i="34"/>
  <c r="X2239" i="34"/>
  <c r="Y2239" i="34"/>
  <c r="N2240" i="34"/>
  <c r="C2240" i="34"/>
  <c r="B2240" i="34"/>
  <c r="O2240" i="34"/>
  <c r="P2240" i="34"/>
  <c r="Q2240" i="34"/>
  <c r="R2240" i="34"/>
  <c r="S2240" i="34"/>
  <c r="T2240" i="34"/>
  <c r="U2240" i="34"/>
  <c r="V2240" i="34"/>
  <c r="W2240" i="34"/>
  <c r="X2240" i="34"/>
  <c r="Y2240" i="34"/>
  <c r="N2241" i="34"/>
  <c r="C2241" i="34"/>
  <c r="B2241" i="34"/>
  <c r="O2241" i="34"/>
  <c r="P2241" i="34"/>
  <c r="Q2241" i="34"/>
  <c r="R2241" i="34"/>
  <c r="S2241" i="34"/>
  <c r="T2241" i="34"/>
  <c r="U2241" i="34"/>
  <c r="V2241" i="34"/>
  <c r="W2241" i="34"/>
  <c r="X2241" i="34"/>
  <c r="Y2241" i="34"/>
  <c r="N2242" i="34"/>
  <c r="C2242" i="34"/>
  <c r="B2242" i="34"/>
  <c r="O2242" i="34"/>
  <c r="P2242" i="34"/>
  <c r="Q2242" i="34"/>
  <c r="R2242" i="34"/>
  <c r="S2242" i="34"/>
  <c r="T2242" i="34"/>
  <c r="U2242" i="34"/>
  <c r="V2242" i="34"/>
  <c r="W2242" i="34"/>
  <c r="X2242" i="34"/>
  <c r="Y2242" i="34"/>
  <c r="N2243" i="34"/>
  <c r="C2243" i="34"/>
  <c r="B2243" i="34"/>
  <c r="O2243" i="34"/>
  <c r="P2243" i="34"/>
  <c r="Q2243" i="34"/>
  <c r="R2243" i="34"/>
  <c r="S2243" i="34"/>
  <c r="T2243" i="34"/>
  <c r="U2243" i="34"/>
  <c r="V2243" i="34"/>
  <c r="W2243" i="34"/>
  <c r="X2243" i="34"/>
  <c r="Y2243" i="34"/>
  <c r="N2244" i="34"/>
  <c r="C2244" i="34"/>
  <c r="B2244" i="34"/>
  <c r="O2244" i="34"/>
  <c r="P2244" i="34"/>
  <c r="Q2244" i="34"/>
  <c r="R2244" i="34"/>
  <c r="S2244" i="34"/>
  <c r="T2244" i="34"/>
  <c r="U2244" i="34"/>
  <c r="V2244" i="34"/>
  <c r="W2244" i="34"/>
  <c r="X2244" i="34"/>
  <c r="Y2244" i="34"/>
  <c r="N2245" i="34"/>
  <c r="C2245" i="34"/>
  <c r="B2245" i="34"/>
  <c r="O2245" i="34"/>
  <c r="P2245" i="34"/>
  <c r="Q2245" i="34"/>
  <c r="R2245" i="34"/>
  <c r="S2245" i="34"/>
  <c r="T2245" i="34"/>
  <c r="U2245" i="34"/>
  <c r="V2245" i="34"/>
  <c r="W2245" i="34"/>
  <c r="X2245" i="34"/>
  <c r="Y2245" i="34"/>
  <c r="N2246" i="34"/>
  <c r="C2246" i="34"/>
  <c r="B2246" i="34"/>
  <c r="O2246" i="34"/>
  <c r="P2246" i="34"/>
  <c r="Q2246" i="34"/>
  <c r="R2246" i="34"/>
  <c r="S2246" i="34"/>
  <c r="T2246" i="34"/>
  <c r="U2246" i="34"/>
  <c r="V2246" i="34"/>
  <c r="W2246" i="34"/>
  <c r="X2246" i="34"/>
  <c r="Y2246" i="34"/>
  <c r="N2247" i="34"/>
  <c r="C2247" i="34"/>
  <c r="B2247" i="34"/>
  <c r="O2247" i="34"/>
  <c r="P2247" i="34"/>
  <c r="Q2247" i="34"/>
  <c r="R2247" i="34"/>
  <c r="S2247" i="34"/>
  <c r="T2247" i="34"/>
  <c r="U2247" i="34"/>
  <c r="V2247" i="34"/>
  <c r="W2247" i="34"/>
  <c r="X2247" i="34"/>
  <c r="Y2247" i="34"/>
  <c r="N2248" i="34"/>
  <c r="C2248" i="34"/>
  <c r="B2248" i="34"/>
  <c r="O2248" i="34"/>
  <c r="P2248" i="34"/>
  <c r="Q2248" i="34"/>
  <c r="R2248" i="34"/>
  <c r="S2248" i="34"/>
  <c r="T2248" i="34"/>
  <c r="U2248" i="34"/>
  <c r="V2248" i="34"/>
  <c r="W2248" i="34"/>
  <c r="X2248" i="34"/>
  <c r="Y2248" i="34"/>
  <c r="N2249" i="34"/>
  <c r="C2249" i="34"/>
  <c r="B2249" i="34"/>
  <c r="O2249" i="34"/>
  <c r="P2249" i="34"/>
  <c r="Q2249" i="34"/>
  <c r="R2249" i="34"/>
  <c r="S2249" i="34"/>
  <c r="T2249" i="34"/>
  <c r="U2249" i="34"/>
  <c r="V2249" i="34"/>
  <c r="W2249" i="34"/>
  <c r="X2249" i="34"/>
  <c r="Y2249" i="34"/>
  <c r="N2250" i="34"/>
  <c r="C2250" i="34"/>
  <c r="B2250" i="34"/>
  <c r="O2250" i="34"/>
  <c r="P2250" i="34"/>
  <c r="Q2250" i="34"/>
  <c r="R2250" i="34"/>
  <c r="S2250" i="34"/>
  <c r="T2250" i="34"/>
  <c r="U2250" i="34"/>
  <c r="V2250" i="34"/>
  <c r="W2250" i="34"/>
  <c r="X2250" i="34"/>
  <c r="Y2250" i="34"/>
  <c r="N2251" i="34"/>
  <c r="C2251" i="34"/>
  <c r="B2251" i="34"/>
  <c r="O2251" i="34"/>
  <c r="P2251" i="34"/>
  <c r="Q2251" i="34"/>
  <c r="R2251" i="34"/>
  <c r="S2251" i="34"/>
  <c r="T2251" i="34"/>
  <c r="U2251" i="34"/>
  <c r="V2251" i="34"/>
  <c r="W2251" i="34"/>
  <c r="X2251" i="34"/>
  <c r="Y2251" i="34"/>
  <c r="N2252" i="34"/>
  <c r="C2252" i="34"/>
  <c r="B2252" i="34"/>
  <c r="O2252" i="34"/>
  <c r="P2252" i="34"/>
  <c r="Q2252" i="34"/>
  <c r="R2252" i="34"/>
  <c r="S2252" i="34"/>
  <c r="T2252" i="34"/>
  <c r="U2252" i="34"/>
  <c r="V2252" i="34"/>
  <c r="W2252" i="34"/>
  <c r="X2252" i="34"/>
  <c r="Y2252" i="34"/>
  <c r="N2253" i="34"/>
  <c r="C2253" i="34"/>
  <c r="B2253" i="34"/>
  <c r="O2253" i="34"/>
  <c r="P2253" i="34"/>
  <c r="Q2253" i="34"/>
  <c r="R2253" i="34"/>
  <c r="S2253" i="34"/>
  <c r="T2253" i="34"/>
  <c r="U2253" i="34"/>
  <c r="V2253" i="34"/>
  <c r="W2253" i="34"/>
  <c r="X2253" i="34"/>
  <c r="Y2253" i="34"/>
  <c r="N2254" i="34"/>
  <c r="C2254" i="34"/>
  <c r="B2254" i="34"/>
  <c r="O2254" i="34"/>
  <c r="P2254" i="34"/>
  <c r="Q2254" i="34"/>
  <c r="R2254" i="34"/>
  <c r="S2254" i="34"/>
  <c r="T2254" i="34"/>
  <c r="U2254" i="34"/>
  <c r="V2254" i="34"/>
  <c r="W2254" i="34"/>
  <c r="X2254" i="34"/>
  <c r="Y2254" i="34"/>
  <c r="N2255" i="34"/>
  <c r="B2255" i="34"/>
  <c r="O2255" i="34"/>
  <c r="P2255" i="34"/>
  <c r="Q2255" i="34"/>
  <c r="R2255" i="34"/>
  <c r="S2255" i="34"/>
  <c r="T2255" i="34"/>
  <c r="U2255" i="34"/>
  <c r="V2255" i="34"/>
  <c r="W2255" i="34"/>
  <c r="X2255" i="34"/>
  <c r="Y2255" i="34"/>
  <c r="N2256" i="34"/>
  <c r="B2256" i="34"/>
  <c r="O2256" i="34"/>
  <c r="P2256" i="34"/>
  <c r="Q2256" i="34"/>
  <c r="R2256" i="34"/>
  <c r="S2256" i="34"/>
  <c r="T2256" i="34"/>
  <c r="U2256" i="34"/>
  <c r="V2256" i="34"/>
  <c r="W2256" i="34"/>
  <c r="X2256" i="34"/>
  <c r="Y2256" i="34"/>
  <c r="N2257" i="34"/>
  <c r="B2257" i="34"/>
  <c r="O2257" i="34"/>
  <c r="P2257" i="34"/>
  <c r="Q2257" i="34"/>
  <c r="R2257" i="34"/>
  <c r="S2257" i="34"/>
  <c r="T2257" i="34"/>
  <c r="U2257" i="34"/>
  <c r="V2257" i="34"/>
  <c r="W2257" i="34"/>
  <c r="X2257" i="34"/>
  <c r="Y2257" i="34"/>
  <c r="N2258" i="34"/>
  <c r="B2258" i="34"/>
  <c r="O2258" i="34"/>
  <c r="P2258" i="34"/>
  <c r="Q2258" i="34"/>
  <c r="R2258" i="34"/>
  <c r="S2258" i="34"/>
  <c r="T2258" i="34"/>
  <c r="U2258" i="34"/>
  <c r="V2258" i="34"/>
  <c r="W2258" i="34"/>
  <c r="X2258" i="34"/>
  <c r="Y2258" i="34"/>
  <c r="N2259" i="34"/>
  <c r="B2259" i="34"/>
  <c r="O2259" i="34"/>
  <c r="P2259" i="34"/>
  <c r="Q2259" i="34"/>
  <c r="R2259" i="34"/>
  <c r="S2259" i="34"/>
  <c r="T2259" i="34"/>
  <c r="U2259" i="34"/>
  <c r="V2259" i="34"/>
  <c r="W2259" i="34"/>
  <c r="X2259" i="34"/>
  <c r="Y2259" i="34"/>
  <c r="N2260" i="34"/>
  <c r="B2260" i="34"/>
  <c r="O2260" i="34"/>
  <c r="P2260" i="34"/>
  <c r="Q2260" i="34"/>
  <c r="R2260" i="34"/>
  <c r="S2260" i="34"/>
  <c r="T2260" i="34"/>
  <c r="U2260" i="34"/>
  <c r="V2260" i="34"/>
  <c r="W2260" i="34"/>
  <c r="X2260" i="34"/>
  <c r="Y2260" i="34"/>
  <c r="N2261" i="34"/>
  <c r="B2261" i="34"/>
  <c r="O2261" i="34"/>
  <c r="P2261" i="34"/>
  <c r="Q2261" i="34"/>
  <c r="R2261" i="34"/>
  <c r="S2261" i="34"/>
  <c r="T2261" i="34"/>
  <c r="U2261" i="34"/>
  <c r="V2261" i="34"/>
  <c r="W2261" i="34"/>
  <c r="X2261" i="34"/>
  <c r="Y2261" i="34"/>
  <c r="N2262" i="34"/>
  <c r="B2262" i="34"/>
  <c r="O2262" i="34"/>
  <c r="P2262" i="34"/>
  <c r="Q2262" i="34"/>
  <c r="R2262" i="34"/>
  <c r="S2262" i="34"/>
  <c r="T2262" i="34"/>
  <c r="U2262" i="34"/>
  <c r="V2262" i="34"/>
  <c r="W2262" i="34"/>
  <c r="X2262" i="34"/>
  <c r="Y2262" i="34"/>
  <c r="N2263" i="34"/>
  <c r="B2263" i="34"/>
  <c r="O2263" i="34"/>
  <c r="P2263" i="34"/>
  <c r="Q2263" i="34"/>
  <c r="R2263" i="34"/>
  <c r="S2263" i="34"/>
  <c r="T2263" i="34"/>
  <c r="U2263" i="34"/>
  <c r="V2263" i="34"/>
  <c r="W2263" i="34"/>
  <c r="X2263" i="34"/>
  <c r="Y2263" i="34"/>
  <c r="N2264" i="34"/>
  <c r="B2264" i="34"/>
  <c r="O2264" i="34"/>
  <c r="P2264" i="34"/>
  <c r="Q2264" i="34"/>
  <c r="R2264" i="34"/>
  <c r="S2264" i="34"/>
  <c r="T2264" i="34"/>
  <c r="U2264" i="34"/>
  <c r="V2264" i="34"/>
  <c r="W2264" i="34"/>
  <c r="X2264" i="34"/>
  <c r="Y2264" i="34"/>
  <c r="N2265" i="34"/>
  <c r="B2265" i="34"/>
  <c r="O2265" i="34"/>
  <c r="P2265" i="34"/>
  <c r="Q2265" i="34"/>
  <c r="R2265" i="34"/>
  <c r="S2265" i="34"/>
  <c r="T2265" i="34"/>
  <c r="U2265" i="34"/>
  <c r="V2265" i="34"/>
  <c r="W2265" i="34"/>
  <c r="X2265" i="34"/>
  <c r="Y2265" i="34"/>
  <c r="N2266" i="34"/>
  <c r="B2266" i="34"/>
  <c r="O2266" i="34"/>
  <c r="P2266" i="34"/>
  <c r="Q2266" i="34"/>
  <c r="R2266" i="34"/>
  <c r="S2266" i="34"/>
  <c r="T2266" i="34"/>
  <c r="U2266" i="34"/>
  <c r="V2266" i="34"/>
  <c r="W2266" i="34"/>
  <c r="X2266" i="34"/>
  <c r="Y2266" i="34"/>
  <c r="N2267" i="34"/>
  <c r="B2267" i="34"/>
  <c r="O2267" i="34"/>
  <c r="P2267" i="34"/>
  <c r="Q2267" i="34"/>
  <c r="R2267" i="34"/>
  <c r="S2267" i="34"/>
  <c r="T2267" i="34"/>
  <c r="U2267" i="34"/>
  <c r="V2267" i="34"/>
  <c r="W2267" i="34"/>
  <c r="X2267" i="34"/>
  <c r="Y2267" i="34"/>
  <c r="N2268" i="34"/>
  <c r="B2268" i="34"/>
  <c r="O2268" i="34"/>
  <c r="P2268" i="34"/>
  <c r="Q2268" i="34"/>
  <c r="R2268" i="34"/>
  <c r="S2268" i="34"/>
  <c r="T2268" i="34"/>
  <c r="U2268" i="34"/>
  <c r="V2268" i="34"/>
  <c r="W2268" i="34"/>
  <c r="X2268" i="34"/>
  <c r="Y2268" i="34"/>
  <c r="N2269" i="34"/>
  <c r="B2269" i="34"/>
  <c r="O2269" i="34"/>
  <c r="P2269" i="34"/>
  <c r="Q2269" i="34"/>
  <c r="R2269" i="34"/>
  <c r="S2269" i="34"/>
  <c r="T2269" i="34"/>
  <c r="U2269" i="34"/>
  <c r="V2269" i="34"/>
  <c r="W2269" i="34"/>
  <c r="X2269" i="34"/>
  <c r="Y2269" i="34"/>
  <c r="N2270" i="34"/>
  <c r="B2270" i="34"/>
  <c r="O2270" i="34"/>
  <c r="P2270" i="34"/>
  <c r="Q2270" i="34"/>
  <c r="R2270" i="34"/>
  <c r="S2270" i="34"/>
  <c r="T2270" i="34"/>
  <c r="U2270" i="34"/>
  <c r="V2270" i="34"/>
  <c r="W2270" i="34"/>
  <c r="X2270" i="34"/>
  <c r="Y2270" i="34"/>
  <c r="N2271" i="34"/>
  <c r="B2271" i="34"/>
  <c r="O2271" i="34"/>
  <c r="P2271" i="34"/>
  <c r="Q2271" i="34"/>
  <c r="R2271" i="34"/>
  <c r="S2271" i="34"/>
  <c r="T2271" i="34"/>
  <c r="U2271" i="34"/>
  <c r="V2271" i="34"/>
  <c r="W2271" i="34"/>
  <c r="X2271" i="34"/>
  <c r="Y2271" i="34"/>
  <c r="N2272" i="34"/>
  <c r="B2272" i="34"/>
  <c r="O2272" i="34"/>
  <c r="P2272" i="34"/>
  <c r="Q2272" i="34"/>
  <c r="R2272" i="34"/>
  <c r="S2272" i="34"/>
  <c r="T2272" i="34"/>
  <c r="U2272" i="34"/>
  <c r="V2272" i="34"/>
  <c r="W2272" i="34"/>
  <c r="X2272" i="34"/>
  <c r="Y2272" i="34"/>
  <c r="N2273" i="34"/>
  <c r="B2273" i="34"/>
  <c r="O2273" i="34"/>
  <c r="P2273" i="34"/>
  <c r="Q2273" i="34"/>
  <c r="R2273" i="34"/>
  <c r="S2273" i="34"/>
  <c r="T2273" i="34"/>
  <c r="U2273" i="34"/>
  <c r="V2273" i="34"/>
  <c r="W2273" i="34"/>
  <c r="X2273" i="34"/>
  <c r="Y2273" i="34"/>
  <c r="N2274" i="34"/>
  <c r="B2274" i="34"/>
  <c r="O2274" i="34"/>
  <c r="P2274" i="34"/>
  <c r="Q2274" i="34"/>
  <c r="R2274" i="34"/>
  <c r="S2274" i="34"/>
  <c r="T2274" i="34"/>
  <c r="U2274" i="34"/>
  <c r="V2274" i="34"/>
  <c r="W2274" i="34"/>
  <c r="X2274" i="34"/>
  <c r="Y2274" i="34"/>
  <c r="N2275" i="34"/>
  <c r="B2275" i="34"/>
  <c r="O2275" i="34"/>
  <c r="P2275" i="34"/>
  <c r="Q2275" i="34"/>
  <c r="R2275" i="34"/>
  <c r="S2275" i="34"/>
  <c r="T2275" i="34"/>
  <c r="U2275" i="34"/>
  <c r="V2275" i="34"/>
  <c r="W2275" i="34"/>
  <c r="X2275" i="34"/>
  <c r="Y2275" i="34"/>
  <c r="N2276" i="34"/>
  <c r="B2276" i="34"/>
  <c r="O2276" i="34"/>
  <c r="P2276" i="34"/>
  <c r="Q2276" i="34"/>
  <c r="R2276" i="34"/>
  <c r="S2276" i="34"/>
  <c r="T2276" i="34"/>
  <c r="U2276" i="34"/>
  <c r="V2276" i="34"/>
  <c r="W2276" i="34"/>
  <c r="X2276" i="34"/>
  <c r="Y2276" i="34"/>
  <c r="N2277" i="34"/>
  <c r="B2277" i="34"/>
  <c r="O2277" i="34"/>
  <c r="P2277" i="34"/>
  <c r="Q2277" i="34"/>
  <c r="R2277" i="34"/>
  <c r="S2277" i="34"/>
  <c r="T2277" i="34"/>
  <c r="U2277" i="34"/>
  <c r="V2277" i="34"/>
  <c r="W2277" i="34"/>
  <c r="X2277" i="34"/>
  <c r="Y2277" i="34"/>
  <c r="N2278" i="34"/>
  <c r="B2278" i="34"/>
  <c r="O2278" i="34"/>
  <c r="P2278" i="34"/>
  <c r="Q2278" i="34"/>
  <c r="R2278" i="34"/>
  <c r="S2278" i="34"/>
  <c r="T2278" i="34"/>
  <c r="U2278" i="34"/>
  <c r="V2278" i="34"/>
  <c r="W2278" i="34"/>
  <c r="X2278" i="34"/>
  <c r="Y2278" i="34"/>
  <c r="N2279" i="34"/>
  <c r="B2279" i="34"/>
  <c r="O2279" i="34"/>
  <c r="P2279" i="34"/>
  <c r="Q2279" i="34"/>
  <c r="R2279" i="34"/>
  <c r="S2279" i="34"/>
  <c r="T2279" i="34"/>
  <c r="U2279" i="34"/>
  <c r="V2279" i="34"/>
  <c r="W2279" i="34"/>
  <c r="X2279" i="34"/>
  <c r="Y2279" i="34"/>
  <c r="N2280" i="34"/>
  <c r="B2280" i="34"/>
  <c r="O2280" i="34"/>
  <c r="P2280" i="34"/>
  <c r="Q2280" i="34"/>
  <c r="R2280" i="34"/>
  <c r="S2280" i="34"/>
  <c r="T2280" i="34"/>
  <c r="U2280" i="34"/>
  <c r="V2280" i="34"/>
  <c r="W2280" i="34"/>
  <c r="X2280" i="34"/>
  <c r="Y2280" i="34"/>
  <c r="N2281" i="34"/>
  <c r="B2281" i="34"/>
  <c r="O2281" i="34"/>
  <c r="P2281" i="34"/>
  <c r="Q2281" i="34"/>
  <c r="R2281" i="34"/>
  <c r="S2281" i="34"/>
  <c r="T2281" i="34"/>
  <c r="U2281" i="34"/>
  <c r="V2281" i="34"/>
  <c r="W2281" i="34"/>
  <c r="X2281" i="34"/>
  <c r="Y2281" i="34"/>
  <c r="N2282" i="34"/>
  <c r="B2282" i="34"/>
  <c r="O2282" i="34"/>
  <c r="P2282" i="34"/>
  <c r="Q2282" i="34"/>
  <c r="R2282" i="34"/>
  <c r="S2282" i="34"/>
  <c r="T2282" i="34"/>
  <c r="U2282" i="34"/>
  <c r="V2282" i="34"/>
  <c r="W2282" i="34"/>
  <c r="X2282" i="34"/>
  <c r="Y2282" i="34"/>
  <c r="N2283" i="34"/>
  <c r="B2283" i="34"/>
  <c r="O2283" i="34"/>
  <c r="P2283" i="34"/>
  <c r="Q2283" i="34"/>
  <c r="R2283" i="34"/>
  <c r="S2283" i="34"/>
  <c r="T2283" i="34"/>
  <c r="U2283" i="34"/>
  <c r="V2283" i="34"/>
  <c r="W2283" i="34"/>
  <c r="X2283" i="34"/>
  <c r="Y2283" i="34"/>
  <c r="N2284" i="34"/>
  <c r="B2284" i="34"/>
  <c r="O2284" i="34"/>
  <c r="P2284" i="34"/>
  <c r="Q2284" i="34"/>
  <c r="R2284" i="34"/>
  <c r="S2284" i="34"/>
  <c r="T2284" i="34"/>
  <c r="U2284" i="34"/>
  <c r="V2284" i="34"/>
  <c r="W2284" i="34"/>
  <c r="X2284" i="34"/>
  <c r="Y2284" i="34"/>
  <c r="N2285" i="34"/>
  <c r="B2285" i="34"/>
  <c r="O2285" i="34"/>
  <c r="P2285" i="34"/>
  <c r="Q2285" i="34"/>
  <c r="R2285" i="34"/>
  <c r="S2285" i="34"/>
  <c r="T2285" i="34"/>
  <c r="U2285" i="34"/>
  <c r="V2285" i="34"/>
  <c r="W2285" i="34"/>
  <c r="X2285" i="34"/>
  <c r="Y2285" i="34"/>
  <c r="N2286" i="34"/>
  <c r="C2286" i="34"/>
  <c r="B2286" i="34"/>
  <c r="O2286" i="34"/>
  <c r="P2286" i="34"/>
  <c r="Q2286" i="34"/>
  <c r="R2286" i="34"/>
  <c r="S2286" i="34"/>
  <c r="T2286" i="34"/>
  <c r="U2286" i="34"/>
  <c r="V2286" i="34"/>
  <c r="W2286" i="34"/>
  <c r="X2286" i="34"/>
  <c r="Y2286" i="34"/>
  <c r="N2287" i="34"/>
  <c r="C2287" i="34"/>
  <c r="B2287" i="34"/>
  <c r="O2287" i="34"/>
  <c r="P2287" i="34"/>
  <c r="Q2287" i="34"/>
  <c r="R2287" i="34"/>
  <c r="S2287" i="34"/>
  <c r="T2287" i="34"/>
  <c r="U2287" i="34"/>
  <c r="V2287" i="34"/>
  <c r="W2287" i="34"/>
  <c r="X2287" i="34"/>
  <c r="Y2287" i="34"/>
  <c r="N2288" i="34"/>
  <c r="C2288" i="34"/>
  <c r="B2288" i="34"/>
  <c r="O2288" i="34"/>
  <c r="P2288" i="34"/>
  <c r="Q2288" i="34"/>
  <c r="R2288" i="34"/>
  <c r="S2288" i="34"/>
  <c r="T2288" i="34"/>
  <c r="U2288" i="34"/>
  <c r="V2288" i="34"/>
  <c r="W2288" i="34"/>
  <c r="X2288" i="34"/>
  <c r="Y2288" i="34"/>
  <c r="N2289" i="34"/>
  <c r="C2289" i="34"/>
  <c r="B2289" i="34"/>
  <c r="O2289" i="34"/>
  <c r="P2289" i="34"/>
  <c r="Q2289" i="34"/>
  <c r="R2289" i="34"/>
  <c r="S2289" i="34"/>
  <c r="T2289" i="34"/>
  <c r="U2289" i="34"/>
  <c r="V2289" i="34"/>
  <c r="W2289" i="34"/>
  <c r="X2289" i="34"/>
  <c r="Y2289" i="34"/>
  <c r="N2290" i="34"/>
  <c r="C2290" i="34"/>
  <c r="B2290" i="34"/>
  <c r="O2290" i="34"/>
  <c r="P2290" i="34"/>
  <c r="Q2290" i="34"/>
  <c r="R2290" i="34"/>
  <c r="S2290" i="34"/>
  <c r="T2290" i="34"/>
  <c r="U2290" i="34"/>
  <c r="V2290" i="34"/>
  <c r="W2290" i="34"/>
  <c r="X2290" i="34"/>
  <c r="Y2290" i="34"/>
  <c r="N2291" i="34"/>
  <c r="C2291" i="34"/>
  <c r="B2291" i="34"/>
  <c r="O2291" i="34"/>
  <c r="P2291" i="34"/>
  <c r="Q2291" i="34"/>
  <c r="R2291" i="34"/>
  <c r="S2291" i="34"/>
  <c r="T2291" i="34"/>
  <c r="U2291" i="34"/>
  <c r="V2291" i="34"/>
  <c r="W2291" i="34"/>
  <c r="X2291" i="34"/>
  <c r="Y2291" i="34"/>
  <c r="N2292" i="34"/>
  <c r="C2292" i="34"/>
  <c r="B2292" i="34"/>
  <c r="O2292" i="34"/>
  <c r="P2292" i="34"/>
  <c r="Q2292" i="34"/>
  <c r="R2292" i="34"/>
  <c r="S2292" i="34"/>
  <c r="T2292" i="34"/>
  <c r="U2292" i="34"/>
  <c r="V2292" i="34"/>
  <c r="W2292" i="34"/>
  <c r="X2292" i="34"/>
  <c r="Y2292" i="34"/>
  <c r="N2293" i="34"/>
  <c r="C2293" i="34"/>
  <c r="B2293" i="34"/>
  <c r="O2293" i="34"/>
  <c r="P2293" i="34"/>
  <c r="Q2293" i="34"/>
  <c r="R2293" i="34"/>
  <c r="S2293" i="34"/>
  <c r="T2293" i="34"/>
  <c r="U2293" i="34"/>
  <c r="V2293" i="34"/>
  <c r="W2293" i="34"/>
  <c r="X2293" i="34"/>
  <c r="Y2293" i="34"/>
  <c r="N2294" i="34"/>
  <c r="C2294" i="34"/>
  <c r="B2294" i="34"/>
  <c r="O2294" i="34"/>
  <c r="P2294" i="34"/>
  <c r="Q2294" i="34"/>
  <c r="R2294" i="34"/>
  <c r="S2294" i="34"/>
  <c r="T2294" i="34"/>
  <c r="U2294" i="34"/>
  <c r="V2294" i="34"/>
  <c r="W2294" i="34"/>
  <c r="X2294" i="34"/>
  <c r="Y2294" i="34"/>
  <c r="N2295" i="34"/>
  <c r="C2295" i="34"/>
  <c r="B2295" i="34"/>
  <c r="O2295" i="34"/>
  <c r="P2295" i="34"/>
  <c r="Q2295" i="34"/>
  <c r="R2295" i="34"/>
  <c r="S2295" i="34"/>
  <c r="T2295" i="34"/>
  <c r="U2295" i="34"/>
  <c r="V2295" i="34"/>
  <c r="W2295" i="34"/>
  <c r="X2295" i="34"/>
  <c r="Y2295" i="34"/>
  <c r="N2296" i="34"/>
  <c r="C2296" i="34"/>
  <c r="B2296" i="34"/>
  <c r="O2296" i="34"/>
  <c r="P2296" i="34"/>
  <c r="Q2296" i="34"/>
  <c r="R2296" i="34"/>
  <c r="S2296" i="34"/>
  <c r="T2296" i="34"/>
  <c r="U2296" i="34"/>
  <c r="V2296" i="34"/>
  <c r="W2296" i="34"/>
  <c r="X2296" i="34"/>
  <c r="Y2296" i="34"/>
  <c r="N2297" i="34"/>
  <c r="C2297" i="34"/>
  <c r="B2297" i="34"/>
  <c r="O2297" i="34"/>
  <c r="P2297" i="34"/>
  <c r="Q2297" i="34"/>
  <c r="R2297" i="34"/>
  <c r="S2297" i="34"/>
  <c r="T2297" i="34"/>
  <c r="U2297" i="34"/>
  <c r="V2297" i="34"/>
  <c r="W2297" i="34"/>
  <c r="X2297" i="34"/>
  <c r="Y2297" i="34"/>
  <c r="N2298" i="34"/>
  <c r="C2298" i="34"/>
  <c r="B2298" i="34"/>
  <c r="O2298" i="34"/>
  <c r="P2298" i="34"/>
  <c r="Q2298" i="34"/>
  <c r="R2298" i="34"/>
  <c r="S2298" i="34"/>
  <c r="T2298" i="34"/>
  <c r="U2298" i="34"/>
  <c r="V2298" i="34"/>
  <c r="W2298" i="34"/>
  <c r="X2298" i="34"/>
  <c r="Y2298" i="34"/>
  <c r="N2299" i="34"/>
  <c r="C2299" i="34"/>
  <c r="B2299" i="34"/>
  <c r="O2299" i="34"/>
  <c r="P2299" i="34"/>
  <c r="Q2299" i="34"/>
  <c r="R2299" i="34"/>
  <c r="S2299" i="34"/>
  <c r="T2299" i="34"/>
  <c r="U2299" i="34"/>
  <c r="V2299" i="34"/>
  <c r="W2299" i="34"/>
  <c r="X2299" i="34"/>
  <c r="Y2299" i="34"/>
  <c r="N2300" i="34"/>
  <c r="C2300" i="34"/>
  <c r="B2300" i="34"/>
  <c r="O2300" i="34"/>
  <c r="P2300" i="34"/>
  <c r="Q2300" i="34"/>
  <c r="R2300" i="34"/>
  <c r="S2300" i="34"/>
  <c r="T2300" i="34"/>
  <c r="U2300" i="34"/>
  <c r="V2300" i="34"/>
  <c r="W2300" i="34"/>
  <c r="X2300" i="34"/>
  <c r="Y2300" i="34"/>
  <c r="N2301" i="34"/>
  <c r="C2301" i="34"/>
  <c r="B2301" i="34"/>
  <c r="O2301" i="34"/>
  <c r="P2301" i="34"/>
  <c r="Q2301" i="34"/>
  <c r="R2301" i="34"/>
  <c r="S2301" i="34"/>
  <c r="T2301" i="34"/>
  <c r="U2301" i="34"/>
  <c r="V2301" i="34"/>
  <c r="W2301" i="34"/>
  <c r="X2301" i="34"/>
  <c r="Y2301" i="34"/>
  <c r="N2302" i="34"/>
  <c r="C2302" i="34"/>
  <c r="B2302" i="34"/>
  <c r="O2302" i="34"/>
  <c r="P2302" i="34"/>
  <c r="Q2302" i="34"/>
  <c r="R2302" i="34"/>
  <c r="S2302" i="34"/>
  <c r="T2302" i="34"/>
  <c r="U2302" i="34"/>
  <c r="V2302" i="34"/>
  <c r="W2302" i="34"/>
  <c r="X2302" i="34"/>
  <c r="Y2302" i="34"/>
  <c r="N2303" i="34"/>
  <c r="C2303" i="34"/>
  <c r="B2303" i="34"/>
  <c r="O2303" i="34"/>
  <c r="P2303" i="34"/>
  <c r="Q2303" i="34"/>
  <c r="R2303" i="34"/>
  <c r="S2303" i="34"/>
  <c r="T2303" i="34"/>
  <c r="U2303" i="34"/>
  <c r="V2303" i="34"/>
  <c r="W2303" i="34"/>
  <c r="X2303" i="34"/>
  <c r="Y2303" i="34"/>
  <c r="N2304" i="34"/>
  <c r="C2304" i="34"/>
  <c r="B2304" i="34"/>
  <c r="O2304" i="34"/>
  <c r="P2304" i="34"/>
  <c r="Q2304" i="34"/>
  <c r="R2304" i="34"/>
  <c r="S2304" i="34"/>
  <c r="T2304" i="34"/>
  <c r="U2304" i="34"/>
  <c r="V2304" i="34"/>
  <c r="W2304" i="34"/>
  <c r="X2304" i="34"/>
  <c r="Y2304" i="34"/>
  <c r="N2305" i="34"/>
  <c r="C2305" i="34"/>
  <c r="B2305" i="34"/>
  <c r="O2305" i="34"/>
  <c r="P2305" i="34"/>
  <c r="Q2305" i="34"/>
  <c r="R2305" i="34"/>
  <c r="S2305" i="34"/>
  <c r="T2305" i="34"/>
  <c r="U2305" i="34"/>
  <c r="V2305" i="34"/>
  <c r="W2305" i="34"/>
  <c r="X2305" i="34"/>
  <c r="Y2305" i="34"/>
  <c r="N2306" i="34"/>
  <c r="C2306" i="34"/>
  <c r="B2306" i="34"/>
  <c r="O2306" i="34"/>
  <c r="P2306" i="34"/>
  <c r="Q2306" i="34"/>
  <c r="R2306" i="34"/>
  <c r="S2306" i="34"/>
  <c r="T2306" i="34"/>
  <c r="U2306" i="34"/>
  <c r="V2306" i="34"/>
  <c r="W2306" i="34"/>
  <c r="X2306" i="34"/>
  <c r="Y2306" i="34"/>
  <c r="N2307" i="34"/>
  <c r="C2307" i="34"/>
  <c r="B2307" i="34"/>
  <c r="O2307" i="34"/>
  <c r="P2307" i="34"/>
  <c r="Q2307" i="34"/>
  <c r="R2307" i="34"/>
  <c r="S2307" i="34"/>
  <c r="T2307" i="34"/>
  <c r="U2307" i="34"/>
  <c r="V2307" i="34"/>
  <c r="W2307" i="34"/>
  <c r="X2307" i="34"/>
  <c r="Y2307" i="34"/>
  <c r="N2308" i="34"/>
  <c r="C2308" i="34"/>
  <c r="B2308" i="34"/>
  <c r="O2308" i="34"/>
  <c r="P2308" i="34"/>
  <c r="Q2308" i="34"/>
  <c r="R2308" i="34"/>
  <c r="S2308" i="34"/>
  <c r="T2308" i="34"/>
  <c r="U2308" i="34"/>
  <c r="V2308" i="34"/>
  <c r="W2308" i="34"/>
  <c r="X2308" i="34"/>
  <c r="Y2308" i="34"/>
  <c r="N2309" i="34"/>
  <c r="C2309" i="34"/>
  <c r="B2309" i="34"/>
  <c r="O2309" i="34"/>
  <c r="P2309" i="34"/>
  <c r="Q2309" i="34"/>
  <c r="R2309" i="34"/>
  <c r="S2309" i="34"/>
  <c r="T2309" i="34"/>
  <c r="U2309" i="34"/>
  <c r="V2309" i="34"/>
  <c r="W2309" i="34"/>
  <c r="X2309" i="34"/>
  <c r="Y2309" i="34"/>
  <c r="N2310" i="34"/>
  <c r="C2310" i="34"/>
  <c r="B2310" i="34"/>
  <c r="O2310" i="34"/>
  <c r="P2310" i="34"/>
  <c r="Q2310" i="34"/>
  <c r="R2310" i="34"/>
  <c r="S2310" i="34"/>
  <c r="T2310" i="34"/>
  <c r="U2310" i="34"/>
  <c r="V2310" i="34"/>
  <c r="W2310" i="34"/>
  <c r="X2310" i="34"/>
  <c r="Y2310" i="34"/>
  <c r="N2311" i="34"/>
  <c r="C2311" i="34"/>
  <c r="B2311" i="34"/>
  <c r="O2311" i="34"/>
  <c r="P2311" i="34"/>
  <c r="Q2311" i="34"/>
  <c r="R2311" i="34"/>
  <c r="S2311" i="34"/>
  <c r="T2311" i="34"/>
  <c r="U2311" i="34"/>
  <c r="V2311" i="34"/>
  <c r="W2311" i="34"/>
  <c r="X2311" i="34"/>
  <c r="Y2311" i="34"/>
  <c r="N2312" i="34"/>
  <c r="C2312" i="34"/>
  <c r="B2312" i="34"/>
  <c r="O2312" i="34"/>
  <c r="P2312" i="34"/>
  <c r="Q2312" i="34"/>
  <c r="R2312" i="34"/>
  <c r="S2312" i="34"/>
  <c r="T2312" i="34"/>
  <c r="U2312" i="34"/>
  <c r="V2312" i="34"/>
  <c r="W2312" i="34"/>
  <c r="X2312" i="34"/>
  <c r="Y2312" i="34"/>
  <c r="N2313" i="34"/>
  <c r="C2313" i="34"/>
  <c r="B2313" i="34"/>
  <c r="O2313" i="34"/>
  <c r="P2313" i="34"/>
  <c r="Q2313" i="34"/>
  <c r="R2313" i="34"/>
  <c r="S2313" i="34"/>
  <c r="T2313" i="34"/>
  <c r="U2313" i="34"/>
  <c r="V2313" i="34"/>
  <c r="W2313" i="34"/>
  <c r="X2313" i="34"/>
  <c r="Y2313" i="34"/>
  <c r="N2314" i="34"/>
  <c r="C2314" i="34"/>
  <c r="B2314" i="34"/>
  <c r="O2314" i="34"/>
  <c r="P2314" i="34"/>
  <c r="Q2314" i="34"/>
  <c r="R2314" i="34"/>
  <c r="S2314" i="34"/>
  <c r="T2314" i="34"/>
  <c r="U2314" i="34"/>
  <c r="V2314" i="34"/>
  <c r="W2314" i="34"/>
  <c r="X2314" i="34"/>
  <c r="Y2314" i="34"/>
  <c r="N2315" i="34"/>
  <c r="C2315" i="34"/>
  <c r="B2315" i="34"/>
  <c r="O2315" i="34"/>
  <c r="P2315" i="34"/>
  <c r="Q2315" i="34"/>
  <c r="R2315" i="34"/>
  <c r="S2315" i="34"/>
  <c r="T2315" i="34"/>
  <c r="U2315" i="34"/>
  <c r="V2315" i="34"/>
  <c r="W2315" i="34"/>
  <c r="X2315" i="34"/>
  <c r="Y2315" i="34"/>
  <c r="N2316" i="34"/>
  <c r="C2316" i="34"/>
  <c r="B2316" i="34"/>
  <c r="O2316" i="34"/>
  <c r="P2316" i="34"/>
  <c r="Q2316" i="34"/>
  <c r="R2316" i="34"/>
  <c r="S2316" i="34"/>
  <c r="T2316" i="34"/>
  <c r="U2316" i="34"/>
  <c r="V2316" i="34"/>
  <c r="W2316" i="34"/>
  <c r="X2316" i="34"/>
  <c r="Y2316" i="34"/>
  <c r="N2317" i="34"/>
  <c r="C2317" i="34"/>
  <c r="B2317" i="34"/>
  <c r="O2317" i="34"/>
  <c r="P2317" i="34"/>
  <c r="Q2317" i="34"/>
  <c r="R2317" i="34"/>
  <c r="S2317" i="34"/>
  <c r="T2317" i="34"/>
  <c r="U2317" i="34"/>
  <c r="V2317" i="34"/>
  <c r="W2317" i="34"/>
  <c r="X2317" i="34"/>
  <c r="Y2317" i="34"/>
  <c r="N2318" i="34"/>
  <c r="C2318" i="34"/>
  <c r="B2318" i="34"/>
  <c r="O2318" i="34"/>
  <c r="P2318" i="34"/>
  <c r="Q2318" i="34"/>
  <c r="R2318" i="34"/>
  <c r="S2318" i="34"/>
  <c r="T2318" i="34"/>
  <c r="U2318" i="34"/>
  <c r="V2318" i="34"/>
  <c r="W2318" i="34"/>
  <c r="X2318" i="34"/>
  <c r="Y2318" i="34"/>
  <c r="N2319" i="34"/>
  <c r="C2319" i="34"/>
  <c r="B2319" i="34"/>
  <c r="O2319" i="34"/>
  <c r="P2319" i="34"/>
  <c r="Q2319" i="34"/>
  <c r="R2319" i="34"/>
  <c r="S2319" i="34"/>
  <c r="T2319" i="34"/>
  <c r="U2319" i="34"/>
  <c r="V2319" i="34"/>
  <c r="W2319" i="34"/>
  <c r="X2319" i="34"/>
  <c r="Y2319" i="34"/>
  <c r="N2320" i="34"/>
  <c r="C2320" i="34"/>
  <c r="B2320" i="34"/>
  <c r="O2320" i="34"/>
  <c r="P2320" i="34"/>
  <c r="Q2320" i="34"/>
  <c r="R2320" i="34"/>
  <c r="S2320" i="34"/>
  <c r="T2320" i="34"/>
  <c r="U2320" i="34"/>
  <c r="V2320" i="34"/>
  <c r="W2320" i="34"/>
  <c r="X2320" i="34"/>
  <c r="Y2320" i="34"/>
  <c r="N2321" i="34"/>
  <c r="C2321" i="34"/>
  <c r="B2321" i="34"/>
  <c r="O2321" i="34"/>
  <c r="P2321" i="34"/>
  <c r="Q2321" i="34"/>
  <c r="R2321" i="34"/>
  <c r="S2321" i="34"/>
  <c r="T2321" i="34"/>
  <c r="U2321" i="34"/>
  <c r="V2321" i="34"/>
  <c r="W2321" i="34"/>
  <c r="X2321" i="34"/>
  <c r="Y2321" i="34"/>
  <c r="N2322" i="34"/>
  <c r="C2322" i="34"/>
  <c r="B2322" i="34"/>
  <c r="O2322" i="34"/>
  <c r="P2322" i="34"/>
  <c r="Q2322" i="34"/>
  <c r="R2322" i="34"/>
  <c r="S2322" i="34"/>
  <c r="T2322" i="34"/>
  <c r="U2322" i="34"/>
  <c r="V2322" i="34"/>
  <c r="W2322" i="34"/>
  <c r="X2322" i="34"/>
  <c r="Y2322" i="34"/>
  <c r="N2323" i="34"/>
  <c r="C2323" i="34"/>
  <c r="B2323" i="34"/>
  <c r="O2323" i="34"/>
  <c r="P2323" i="34"/>
  <c r="Q2323" i="34"/>
  <c r="R2323" i="34"/>
  <c r="S2323" i="34"/>
  <c r="T2323" i="34"/>
  <c r="U2323" i="34"/>
  <c r="V2323" i="34"/>
  <c r="W2323" i="34"/>
  <c r="X2323" i="34"/>
  <c r="Y2323" i="34"/>
  <c r="N2324" i="34"/>
  <c r="C2324" i="34"/>
  <c r="B2324" i="34"/>
  <c r="O2324" i="34"/>
  <c r="P2324" i="34"/>
  <c r="Q2324" i="34"/>
  <c r="R2324" i="34"/>
  <c r="S2324" i="34"/>
  <c r="T2324" i="34"/>
  <c r="U2324" i="34"/>
  <c r="V2324" i="34"/>
  <c r="W2324" i="34"/>
  <c r="X2324" i="34"/>
  <c r="Y2324" i="34"/>
  <c r="N2325" i="34"/>
  <c r="C2325" i="34"/>
  <c r="B2325" i="34"/>
  <c r="O2325" i="34"/>
  <c r="P2325" i="34"/>
  <c r="Q2325" i="34"/>
  <c r="R2325" i="34"/>
  <c r="S2325" i="34"/>
  <c r="T2325" i="34"/>
  <c r="U2325" i="34"/>
  <c r="V2325" i="34"/>
  <c r="W2325" i="34"/>
  <c r="X2325" i="34"/>
  <c r="Y2325" i="34"/>
  <c r="N2326" i="34"/>
  <c r="C2326" i="34"/>
  <c r="B2326" i="34"/>
  <c r="O2326" i="34"/>
  <c r="P2326" i="34"/>
  <c r="Q2326" i="34"/>
  <c r="R2326" i="34"/>
  <c r="S2326" i="34"/>
  <c r="T2326" i="34"/>
  <c r="U2326" i="34"/>
  <c r="V2326" i="34"/>
  <c r="W2326" i="34"/>
  <c r="X2326" i="34"/>
  <c r="Y2326" i="34"/>
  <c r="N2327" i="34"/>
  <c r="C2327" i="34"/>
  <c r="B2327" i="34"/>
  <c r="O2327" i="34"/>
  <c r="P2327" i="34"/>
  <c r="Q2327" i="34"/>
  <c r="R2327" i="34"/>
  <c r="S2327" i="34"/>
  <c r="T2327" i="34"/>
  <c r="U2327" i="34"/>
  <c r="V2327" i="34"/>
  <c r="W2327" i="34"/>
  <c r="X2327" i="34"/>
  <c r="Y2327" i="34"/>
  <c r="N2328" i="34"/>
  <c r="C2328" i="34"/>
  <c r="B2328" i="34"/>
  <c r="O2328" i="34"/>
  <c r="P2328" i="34"/>
  <c r="Q2328" i="34"/>
  <c r="R2328" i="34"/>
  <c r="S2328" i="34"/>
  <c r="T2328" i="34"/>
  <c r="U2328" i="34"/>
  <c r="V2328" i="34"/>
  <c r="W2328" i="34"/>
  <c r="X2328" i="34"/>
  <c r="Y2328" i="34"/>
  <c r="N2329" i="34"/>
  <c r="C2329" i="34"/>
  <c r="B2329" i="34"/>
  <c r="O2329" i="34"/>
  <c r="P2329" i="34"/>
  <c r="Q2329" i="34"/>
  <c r="R2329" i="34"/>
  <c r="S2329" i="34"/>
  <c r="T2329" i="34"/>
  <c r="U2329" i="34"/>
  <c r="V2329" i="34"/>
  <c r="W2329" i="34"/>
  <c r="X2329" i="34"/>
  <c r="Y2329" i="34"/>
  <c r="N2330" i="34"/>
  <c r="C2330" i="34"/>
  <c r="B2330" i="34"/>
  <c r="O2330" i="34"/>
  <c r="P2330" i="34"/>
  <c r="Q2330" i="34"/>
  <c r="R2330" i="34"/>
  <c r="S2330" i="34"/>
  <c r="T2330" i="34"/>
  <c r="U2330" i="34"/>
  <c r="V2330" i="34"/>
  <c r="W2330" i="34"/>
  <c r="X2330" i="34"/>
  <c r="Y2330" i="34"/>
  <c r="N2331" i="34"/>
  <c r="C2331" i="34"/>
  <c r="B2331" i="34"/>
  <c r="O2331" i="34"/>
  <c r="P2331" i="34"/>
  <c r="Q2331" i="34"/>
  <c r="R2331" i="34"/>
  <c r="S2331" i="34"/>
  <c r="T2331" i="34"/>
  <c r="U2331" i="34"/>
  <c r="V2331" i="34"/>
  <c r="W2331" i="34"/>
  <c r="X2331" i="34"/>
  <c r="Y2331" i="34"/>
  <c r="N2332" i="34"/>
  <c r="C2332" i="34"/>
  <c r="B2332" i="34"/>
  <c r="O2332" i="34"/>
  <c r="P2332" i="34"/>
  <c r="Q2332" i="34"/>
  <c r="R2332" i="34"/>
  <c r="S2332" i="34"/>
  <c r="T2332" i="34"/>
  <c r="U2332" i="34"/>
  <c r="V2332" i="34"/>
  <c r="W2332" i="34"/>
  <c r="X2332" i="34"/>
  <c r="Y2332" i="34"/>
  <c r="N2333" i="34"/>
  <c r="C2333" i="34"/>
  <c r="B2333" i="34"/>
  <c r="O2333" i="34"/>
  <c r="P2333" i="34"/>
  <c r="Q2333" i="34"/>
  <c r="R2333" i="34"/>
  <c r="S2333" i="34"/>
  <c r="T2333" i="34"/>
  <c r="U2333" i="34"/>
  <c r="V2333" i="34"/>
  <c r="W2333" i="34"/>
  <c r="X2333" i="34"/>
  <c r="Y2333" i="34"/>
  <c r="N2334" i="34"/>
  <c r="C2334" i="34"/>
  <c r="B2334" i="34"/>
  <c r="O2334" i="34"/>
  <c r="P2334" i="34"/>
  <c r="Q2334" i="34"/>
  <c r="R2334" i="34"/>
  <c r="S2334" i="34"/>
  <c r="T2334" i="34"/>
  <c r="U2334" i="34"/>
  <c r="V2334" i="34"/>
  <c r="W2334" i="34"/>
  <c r="X2334" i="34"/>
  <c r="Y2334" i="34"/>
  <c r="N2335" i="34"/>
  <c r="C2335" i="34"/>
  <c r="B2335" i="34"/>
  <c r="O2335" i="34"/>
  <c r="P2335" i="34"/>
  <c r="Q2335" i="34"/>
  <c r="R2335" i="34"/>
  <c r="S2335" i="34"/>
  <c r="T2335" i="34"/>
  <c r="U2335" i="34"/>
  <c r="V2335" i="34"/>
  <c r="W2335" i="34"/>
  <c r="X2335" i="34"/>
  <c r="Y2335" i="34"/>
  <c r="N2336" i="34"/>
  <c r="C2336" i="34"/>
  <c r="B2336" i="34"/>
  <c r="O2336" i="34"/>
  <c r="P2336" i="34"/>
  <c r="Q2336" i="34"/>
  <c r="R2336" i="34"/>
  <c r="S2336" i="34"/>
  <c r="T2336" i="34"/>
  <c r="U2336" i="34"/>
  <c r="V2336" i="34"/>
  <c r="W2336" i="34"/>
  <c r="X2336" i="34"/>
  <c r="Y2336" i="34"/>
  <c r="N2337" i="34"/>
  <c r="C2337" i="34"/>
  <c r="B2337" i="34"/>
  <c r="O2337" i="34"/>
  <c r="P2337" i="34"/>
  <c r="Q2337" i="34"/>
  <c r="R2337" i="34"/>
  <c r="S2337" i="34"/>
  <c r="T2337" i="34"/>
  <c r="U2337" i="34"/>
  <c r="V2337" i="34"/>
  <c r="W2337" i="34"/>
  <c r="X2337" i="34"/>
  <c r="Y2337" i="34"/>
  <c r="N2338" i="34"/>
  <c r="C2338" i="34"/>
  <c r="B2338" i="34"/>
  <c r="O2338" i="34"/>
  <c r="P2338" i="34"/>
  <c r="Q2338" i="34"/>
  <c r="R2338" i="34"/>
  <c r="S2338" i="34"/>
  <c r="T2338" i="34"/>
  <c r="U2338" i="34"/>
  <c r="V2338" i="34"/>
  <c r="W2338" i="34"/>
  <c r="X2338" i="34"/>
  <c r="Y2338" i="34"/>
  <c r="N2339" i="34"/>
  <c r="C2339" i="34"/>
  <c r="B2339" i="34"/>
  <c r="O2339" i="34"/>
  <c r="P2339" i="34"/>
  <c r="Q2339" i="34"/>
  <c r="R2339" i="34"/>
  <c r="S2339" i="34"/>
  <c r="T2339" i="34"/>
  <c r="U2339" i="34"/>
  <c r="V2339" i="34"/>
  <c r="W2339" i="34"/>
  <c r="X2339" i="34"/>
  <c r="Y2339" i="34"/>
  <c r="N2340" i="34"/>
  <c r="C2340" i="34"/>
  <c r="B2340" i="34"/>
  <c r="O2340" i="34"/>
  <c r="P2340" i="34"/>
  <c r="Q2340" i="34"/>
  <c r="R2340" i="34"/>
  <c r="S2340" i="34"/>
  <c r="T2340" i="34"/>
  <c r="U2340" i="34"/>
  <c r="V2340" i="34"/>
  <c r="W2340" i="34"/>
  <c r="X2340" i="34"/>
  <c r="Y2340" i="34"/>
  <c r="N2341" i="34"/>
  <c r="C2341" i="34"/>
  <c r="B2341" i="34"/>
  <c r="O2341" i="34"/>
  <c r="P2341" i="34"/>
  <c r="Q2341" i="34"/>
  <c r="R2341" i="34"/>
  <c r="S2341" i="34"/>
  <c r="T2341" i="34"/>
  <c r="U2341" i="34"/>
  <c r="V2341" i="34"/>
  <c r="W2341" i="34"/>
  <c r="X2341" i="34"/>
  <c r="Y2341" i="34"/>
  <c r="N2342" i="34"/>
  <c r="C2342" i="34"/>
  <c r="B2342" i="34"/>
  <c r="O2342" i="34"/>
  <c r="P2342" i="34"/>
  <c r="Q2342" i="34"/>
  <c r="R2342" i="34"/>
  <c r="S2342" i="34"/>
  <c r="T2342" i="34"/>
  <c r="U2342" i="34"/>
  <c r="V2342" i="34"/>
  <c r="W2342" i="34"/>
  <c r="X2342" i="34"/>
  <c r="Y2342" i="34"/>
  <c r="N2343" i="34"/>
  <c r="C2343" i="34"/>
  <c r="B2343" i="34"/>
  <c r="O2343" i="34"/>
  <c r="P2343" i="34"/>
  <c r="Q2343" i="34"/>
  <c r="R2343" i="34"/>
  <c r="S2343" i="34"/>
  <c r="T2343" i="34"/>
  <c r="U2343" i="34"/>
  <c r="V2343" i="34"/>
  <c r="W2343" i="34"/>
  <c r="X2343" i="34"/>
  <c r="Y2343" i="34"/>
  <c r="N2344" i="34"/>
  <c r="C2344" i="34"/>
  <c r="B2344" i="34"/>
  <c r="O2344" i="34"/>
  <c r="P2344" i="34"/>
  <c r="Q2344" i="34"/>
  <c r="R2344" i="34"/>
  <c r="S2344" i="34"/>
  <c r="T2344" i="34"/>
  <c r="U2344" i="34"/>
  <c r="V2344" i="34"/>
  <c r="W2344" i="34"/>
  <c r="X2344" i="34"/>
  <c r="Y2344" i="34"/>
  <c r="N2345" i="34"/>
  <c r="C2345" i="34"/>
  <c r="B2345" i="34"/>
  <c r="O2345" i="34"/>
  <c r="P2345" i="34"/>
  <c r="Q2345" i="34"/>
  <c r="R2345" i="34"/>
  <c r="S2345" i="34"/>
  <c r="T2345" i="34"/>
  <c r="U2345" i="34"/>
  <c r="V2345" i="34"/>
  <c r="W2345" i="34"/>
  <c r="X2345" i="34"/>
  <c r="Y2345" i="34"/>
  <c r="N2346" i="34"/>
  <c r="C2346" i="34"/>
  <c r="B2346" i="34"/>
  <c r="O2346" i="34"/>
  <c r="P2346" i="34"/>
  <c r="Q2346" i="34"/>
  <c r="R2346" i="34"/>
  <c r="S2346" i="34"/>
  <c r="T2346" i="34"/>
  <c r="U2346" i="34"/>
  <c r="V2346" i="34"/>
  <c r="W2346" i="34"/>
  <c r="X2346" i="34"/>
  <c r="Y2346" i="34"/>
  <c r="N2347" i="34"/>
  <c r="C2347" i="34"/>
  <c r="B2347" i="34"/>
  <c r="O2347" i="34"/>
  <c r="P2347" i="34"/>
  <c r="Q2347" i="34"/>
  <c r="R2347" i="34"/>
  <c r="S2347" i="34"/>
  <c r="T2347" i="34"/>
  <c r="U2347" i="34"/>
  <c r="V2347" i="34"/>
  <c r="W2347" i="34"/>
  <c r="X2347" i="34"/>
  <c r="Y2347" i="34"/>
  <c r="N2348" i="34"/>
  <c r="C2348" i="34"/>
  <c r="B2348" i="34"/>
  <c r="O2348" i="34"/>
  <c r="P2348" i="34"/>
  <c r="Q2348" i="34"/>
  <c r="R2348" i="34"/>
  <c r="S2348" i="34"/>
  <c r="T2348" i="34"/>
  <c r="U2348" i="34"/>
  <c r="V2348" i="34"/>
  <c r="W2348" i="34"/>
  <c r="X2348" i="34"/>
  <c r="Y2348" i="34"/>
  <c r="N2349" i="34"/>
  <c r="C2349" i="34"/>
  <c r="B2349" i="34"/>
  <c r="O2349" i="34"/>
  <c r="P2349" i="34"/>
  <c r="Q2349" i="34"/>
  <c r="R2349" i="34"/>
  <c r="S2349" i="34"/>
  <c r="T2349" i="34"/>
  <c r="U2349" i="34"/>
  <c r="V2349" i="34"/>
  <c r="W2349" i="34"/>
  <c r="X2349" i="34"/>
  <c r="Y2349" i="34"/>
  <c r="N2350" i="34"/>
  <c r="C2350" i="34"/>
  <c r="B2350" i="34"/>
  <c r="O2350" i="34"/>
  <c r="P2350" i="34"/>
  <c r="Q2350" i="34"/>
  <c r="R2350" i="34"/>
  <c r="S2350" i="34"/>
  <c r="T2350" i="34"/>
  <c r="U2350" i="34"/>
  <c r="V2350" i="34"/>
  <c r="W2350" i="34"/>
  <c r="X2350" i="34"/>
  <c r="Y2350" i="34"/>
  <c r="N2351" i="34"/>
  <c r="C2351" i="34"/>
  <c r="B2351" i="34"/>
  <c r="O2351" i="34"/>
  <c r="P2351" i="34"/>
  <c r="Q2351" i="34"/>
  <c r="R2351" i="34"/>
  <c r="S2351" i="34"/>
  <c r="T2351" i="34"/>
  <c r="U2351" i="34"/>
  <c r="V2351" i="34"/>
  <c r="W2351" i="34"/>
  <c r="X2351" i="34"/>
  <c r="Y2351" i="34"/>
  <c r="N2352" i="34"/>
  <c r="C2352" i="34"/>
  <c r="B2352" i="34"/>
  <c r="O2352" i="34"/>
  <c r="P2352" i="34"/>
  <c r="Q2352" i="34"/>
  <c r="R2352" i="34"/>
  <c r="S2352" i="34"/>
  <c r="T2352" i="34"/>
  <c r="U2352" i="34"/>
  <c r="V2352" i="34"/>
  <c r="W2352" i="34"/>
  <c r="X2352" i="34"/>
  <c r="Y2352" i="34"/>
  <c r="N2353" i="34"/>
  <c r="B2353" i="34"/>
  <c r="O2353" i="34"/>
  <c r="P2353" i="34"/>
  <c r="Q2353" i="34"/>
  <c r="R2353" i="34"/>
  <c r="S2353" i="34"/>
  <c r="T2353" i="34"/>
  <c r="U2353" i="34"/>
  <c r="V2353" i="34"/>
  <c r="W2353" i="34"/>
  <c r="X2353" i="34"/>
  <c r="Y2353" i="34"/>
  <c r="N2354" i="34"/>
  <c r="B2354" i="34"/>
  <c r="O2354" i="34"/>
  <c r="P2354" i="34"/>
  <c r="Q2354" i="34"/>
  <c r="R2354" i="34"/>
  <c r="S2354" i="34"/>
  <c r="T2354" i="34"/>
  <c r="U2354" i="34"/>
  <c r="V2354" i="34"/>
  <c r="W2354" i="34"/>
  <c r="X2354" i="34"/>
  <c r="Y2354" i="34"/>
  <c r="N2355" i="34"/>
  <c r="B2355" i="34"/>
  <c r="O2355" i="34"/>
  <c r="P2355" i="34"/>
  <c r="Q2355" i="34"/>
  <c r="R2355" i="34"/>
  <c r="S2355" i="34"/>
  <c r="T2355" i="34"/>
  <c r="U2355" i="34"/>
  <c r="V2355" i="34"/>
  <c r="W2355" i="34"/>
  <c r="X2355" i="34"/>
  <c r="Y2355" i="34"/>
  <c r="N2356" i="34"/>
  <c r="B2356" i="34"/>
  <c r="O2356" i="34"/>
  <c r="P2356" i="34"/>
  <c r="Q2356" i="34"/>
  <c r="R2356" i="34"/>
  <c r="S2356" i="34"/>
  <c r="T2356" i="34"/>
  <c r="U2356" i="34"/>
  <c r="V2356" i="34"/>
  <c r="W2356" i="34"/>
  <c r="X2356" i="34"/>
  <c r="Y2356" i="34"/>
  <c r="N2357" i="34"/>
  <c r="B2357" i="34"/>
  <c r="O2357" i="34"/>
  <c r="P2357" i="34"/>
  <c r="Q2357" i="34"/>
  <c r="R2357" i="34"/>
  <c r="S2357" i="34"/>
  <c r="T2357" i="34"/>
  <c r="U2357" i="34"/>
  <c r="V2357" i="34"/>
  <c r="W2357" i="34"/>
  <c r="X2357" i="34"/>
  <c r="Y2357" i="34"/>
  <c r="N2358" i="34"/>
  <c r="B2358" i="34"/>
  <c r="O2358" i="34"/>
  <c r="P2358" i="34"/>
  <c r="Q2358" i="34"/>
  <c r="R2358" i="34"/>
  <c r="S2358" i="34"/>
  <c r="T2358" i="34"/>
  <c r="U2358" i="34"/>
  <c r="V2358" i="34"/>
  <c r="W2358" i="34"/>
  <c r="X2358" i="34"/>
  <c r="Y2358" i="34"/>
  <c r="N2359" i="34"/>
  <c r="B2359" i="34"/>
  <c r="O2359" i="34"/>
  <c r="P2359" i="34"/>
  <c r="Q2359" i="34"/>
  <c r="R2359" i="34"/>
  <c r="S2359" i="34"/>
  <c r="T2359" i="34"/>
  <c r="U2359" i="34"/>
  <c r="V2359" i="34"/>
  <c r="W2359" i="34"/>
  <c r="X2359" i="34"/>
  <c r="Y2359" i="34"/>
  <c r="N2360" i="34"/>
  <c r="B2360" i="34"/>
  <c r="O2360" i="34"/>
  <c r="P2360" i="34"/>
  <c r="Q2360" i="34"/>
  <c r="R2360" i="34"/>
  <c r="S2360" i="34"/>
  <c r="T2360" i="34"/>
  <c r="U2360" i="34"/>
  <c r="V2360" i="34"/>
  <c r="W2360" i="34"/>
  <c r="X2360" i="34"/>
  <c r="Y2360" i="34"/>
  <c r="N2361" i="34"/>
  <c r="B2361" i="34"/>
  <c r="O2361" i="34"/>
  <c r="P2361" i="34"/>
  <c r="Q2361" i="34"/>
  <c r="R2361" i="34"/>
  <c r="S2361" i="34"/>
  <c r="T2361" i="34"/>
  <c r="U2361" i="34"/>
  <c r="V2361" i="34"/>
  <c r="W2361" i="34"/>
  <c r="X2361" i="34"/>
  <c r="Y2361" i="34"/>
  <c r="N2362" i="34"/>
  <c r="B2362" i="34"/>
  <c r="O2362" i="34"/>
  <c r="P2362" i="34"/>
  <c r="Q2362" i="34"/>
  <c r="R2362" i="34"/>
  <c r="S2362" i="34"/>
  <c r="T2362" i="34"/>
  <c r="U2362" i="34"/>
  <c r="V2362" i="34"/>
  <c r="W2362" i="34"/>
  <c r="X2362" i="34"/>
  <c r="Y2362" i="34"/>
  <c r="N2363" i="34"/>
  <c r="B2363" i="34"/>
  <c r="O2363" i="34"/>
  <c r="P2363" i="34"/>
  <c r="Q2363" i="34"/>
  <c r="R2363" i="34"/>
  <c r="S2363" i="34"/>
  <c r="T2363" i="34"/>
  <c r="U2363" i="34"/>
  <c r="V2363" i="34"/>
  <c r="W2363" i="34"/>
  <c r="X2363" i="34"/>
  <c r="Y2363" i="34"/>
  <c r="N2364" i="34"/>
  <c r="B2364" i="34"/>
  <c r="O2364" i="34"/>
  <c r="P2364" i="34"/>
  <c r="Q2364" i="34"/>
  <c r="R2364" i="34"/>
  <c r="S2364" i="34"/>
  <c r="T2364" i="34"/>
  <c r="U2364" i="34"/>
  <c r="V2364" i="34"/>
  <c r="W2364" i="34"/>
  <c r="X2364" i="34"/>
  <c r="Y2364" i="34"/>
  <c r="N2365" i="34"/>
  <c r="B2365" i="34"/>
  <c r="O2365" i="34"/>
  <c r="P2365" i="34"/>
  <c r="Q2365" i="34"/>
  <c r="R2365" i="34"/>
  <c r="S2365" i="34"/>
  <c r="T2365" i="34"/>
  <c r="U2365" i="34"/>
  <c r="V2365" i="34"/>
  <c r="W2365" i="34"/>
  <c r="X2365" i="34"/>
  <c r="Y2365" i="34"/>
  <c r="N2366" i="34"/>
  <c r="B2366" i="34"/>
  <c r="O2366" i="34"/>
  <c r="P2366" i="34"/>
  <c r="Q2366" i="34"/>
  <c r="R2366" i="34"/>
  <c r="S2366" i="34"/>
  <c r="T2366" i="34"/>
  <c r="U2366" i="34"/>
  <c r="V2366" i="34"/>
  <c r="W2366" i="34"/>
  <c r="X2366" i="34"/>
  <c r="Y2366" i="34"/>
  <c r="N2367" i="34"/>
  <c r="B2367" i="34"/>
  <c r="O2367" i="34"/>
  <c r="P2367" i="34"/>
  <c r="Q2367" i="34"/>
  <c r="R2367" i="34"/>
  <c r="S2367" i="34"/>
  <c r="T2367" i="34"/>
  <c r="U2367" i="34"/>
  <c r="V2367" i="34"/>
  <c r="W2367" i="34"/>
  <c r="X2367" i="34"/>
  <c r="Y2367" i="34"/>
  <c r="N2368" i="34"/>
  <c r="B2368" i="34"/>
  <c r="O2368" i="34"/>
  <c r="P2368" i="34"/>
  <c r="Q2368" i="34"/>
  <c r="R2368" i="34"/>
  <c r="S2368" i="34"/>
  <c r="T2368" i="34"/>
  <c r="U2368" i="34"/>
  <c r="V2368" i="34"/>
  <c r="W2368" i="34"/>
  <c r="X2368" i="34"/>
  <c r="Y2368" i="34"/>
  <c r="N2369" i="34"/>
  <c r="B2369" i="34"/>
  <c r="O2369" i="34"/>
  <c r="P2369" i="34"/>
  <c r="Q2369" i="34"/>
  <c r="R2369" i="34"/>
  <c r="S2369" i="34"/>
  <c r="T2369" i="34"/>
  <c r="U2369" i="34"/>
  <c r="V2369" i="34"/>
  <c r="W2369" i="34"/>
  <c r="X2369" i="34"/>
  <c r="Y2369" i="34"/>
  <c r="N2370" i="34"/>
  <c r="B2370" i="34"/>
  <c r="O2370" i="34"/>
  <c r="P2370" i="34"/>
  <c r="Q2370" i="34"/>
  <c r="R2370" i="34"/>
  <c r="S2370" i="34"/>
  <c r="T2370" i="34"/>
  <c r="U2370" i="34"/>
  <c r="V2370" i="34"/>
  <c r="W2370" i="34"/>
  <c r="X2370" i="34"/>
  <c r="Y2370" i="34"/>
  <c r="N2371" i="34"/>
  <c r="B2371" i="34"/>
  <c r="O2371" i="34"/>
  <c r="P2371" i="34"/>
  <c r="Q2371" i="34"/>
  <c r="R2371" i="34"/>
  <c r="S2371" i="34"/>
  <c r="T2371" i="34"/>
  <c r="U2371" i="34"/>
  <c r="V2371" i="34"/>
  <c r="W2371" i="34"/>
  <c r="X2371" i="34"/>
  <c r="Y2371" i="34"/>
  <c r="N2372" i="34"/>
  <c r="B2372" i="34"/>
  <c r="O2372" i="34"/>
  <c r="P2372" i="34"/>
  <c r="Q2372" i="34"/>
  <c r="R2372" i="34"/>
  <c r="S2372" i="34"/>
  <c r="T2372" i="34"/>
  <c r="U2372" i="34"/>
  <c r="V2372" i="34"/>
  <c r="W2372" i="34"/>
  <c r="X2372" i="34"/>
  <c r="Y2372" i="34"/>
  <c r="N2373" i="34"/>
  <c r="C2373" i="34"/>
  <c r="B2373" i="34"/>
  <c r="O2373" i="34"/>
  <c r="P2373" i="34"/>
  <c r="Q2373" i="34"/>
  <c r="R2373" i="34"/>
  <c r="S2373" i="34"/>
  <c r="T2373" i="34"/>
  <c r="U2373" i="34"/>
  <c r="V2373" i="34"/>
  <c r="W2373" i="34"/>
  <c r="X2373" i="34"/>
  <c r="Y2373" i="34"/>
  <c r="N2374" i="34"/>
  <c r="C2374" i="34"/>
  <c r="B2374" i="34"/>
  <c r="O2374" i="34"/>
  <c r="P2374" i="34"/>
  <c r="Q2374" i="34"/>
  <c r="R2374" i="34"/>
  <c r="S2374" i="34"/>
  <c r="T2374" i="34"/>
  <c r="U2374" i="34"/>
  <c r="V2374" i="34"/>
  <c r="W2374" i="34"/>
  <c r="X2374" i="34"/>
  <c r="Y2374" i="34"/>
  <c r="N2375" i="34"/>
  <c r="C2375" i="34"/>
  <c r="B2375" i="34"/>
  <c r="O2375" i="34"/>
  <c r="P2375" i="34"/>
  <c r="Q2375" i="34"/>
  <c r="R2375" i="34"/>
  <c r="S2375" i="34"/>
  <c r="T2375" i="34"/>
  <c r="U2375" i="34"/>
  <c r="V2375" i="34"/>
  <c r="W2375" i="34"/>
  <c r="X2375" i="34"/>
  <c r="Y2375" i="34"/>
  <c r="N2376" i="34"/>
  <c r="C2376" i="34"/>
  <c r="B2376" i="34"/>
  <c r="O2376" i="34"/>
  <c r="P2376" i="34"/>
  <c r="Q2376" i="34"/>
  <c r="R2376" i="34"/>
  <c r="S2376" i="34"/>
  <c r="T2376" i="34"/>
  <c r="U2376" i="34"/>
  <c r="V2376" i="34"/>
  <c r="W2376" i="34"/>
  <c r="X2376" i="34"/>
  <c r="Y2376" i="34"/>
  <c r="N2377" i="34"/>
  <c r="C2377" i="34"/>
  <c r="B2377" i="34"/>
  <c r="O2377" i="34"/>
  <c r="P2377" i="34"/>
  <c r="Q2377" i="34"/>
  <c r="R2377" i="34"/>
  <c r="S2377" i="34"/>
  <c r="T2377" i="34"/>
  <c r="U2377" i="34"/>
  <c r="V2377" i="34"/>
  <c r="W2377" i="34"/>
  <c r="X2377" i="34"/>
  <c r="Y2377" i="34"/>
  <c r="N2378" i="34"/>
  <c r="C2378" i="34"/>
  <c r="B2378" i="34"/>
  <c r="O2378" i="34"/>
  <c r="P2378" i="34"/>
  <c r="Q2378" i="34"/>
  <c r="R2378" i="34"/>
  <c r="S2378" i="34"/>
  <c r="T2378" i="34"/>
  <c r="U2378" i="34"/>
  <c r="V2378" i="34"/>
  <c r="W2378" i="34"/>
  <c r="X2378" i="34"/>
  <c r="Y2378" i="34"/>
  <c r="N2379" i="34"/>
  <c r="C2379" i="34"/>
  <c r="B2379" i="34"/>
  <c r="O2379" i="34"/>
  <c r="P2379" i="34"/>
  <c r="Q2379" i="34"/>
  <c r="R2379" i="34"/>
  <c r="S2379" i="34"/>
  <c r="T2379" i="34"/>
  <c r="U2379" i="34"/>
  <c r="V2379" i="34"/>
  <c r="W2379" i="34"/>
  <c r="X2379" i="34"/>
  <c r="Y2379" i="34"/>
  <c r="N2380" i="34"/>
  <c r="C2380" i="34"/>
  <c r="B2380" i="34"/>
  <c r="O2380" i="34"/>
  <c r="P2380" i="34"/>
  <c r="Q2380" i="34"/>
  <c r="R2380" i="34"/>
  <c r="S2380" i="34"/>
  <c r="T2380" i="34"/>
  <c r="U2380" i="34"/>
  <c r="V2380" i="34"/>
  <c r="W2380" i="34"/>
  <c r="X2380" i="34"/>
  <c r="Y2380" i="34"/>
  <c r="N2381" i="34"/>
  <c r="C2381" i="34"/>
  <c r="B2381" i="34"/>
  <c r="O2381" i="34"/>
  <c r="P2381" i="34"/>
  <c r="Q2381" i="34"/>
  <c r="R2381" i="34"/>
  <c r="S2381" i="34"/>
  <c r="T2381" i="34"/>
  <c r="U2381" i="34"/>
  <c r="V2381" i="34"/>
  <c r="W2381" i="34"/>
  <c r="X2381" i="34"/>
  <c r="Y2381" i="34"/>
  <c r="N2382" i="34"/>
  <c r="C2382" i="34"/>
  <c r="B2382" i="34"/>
  <c r="O2382" i="34"/>
  <c r="P2382" i="34"/>
  <c r="Q2382" i="34"/>
  <c r="R2382" i="34"/>
  <c r="S2382" i="34"/>
  <c r="T2382" i="34"/>
  <c r="U2382" i="34"/>
  <c r="V2382" i="34"/>
  <c r="W2382" i="34"/>
  <c r="X2382" i="34"/>
  <c r="Y2382" i="34"/>
  <c r="N2383" i="34"/>
  <c r="C2383" i="34"/>
  <c r="B2383" i="34"/>
  <c r="O2383" i="34"/>
  <c r="P2383" i="34"/>
  <c r="Q2383" i="34"/>
  <c r="R2383" i="34"/>
  <c r="S2383" i="34"/>
  <c r="T2383" i="34"/>
  <c r="U2383" i="34"/>
  <c r="V2383" i="34"/>
  <c r="W2383" i="34"/>
  <c r="X2383" i="34"/>
  <c r="Y2383" i="34"/>
  <c r="N2384" i="34"/>
  <c r="C2384" i="34"/>
  <c r="B2384" i="34"/>
  <c r="O2384" i="34"/>
  <c r="P2384" i="34"/>
  <c r="Q2384" i="34"/>
  <c r="R2384" i="34"/>
  <c r="S2384" i="34"/>
  <c r="T2384" i="34"/>
  <c r="U2384" i="34"/>
  <c r="V2384" i="34"/>
  <c r="W2384" i="34"/>
  <c r="X2384" i="34"/>
  <c r="Y2384" i="34"/>
  <c r="N2385" i="34"/>
  <c r="C2385" i="34"/>
  <c r="B2385" i="34"/>
  <c r="O2385" i="34"/>
  <c r="P2385" i="34"/>
  <c r="Q2385" i="34"/>
  <c r="R2385" i="34"/>
  <c r="S2385" i="34"/>
  <c r="T2385" i="34"/>
  <c r="U2385" i="34"/>
  <c r="V2385" i="34"/>
  <c r="W2385" i="34"/>
  <c r="X2385" i="34"/>
  <c r="Y2385" i="34"/>
  <c r="N2386" i="34"/>
  <c r="C2386" i="34"/>
  <c r="B2386" i="34"/>
  <c r="O2386" i="34"/>
  <c r="P2386" i="34"/>
  <c r="Q2386" i="34"/>
  <c r="R2386" i="34"/>
  <c r="S2386" i="34"/>
  <c r="T2386" i="34"/>
  <c r="U2386" i="34"/>
  <c r="V2386" i="34"/>
  <c r="W2386" i="34"/>
  <c r="X2386" i="34"/>
  <c r="Y2386" i="34"/>
  <c r="N2387" i="34"/>
  <c r="B2387" i="34"/>
  <c r="O2387" i="34"/>
  <c r="P2387" i="34"/>
  <c r="Q2387" i="34"/>
  <c r="R2387" i="34"/>
  <c r="S2387" i="34"/>
  <c r="T2387" i="34"/>
  <c r="U2387" i="34"/>
  <c r="V2387" i="34"/>
  <c r="W2387" i="34"/>
  <c r="X2387" i="34"/>
  <c r="Y2387" i="34"/>
  <c r="N2388" i="34"/>
  <c r="B2388" i="34"/>
  <c r="O2388" i="34"/>
  <c r="P2388" i="34"/>
  <c r="Q2388" i="34"/>
  <c r="R2388" i="34"/>
  <c r="S2388" i="34"/>
  <c r="T2388" i="34"/>
  <c r="U2388" i="34"/>
  <c r="V2388" i="34"/>
  <c r="W2388" i="34"/>
  <c r="X2388" i="34"/>
  <c r="Y2388" i="34"/>
  <c r="N2389" i="34"/>
  <c r="B2389" i="34"/>
  <c r="O2389" i="34"/>
  <c r="P2389" i="34"/>
  <c r="Q2389" i="34"/>
  <c r="R2389" i="34"/>
  <c r="S2389" i="34"/>
  <c r="T2389" i="34"/>
  <c r="U2389" i="34"/>
  <c r="V2389" i="34"/>
  <c r="W2389" i="34"/>
  <c r="X2389" i="34"/>
  <c r="Y2389" i="34"/>
  <c r="N2390" i="34"/>
  <c r="B2390" i="34"/>
  <c r="O2390" i="34"/>
  <c r="P2390" i="34"/>
  <c r="Q2390" i="34"/>
  <c r="R2390" i="34"/>
  <c r="S2390" i="34"/>
  <c r="T2390" i="34"/>
  <c r="U2390" i="34"/>
  <c r="V2390" i="34"/>
  <c r="W2390" i="34"/>
  <c r="X2390" i="34"/>
  <c r="Y2390" i="34"/>
  <c r="N2391" i="34"/>
  <c r="B2391" i="34"/>
  <c r="O2391" i="34"/>
  <c r="P2391" i="34"/>
  <c r="Q2391" i="34"/>
  <c r="R2391" i="34"/>
  <c r="S2391" i="34"/>
  <c r="T2391" i="34"/>
  <c r="U2391" i="34"/>
  <c r="V2391" i="34"/>
  <c r="W2391" i="34"/>
  <c r="X2391" i="34"/>
  <c r="Y2391" i="34"/>
  <c r="N2392" i="34"/>
  <c r="B2392" i="34"/>
  <c r="O2392" i="34"/>
  <c r="P2392" i="34"/>
  <c r="Q2392" i="34"/>
  <c r="R2392" i="34"/>
  <c r="S2392" i="34"/>
  <c r="T2392" i="34"/>
  <c r="U2392" i="34"/>
  <c r="V2392" i="34"/>
  <c r="W2392" i="34"/>
  <c r="X2392" i="34"/>
  <c r="Y2392" i="34"/>
  <c r="N2393" i="34"/>
  <c r="B2393" i="34"/>
  <c r="O2393" i="34"/>
  <c r="P2393" i="34"/>
  <c r="Q2393" i="34"/>
  <c r="R2393" i="34"/>
  <c r="S2393" i="34"/>
  <c r="T2393" i="34"/>
  <c r="U2393" i="34"/>
  <c r="V2393" i="34"/>
  <c r="W2393" i="34"/>
  <c r="X2393" i="34"/>
  <c r="Y2393" i="34"/>
  <c r="N2394" i="34"/>
  <c r="B2394" i="34"/>
  <c r="O2394" i="34"/>
  <c r="P2394" i="34"/>
  <c r="Q2394" i="34"/>
  <c r="R2394" i="34"/>
  <c r="S2394" i="34"/>
  <c r="T2394" i="34"/>
  <c r="U2394" i="34"/>
  <c r="V2394" i="34"/>
  <c r="W2394" i="34"/>
  <c r="X2394" i="34"/>
  <c r="Y2394" i="34"/>
  <c r="N2395" i="34"/>
  <c r="B2395" i="34"/>
  <c r="O2395" i="34"/>
  <c r="P2395" i="34"/>
  <c r="Q2395" i="34"/>
  <c r="R2395" i="34"/>
  <c r="S2395" i="34"/>
  <c r="T2395" i="34"/>
  <c r="U2395" i="34"/>
  <c r="V2395" i="34"/>
  <c r="W2395" i="34"/>
  <c r="X2395" i="34"/>
  <c r="Y2395" i="34"/>
  <c r="N2396" i="34"/>
  <c r="B2396" i="34"/>
  <c r="O2396" i="34"/>
  <c r="P2396" i="34"/>
  <c r="Q2396" i="34"/>
  <c r="R2396" i="34"/>
  <c r="S2396" i="34"/>
  <c r="T2396" i="34"/>
  <c r="U2396" i="34"/>
  <c r="V2396" i="34"/>
  <c r="W2396" i="34"/>
  <c r="X2396" i="34"/>
  <c r="Y2396" i="34"/>
  <c r="N2397" i="34"/>
  <c r="B2397" i="34"/>
  <c r="O2397" i="34"/>
  <c r="P2397" i="34"/>
  <c r="Q2397" i="34"/>
  <c r="R2397" i="34"/>
  <c r="S2397" i="34"/>
  <c r="T2397" i="34"/>
  <c r="U2397" i="34"/>
  <c r="V2397" i="34"/>
  <c r="W2397" i="34"/>
  <c r="X2397" i="34"/>
  <c r="Y2397" i="34"/>
  <c r="N2398" i="34"/>
  <c r="C2398" i="34"/>
  <c r="B2398" i="34"/>
  <c r="O2398" i="34"/>
  <c r="P2398" i="34"/>
  <c r="Q2398" i="34"/>
  <c r="R2398" i="34"/>
  <c r="S2398" i="34"/>
  <c r="T2398" i="34"/>
  <c r="U2398" i="34"/>
  <c r="V2398" i="34"/>
  <c r="W2398" i="34"/>
  <c r="X2398" i="34"/>
  <c r="Y2398" i="34"/>
  <c r="N2399" i="34"/>
  <c r="C2399" i="34"/>
  <c r="B2399" i="34"/>
  <c r="O2399" i="34"/>
  <c r="P2399" i="34"/>
  <c r="Q2399" i="34"/>
  <c r="R2399" i="34"/>
  <c r="S2399" i="34"/>
  <c r="T2399" i="34"/>
  <c r="U2399" i="34"/>
  <c r="V2399" i="34"/>
  <c r="W2399" i="34"/>
  <c r="X2399" i="34"/>
  <c r="Y2399" i="34"/>
  <c r="N2400" i="34"/>
  <c r="C2400" i="34"/>
  <c r="B2400" i="34"/>
  <c r="O2400" i="34"/>
  <c r="P2400" i="34"/>
  <c r="Q2400" i="34"/>
  <c r="R2400" i="34"/>
  <c r="S2400" i="34"/>
  <c r="T2400" i="34"/>
  <c r="U2400" i="34"/>
  <c r="V2400" i="34"/>
  <c r="W2400" i="34"/>
  <c r="X2400" i="34"/>
  <c r="Y2400" i="34"/>
  <c r="N2401" i="34"/>
  <c r="C2401" i="34"/>
  <c r="B2401" i="34"/>
  <c r="O2401" i="34"/>
  <c r="P2401" i="34"/>
  <c r="Q2401" i="34"/>
  <c r="R2401" i="34"/>
  <c r="S2401" i="34"/>
  <c r="T2401" i="34"/>
  <c r="U2401" i="34"/>
  <c r="V2401" i="34"/>
  <c r="W2401" i="34"/>
  <c r="X2401" i="34"/>
  <c r="Y2401" i="34"/>
  <c r="N2402" i="34"/>
  <c r="C2402" i="34"/>
  <c r="B2402" i="34"/>
  <c r="O2402" i="34"/>
  <c r="P2402" i="34"/>
  <c r="Q2402" i="34"/>
  <c r="R2402" i="34"/>
  <c r="S2402" i="34"/>
  <c r="T2402" i="34"/>
  <c r="U2402" i="34"/>
  <c r="V2402" i="34"/>
  <c r="W2402" i="34"/>
  <c r="X2402" i="34"/>
  <c r="Y2402" i="34"/>
  <c r="N2403" i="34"/>
  <c r="B2403" i="34"/>
  <c r="O2403" i="34"/>
  <c r="P2403" i="34"/>
  <c r="Q2403" i="34"/>
  <c r="R2403" i="34"/>
  <c r="S2403" i="34"/>
  <c r="T2403" i="34"/>
  <c r="U2403" i="34"/>
  <c r="V2403" i="34"/>
  <c r="W2403" i="34"/>
  <c r="X2403" i="34"/>
  <c r="Y2403" i="34"/>
  <c r="N2404" i="34"/>
  <c r="B2404" i="34"/>
  <c r="O2404" i="34"/>
  <c r="P2404" i="34"/>
  <c r="Q2404" i="34"/>
  <c r="R2404" i="34"/>
  <c r="S2404" i="34"/>
  <c r="T2404" i="34"/>
  <c r="U2404" i="34"/>
  <c r="V2404" i="34"/>
  <c r="W2404" i="34"/>
  <c r="X2404" i="34"/>
  <c r="Y2404" i="34"/>
  <c r="N2405" i="34"/>
  <c r="B2405" i="34"/>
  <c r="O2405" i="34"/>
  <c r="P2405" i="34"/>
  <c r="Q2405" i="34"/>
  <c r="R2405" i="34"/>
  <c r="S2405" i="34"/>
  <c r="T2405" i="34"/>
  <c r="U2405" i="34"/>
  <c r="V2405" i="34"/>
  <c r="W2405" i="34"/>
  <c r="X2405" i="34"/>
  <c r="Y2405" i="34"/>
  <c r="N2406" i="34"/>
  <c r="B2406" i="34"/>
  <c r="O2406" i="34"/>
  <c r="P2406" i="34"/>
  <c r="Q2406" i="34"/>
  <c r="R2406" i="34"/>
  <c r="S2406" i="34"/>
  <c r="T2406" i="34"/>
  <c r="U2406" i="34"/>
  <c r="V2406" i="34"/>
  <c r="W2406" i="34"/>
  <c r="X2406" i="34"/>
  <c r="Y2406" i="34"/>
  <c r="N2407" i="34"/>
  <c r="B2407" i="34"/>
  <c r="O2407" i="34"/>
  <c r="P2407" i="34"/>
  <c r="Q2407" i="34"/>
  <c r="R2407" i="34"/>
  <c r="S2407" i="34"/>
  <c r="T2407" i="34"/>
  <c r="U2407" i="34"/>
  <c r="V2407" i="34"/>
  <c r="W2407" i="34"/>
  <c r="X2407" i="34"/>
  <c r="Y2407" i="34"/>
  <c r="N2408" i="34"/>
  <c r="B2408" i="34"/>
  <c r="O2408" i="34"/>
  <c r="P2408" i="34"/>
  <c r="Q2408" i="34"/>
  <c r="R2408" i="34"/>
  <c r="S2408" i="34"/>
  <c r="T2408" i="34"/>
  <c r="U2408" i="34"/>
  <c r="V2408" i="34"/>
  <c r="W2408" i="34"/>
  <c r="X2408" i="34"/>
  <c r="Y2408" i="34"/>
  <c r="N2409" i="34"/>
  <c r="B2409" i="34"/>
  <c r="O2409" i="34"/>
  <c r="P2409" i="34"/>
  <c r="Q2409" i="34"/>
  <c r="R2409" i="34"/>
  <c r="S2409" i="34"/>
  <c r="T2409" i="34"/>
  <c r="U2409" i="34"/>
  <c r="V2409" i="34"/>
  <c r="W2409" i="34"/>
  <c r="X2409" i="34"/>
  <c r="Y2409" i="34"/>
  <c r="N2410" i="34"/>
  <c r="B2410" i="34"/>
  <c r="O2410" i="34"/>
  <c r="P2410" i="34"/>
  <c r="Q2410" i="34"/>
  <c r="R2410" i="34"/>
  <c r="S2410" i="34"/>
  <c r="T2410" i="34"/>
  <c r="U2410" i="34"/>
  <c r="V2410" i="34"/>
  <c r="W2410" i="34"/>
  <c r="X2410" i="34"/>
  <c r="Y2410" i="34"/>
  <c r="N2411" i="34"/>
  <c r="B2411" i="34"/>
  <c r="O2411" i="34"/>
  <c r="P2411" i="34"/>
  <c r="Q2411" i="34"/>
  <c r="R2411" i="34"/>
  <c r="S2411" i="34"/>
  <c r="T2411" i="34"/>
  <c r="U2411" i="34"/>
  <c r="V2411" i="34"/>
  <c r="W2411" i="34"/>
  <c r="X2411" i="34"/>
  <c r="Y2411" i="34"/>
  <c r="N2412" i="34"/>
  <c r="B2412" i="34"/>
  <c r="O2412" i="34"/>
  <c r="P2412" i="34"/>
  <c r="Q2412" i="34"/>
  <c r="R2412" i="34"/>
  <c r="S2412" i="34"/>
  <c r="T2412" i="34"/>
  <c r="U2412" i="34"/>
  <c r="V2412" i="34"/>
  <c r="W2412" i="34"/>
  <c r="X2412" i="34"/>
  <c r="Y2412" i="34"/>
  <c r="N2413" i="34"/>
  <c r="B2413" i="34"/>
  <c r="O2413" i="34"/>
  <c r="P2413" i="34"/>
  <c r="Q2413" i="34"/>
  <c r="R2413" i="34"/>
  <c r="S2413" i="34"/>
  <c r="T2413" i="34"/>
  <c r="U2413" i="34"/>
  <c r="V2413" i="34"/>
  <c r="W2413" i="34"/>
  <c r="X2413" i="34"/>
  <c r="Y2413" i="34"/>
  <c r="N2414" i="34"/>
  <c r="B2414" i="34"/>
  <c r="O2414" i="34"/>
  <c r="P2414" i="34"/>
  <c r="Q2414" i="34"/>
  <c r="R2414" i="34"/>
  <c r="S2414" i="34"/>
  <c r="T2414" i="34"/>
  <c r="U2414" i="34"/>
  <c r="V2414" i="34"/>
  <c r="W2414" i="34"/>
  <c r="X2414" i="34"/>
  <c r="Y2414" i="34"/>
  <c r="N2415" i="34"/>
  <c r="B2415" i="34"/>
  <c r="O2415" i="34"/>
  <c r="P2415" i="34"/>
  <c r="Q2415" i="34"/>
  <c r="R2415" i="34"/>
  <c r="S2415" i="34"/>
  <c r="T2415" i="34"/>
  <c r="U2415" i="34"/>
  <c r="V2415" i="34"/>
  <c r="W2415" i="34"/>
  <c r="X2415" i="34"/>
  <c r="Y2415" i="34"/>
  <c r="N2416" i="34"/>
  <c r="B2416" i="34"/>
  <c r="O2416" i="34"/>
  <c r="P2416" i="34"/>
  <c r="Q2416" i="34"/>
  <c r="R2416" i="34"/>
  <c r="S2416" i="34"/>
  <c r="T2416" i="34"/>
  <c r="U2416" i="34"/>
  <c r="V2416" i="34"/>
  <c r="W2416" i="34"/>
  <c r="X2416" i="34"/>
  <c r="Y2416" i="34"/>
  <c r="N2417" i="34"/>
  <c r="B2417" i="34"/>
  <c r="O2417" i="34"/>
  <c r="P2417" i="34"/>
  <c r="Q2417" i="34"/>
  <c r="R2417" i="34"/>
  <c r="S2417" i="34"/>
  <c r="T2417" i="34"/>
  <c r="U2417" i="34"/>
  <c r="V2417" i="34"/>
  <c r="W2417" i="34"/>
  <c r="X2417" i="34"/>
  <c r="Y2417" i="34"/>
  <c r="N2418" i="34"/>
  <c r="B2418" i="34"/>
  <c r="O2418" i="34"/>
  <c r="P2418" i="34"/>
  <c r="Q2418" i="34"/>
  <c r="R2418" i="34"/>
  <c r="S2418" i="34"/>
  <c r="T2418" i="34"/>
  <c r="U2418" i="34"/>
  <c r="V2418" i="34"/>
  <c r="W2418" i="34"/>
  <c r="X2418" i="34"/>
  <c r="Y2418" i="34"/>
  <c r="N2419" i="34"/>
  <c r="B2419" i="34"/>
  <c r="O2419" i="34"/>
  <c r="P2419" i="34"/>
  <c r="Q2419" i="34"/>
  <c r="R2419" i="34"/>
  <c r="S2419" i="34"/>
  <c r="T2419" i="34"/>
  <c r="U2419" i="34"/>
  <c r="V2419" i="34"/>
  <c r="W2419" i="34"/>
  <c r="X2419" i="34"/>
  <c r="Y2419" i="34"/>
  <c r="N2420" i="34"/>
  <c r="B2420" i="34"/>
  <c r="O2420" i="34"/>
  <c r="P2420" i="34"/>
  <c r="Q2420" i="34"/>
  <c r="R2420" i="34"/>
  <c r="S2420" i="34"/>
  <c r="T2420" i="34"/>
  <c r="U2420" i="34"/>
  <c r="V2420" i="34"/>
  <c r="W2420" i="34"/>
  <c r="X2420" i="34"/>
  <c r="Y2420" i="34"/>
  <c r="N2421" i="34"/>
  <c r="B2421" i="34"/>
  <c r="O2421" i="34"/>
  <c r="P2421" i="34"/>
  <c r="Q2421" i="34"/>
  <c r="R2421" i="34"/>
  <c r="S2421" i="34"/>
  <c r="T2421" i="34"/>
  <c r="U2421" i="34"/>
  <c r="V2421" i="34"/>
  <c r="W2421" i="34"/>
  <c r="X2421" i="34"/>
  <c r="Y2421" i="34"/>
  <c r="N2422" i="34"/>
  <c r="B2422" i="34"/>
  <c r="O2422" i="34"/>
  <c r="P2422" i="34"/>
  <c r="Q2422" i="34"/>
  <c r="R2422" i="34"/>
  <c r="S2422" i="34"/>
  <c r="T2422" i="34"/>
  <c r="U2422" i="34"/>
  <c r="V2422" i="34"/>
  <c r="W2422" i="34"/>
  <c r="X2422" i="34"/>
  <c r="Y2422" i="34"/>
  <c r="N2423" i="34"/>
  <c r="B2423" i="34"/>
  <c r="O2423" i="34"/>
  <c r="P2423" i="34"/>
  <c r="Q2423" i="34"/>
  <c r="R2423" i="34"/>
  <c r="S2423" i="34"/>
  <c r="T2423" i="34"/>
  <c r="U2423" i="34"/>
  <c r="V2423" i="34"/>
  <c r="W2423" i="34"/>
  <c r="X2423" i="34"/>
  <c r="Y2423" i="34"/>
  <c r="N2424" i="34"/>
  <c r="B2424" i="34"/>
  <c r="O2424" i="34"/>
  <c r="P2424" i="34"/>
  <c r="Q2424" i="34"/>
  <c r="R2424" i="34"/>
  <c r="S2424" i="34"/>
  <c r="T2424" i="34"/>
  <c r="U2424" i="34"/>
  <c r="V2424" i="34"/>
  <c r="W2424" i="34"/>
  <c r="X2424" i="34"/>
  <c r="Y2424" i="34"/>
  <c r="N2425" i="34"/>
  <c r="B2425" i="34"/>
  <c r="O2425" i="34"/>
  <c r="P2425" i="34"/>
  <c r="Q2425" i="34"/>
  <c r="R2425" i="34"/>
  <c r="S2425" i="34"/>
  <c r="T2425" i="34"/>
  <c r="U2425" i="34"/>
  <c r="V2425" i="34"/>
  <c r="W2425" i="34"/>
  <c r="X2425" i="34"/>
  <c r="Y2425" i="34"/>
  <c r="N2426" i="34"/>
  <c r="B2426" i="34"/>
  <c r="O2426" i="34"/>
  <c r="P2426" i="34"/>
  <c r="Q2426" i="34"/>
  <c r="R2426" i="34"/>
  <c r="S2426" i="34"/>
  <c r="T2426" i="34"/>
  <c r="U2426" i="34"/>
  <c r="V2426" i="34"/>
  <c r="W2426" i="34"/>
  <c r="X2426" i="34"/>
  <c r="Y2426" i="34"/>
  <c r="N2427" i="34"/>
  <c r="B2427" i="34"/>
  <c r="O2427" i="34"/>
  <c r="P2427" i="34"/>
  <c r="Q2427" i="34"/>
  <c r="R2427" i="34"/>
  <c r="S2427" i="34"/>
  <c r="T2427" i="34"/>
  <c r="U2427" i="34"/>
  <c r="V2427" i="34"/>
  <c r="W2427" i="34"/>
  <c r="X2427" i="34"/>
  <c r="Y2427" i="34"/>
  <c r="N2428" i="34"/>
  <c r="B2428" i="34"/>
  <c r="O2428" i="34"/>
  <c r="P2428" i="34"/>
  <c r="Q2428" i="34"/>
  <c r="R2428" i="34"/>
  <c r="S2428" i="34"/>
  <c r="T2428" i="34"/>
  <c r="U2428" i="34"/>
  <c r="V2428" i="34"/>
  <c r="W2428" i="34"/>
  <c r="X2428" i="34"/>
  <c r="Y2428" i="34"/>
  <c r="N2429" i="34"/>
  <c r="B2429" i="34"/>
  <c r="O2429" i="34"/>
  <c r="P2429" i="34"/>
  <c r="Q2429" i="34"/>
  <c r="R2429" i="34"/>
  <c r="S2429" i="34"/>
  <c r="T2429" i="34"/>
  <c r="U2429" i="34"/>
  <c r="V2429" i="34"/>
  <c r="W2429" i="34"/>
  <c r="X2429" i="34"/>
  <c r="Y2429" i="34"/>
  <c r="N2430" i="34"/>
  <c r="B2430" i="34"/>
  <c r="O2430" i="34"/>
  <c r="P2430" i="34"/>
  <c r="Q2430" i="34"/>
  <c r="R2430" i="34"/>
  <c r="S2430" i="34"/>
  <c r="T2430" i="34"/>
  <c r="U2430" i="34"/>
  <c r="V2430" i="34"/>
  <c r="W2430" i="34"/>
  <c r="X2430" i="34"/>
  <c r="Y2430" i="34"/>
  <c r="N2431" i="34"/>
  <c r="B2431" i="34"/>
  <c r="O2431" i="34"/>
  <c r="P2431" i="34"/>
  <c r="Q2431" i="34"/>
  <c r="R2431" i="34"/>
  <c r="S2431" i="34"/>
  <c r="T2431" i="34"/>
  <c r="U2431" i="34"/>
  <c r="V2431" i="34"/>
  <c r="W2431" i="34"/>
  <c r="X2431" i="34"/>
  <c r="Y2431" i="34"/>
  <c r="N2432" i="34"/>
  <c r="B2432" i="34"/>
  <c r="O2432" i="34"/>
  <c r="P2432" i="34"/>
  <c r="Q2432" i="34"/>
  <c r="R2432" i="34"/>
  <c r="S2432" i="34"/>
  <c r="T2432" i="34"/>
  <c r="U2432" i="34"/>
  <c r="V2432" i="34"/>
  <c r="W2432" i="34"/>
  <c r="X2432" i="34"/>
  <c r="Y2432" i="34"/>
  <c r="N2433" i="34"/>
  <c r="B2433" i="34"/>
  <c r="O2433" i="34"/>
  <c r="P2433" i="34"/>
  <c r="Q2433" i="34"/>
  <c r="R2433" i="34"/>
  <c r="S2433" i="34"/>
  <c r="T2433" i="34"/>
  <c r="U2433" i="34"/>
  <c r="V2433" i="34"/>
  <c r="W2433" i="34"/>
  <c r="X2433" i="34"/>
  <c r="Y2433" i="34"/>
  <c r="N2434" i="34"/>
  <c r="C2434" i="34"/>
  <c r="B2434" i="34"/>
  <c r="O2434" i="34"/>
  <c r="P2434" i="34"/>
  <c r="Q2434" i="34"/>
  <c r="R2434" i="34"/>
  <c r="S2434" i="34"/>
  <c r="T2434" i="34"/>
  <c r="U2434" i="34"/>
  <c r="V2434" i="34"/>
  <c r="W2434" i="34"/>
  <c r="X2434" i="34"/>
  <c r="Y2434" i="34"/>
  <c r="N2435" i="34"/>
  <c r="C2435" i="34"/>
  <c r="B2435" i="34"/>
  <c r="O2435" i="34"/>
  <c r="P2435" i="34"/>
  <c r="Q2435" i="34"/>
  <c r="R2435" i="34"/>
  <c r="S2435" i="34"/>
  <c r="T2435" i="34"/>
  <c r="U2435" i="34"/>
  <c r="V2435" i="34"/>
  <c r="W2435" i="34"/>
  <c r="X2435" i="34"/>
  <c r="Y2435" i="34"/>
  <c r="N2436" i="34"/>
  <c r="C2436" i="34"/>
  <c r="B2436" i="34"/>
  <c r="O2436" i="34"/>
  <c r="P2436" i="34"/>
  <c r="Q2436" i="34"/>
  <c r="R2436" i="34"/>
  <c r="S2436" i="34"/>
  <c r="T2436" i="34"/>
  <c r="U2436" i="34"/>
  <c r="V2436" i="34"/>
  <c r="W2436" i="34"/>
  <c r="X2436" i="34"/>
  <c r="Y2436" i="34"/>
  <c r="N2437" i="34"/>
  <c r="C2437" i="34"/>
  <c r="B2437" i="34"/>
  <c r="O2437" i="34"/>
  <c r="P2437" i="34"/>
  <c r="Q2437" i="34"/>
  <c r="R2437" i="34"/>
  <c r="S2437" i="34"/>
  <c r="T2437" i="34"/>
  <c r="U2437" i="34"/>
  <c r="V2437" i="34"/>
  <c r="W2437" i="34"/>
  <c r="X2437" i="34"/>
  <c r="Y2437" i="34"/>
  <c r="N2438" i="34"/>
  <c r="C2438" i="34"/>
  <c r="B2438" i="34"/>
  <c r="O2438" i="34"/>
  <c r="P2438" i="34"/>
  <c r="Q2438" i="34"/>
  <c r="R2438" i="34"/>
  <c r="S2438" i="34"/>
  <c r="T2438" i="34"/>
  <c r="U2438" i="34"/>
  <c r="V2438" i="34"/>
  <c r="W2438" i="34"/>
  <c r="X2438" i="34"/>
  <c r="Y2438" i="34"/>
  <c r="N2439" i="34"/>
  <c r="C2439" i="34"/>
  <c r="B2439" i="34"/>
  <c r="O2439" i="34"/>
  <c r="P2439" i="34"/>
  <c r="Q2439" i="34"/>
  <c r="R2439" i="34"/>
  <c r="S2439" i="34"/>
  <c r="T2439" i="34"/>
  <c r="U2439" i="34"/>
  <c r="V2439" i="34"/>
  <c r="W2439" i="34"/>
  <c r="X2439" i="34"/>
  <c r="Y2439" i="34"/>
  <c r="N2440" i="34"/>
  <c r="C2440" i="34"/>
  <c r="B2440" i="34"/>
  <c r="O2440" i="34"/>
  <c r="P2440" i="34"/>
  <c r="Q2440" i="34"/>
  <c r="R2440" i="34"/>
  <c r="S2440" i="34"/>
  <c r="T2440" i="34"/>
  <c r="U2440" i="34"/>
  <c r="V2440" i="34"/>
  <c r="W2440" i="34"/>
  <c r="X2440" i="34"/>
  <c r="Y2440" i="34"/>
  <c r="N2441" i="34"/>
  <c r="C2441" i="34"/>
  <c r="B2441" i="34"/>
  <c r="O2441" i="34"/>
  <c r="P2441" i="34"/>
  <c r="Q2441" i="34"/>
  <c r="R2441" i="34"/>
  <c r="S2441" i="34"/>
  <c r="T2441" i="34"/>
  <c r="U2441" i="34"/>
  <c r="V2441" i="34"/>
  <c r="W2441" i="34"/>
  <c r="X2441" i="34"/>
  <c r="Y2441" i="34"/>
  <c r="N2442" i="34"/>
  <c r="C2442" i="34"/>
  <c r="B2442" i="34"/>
  <c r="O2442" i="34"/>
  <c r="P2442" i="34"/>
  <c r="Q2442" i="34"/>
  <c r="R2442" i="34"/>
  <c r="S2442" i="34"/>
  <c r="T2442" i="34"/>
  <c r="U2442" i="34"/>
  <c r="V2442" i="34"/>
  <c r="W2442" i="34"/>
  <c r="X2442" i="34"/>
  <c r="Y2442" i="34"/>
  <c r="N2443" i="34"/>
  <c r="C2443" i="34"/>
  <c r="B2443" i="34"/>
  <c r="O2443" i="34"/>
  <c r="P2443" i="34"/>
  <c r="Q2443" i="34"/>
  <c r="R2443" i="34"/>
  <c r="S2443" i="34"/>
  <c r="T2443" i="34"/>
  <c r="U2443" i="34"/>
  <c r="V2443" i="34"/>
  <c r="W2443" i="34"/>
  <c r="X2443" i="34"/>
  <c r="Y2443" i="34"/>
  <c r="N2444" i="34"/>
  <c r="B2444" i="34"/>
  <c r="O2444" i="34"/>
  <c r="P2444" i="34"/>
  <c r="Q2444" i="34"/>
  <c r="R2444" i="34"/>
  <c r="S2444" i="34"/>
  <c r="T2444" i="34"/>
  <c r="U2444" i="34"/>
  <c r="V2444" i="34"/>
  <c r="W2444" i="34"/>
  <c r="X2444" i="34"/>
  <c r="Y2444" i="34"/>
  <c r="N2445" i="34"/>
  <c r="C2445" i="34"/>
  <c r="B2445" i="34"/>
  <c r="O2445" i="34"/>
  <c r="P2445" i="34"/>
  <c r="Q2445" i="34"/>
  <c r="R2445" i="34"/>
  <c r="S2445" i="34"/>
  <c r="T2445" i="34"/>
  <c r="U2445" i="34"/>
  <c r="V2445" i="34"/>
  <c r="W2445" i="34"/>
  <c r="X2445" i="34"/>
  <c r="Y2445" i="34"/>
  <c r="N2446" i="34"/>
  <c r="C2446" i="34"/>
  <c r="B2446" i="34"/>
  <c r="O2446" i="34"/>
  <c r="P2446" i="34"/>
  <c r="Q2446" i="34"/>
  <c r="R2446" i="34"/>
  <c r="S2446" i="34"/>
  <c r="T2446" i="34"/>
  <c r="U2446" i="34"/>
  <c r="V2446" i="34"/>
  <c r="W2446" i="34"/>
  <c r="X2446" i="34"/>
  <c r="Y2446" i="34"/>
  <c r="N2447" i="34"/>
  <c r="C2447" i="34"/>
  <c r="B2447" i="34"/>
  <c r="O2447" i="34"/>
  <c r="P2447" i="34"/>
  <c r="Q2447" i="34"/>
  <c r="R2447" i="34"/>
  <c r="S2447" i="34"/>
  <c r="T2447" i="34"/>
  <c r="U2447" i="34"/>
  <c r="V2447" i="34"/>
  <c r="W2447" i="34"/>
  <c r="X2447" i="34"/>
  <c r="Y2447" i="34"/>
  <c r="N2448" i="34"/>
  <c r="C2448" i="34"/>
  <c r="B2448" i="34"/>
  <c r="O2448" i="34"/>
  <c r="P2448" i="34"/>
  <c r="Q2448" i="34"/>
  <c r="R2448" i="34"/>
  <c r="S2448" i="34"/>
  <c r="T2448" i="34"/>
  <c r="U2448" i="34"/>
  <c r="V2448" i="34"/>
  <c r="W2448" i="34"/>
  <c r="X2448" i="34"/>
  <c r="Y2448" i="34"/>
  <c r="N2449" i="34"/>
  <c r="C2449" i="34"/>
  <c r="B2449" i="34"/>
  <c r="O2449" i="34"/>
  <c r="P2449" i="34"/>
  <c r="Q2449" i="34"/>
  <c r="R2449" i="34"/>
  <c r="S2449" i="34"/>
  <c r="T2449" i="34"/>
  <c r="U2449" i="34"/>
  <c r="V2449" i="34"/>
  <c r="W2449" i="34"/>
  <c r="X2449" i="34"/>
  <c r="Y2449" i="34"/>
  <c r="N2450" i="34"/>
  <c r="C2450" i="34"/>
  <c r="B2450" i="34"/>
  <c r="O2450" i="34"/>
  <c r="P2450" i="34"/>
  <c r="Q2450" i="34"/>
  <c r="R2450" i="34"/>
  <c r="S2450" i="34"/>
  <c r="T2450" i="34"/>
  <c r="U2450" i="34"/>
  <c r="V2450" i="34"/>
  <c r="W2450" i="34"/>
  <c r="X2450" i="34"/>
  <c r="Y2450" i="34"/>
  <c r="N2451" i="34"/>
  <c r="C2451" i="34"/>
  <c r="B2451" i="34"/>
  <c r="O2451" i="34"/>
  <c r="P2451" i="34"/>
  <c r="Q2451" i="34"/>
  <c r="R2451" i="34"/>
  <c r="S2451" i="34"/>
  <c r="T2451" i="34"/>
  <c r="U2451" i="34"/>
  <c r="V2451" i="34"/>
  <c r="W2451" i="34"/>
  <c r="X2451" i="34"/>
  <c r="Y2451" i="34"/>
  <c r="N2452" i="34"/>
  <c r="C2452" i="34"/>
  <c r="B2452" i="34"/>
  <c r="O2452" i="34"/>
  <c r="P2452" i="34"/>
  <c r="Q2452" i="34"/>
  <c r="R2452" i="34"/>
  <c r="S2452" i="34"/>
  <c r="T2452" i="34"/>
  <c r="U2452" i="34"/>
  <c r="V2452" i="34"/>
  <c r="W2452" i="34"/>
  <c r="X2452" i="34"/>
  <c r="Y2452" i="34"/>
  <c r="N2453" i="34"/>
  <c r="B2453" i="34"/>
  <c r="O2453" i="34"/>
  <c r="P2453" i="34"/>
  <c r="Q2453" i="34"/>
  <c r="R2453" i="34"/>
  <c r="S2453" i="34"/>
  <c r="T2453" i="34"/>
  <c r="U2453" i="34"/>
  <c r="V2453" i="34"/>
  <c r="W2453" i="34"/>
  <c r="X2453" i="34"/>
  <c r="Y2453" i="34"/>
  <c r="N2454" i="34"/>
  <c r="B2454" i="34"/>
  <c r="O2454" i="34"/>
  <c r="P2454" i="34"/>
  <c r="Q2454" i="34"/>
  <c r="R2454" i="34"/>
  <c r="S2454" i="34"/>
  <c r="T2454" i="34"/>
  <c r="U2454" i="34"/>
  <c r="V2454" i="34"/>
  <c r="W2454" i="34"/>
  <c r="X2454" i="34"/>
  <c r="Y2454" i="34"/>
  <c r="N2455" i="34"/>
  <c r="B2455" i="34"/>
  <c r="O2455" i="34"/>
  <c r="P2455" i="34"/>
  <c r="Q2455" i="34"/>
  <c r="R2455" i="34"/>
  <c r="S2455" i="34"/>
  <c r="T2455" i="34"/>
  <c r="U2455" i="34"/>
  <c r="V2455" i="34"/>
  <c r="W2455" i="34"/>
  <c r="X2455" i="34"/>
  <c r="Y2455" i="34"/>
  <c r="N2456" i="34"/>
  <c r="B2456" i="34"/>
  <c r="O2456" i="34"/>
  <c r="P2456" i="34"/>
  <c r="Q2456" i="34"/>
  <c r="R2456" i="34"/>
  <c r="S2456" i="34"/>
  <c r="T2456" i="34"/>
  <c r="U2456" i="34"/>
  <c r="V2456" i="34"/>
  <c r="W2456" i="34"/>
  <c r="X2456" i="34"/>
  <c r="Y2456" i="34"/>
  <c r="N2457" i="34"/>
  <c r="C2457" i="34"/>
  <c r="B2457" i="34"/>
  <c r="O2457" i="34"/>
  <c r="P2457" i="34"/>
  <c r="Q2457" i="34"/>
  <c r="R2457" i="34"/>
  <c r="S2457" i="34"/>
  <c r="T2457" i="34"/>
  <c r="U2457" i="34"/>
  <c r="V2457" i="34"/>
  <c r="W2457" i="34"/>
  <c r="X2457" i="34"/>
  <c r="Y2457" i="34"/>
  <c r="N2458" i="34"/>
  <c r="C2458" i="34"/>
  <c r="B2458" i="34"/>
  <c r="O2458" i="34"/>
  <c r="P2458" i="34"/>
  <c r="Q2458" i="34"/>
  <c r="R2458" i="34"/>
  <c r="S2458" i="34"/>
  <c r="T2458" i="34"/>
  <c r="U2458" i="34"/>
  <c r="V2458" i="34"/>
  <c r="W2458" i="34"/>
  <c r="X2458" i="34"/>
  <c r="Y2458" i="34"/>
  <c r="N2459" i="34"/>
  <c r="B2459" i="34"/>
  <c r="O2459" i="34"/>
  <c r="P2459" i="34"/>
  <c r="Q2459" i="34"/>
  <c r="R2459" i="34"/>
  <c r="S2459" i="34"/>
  <c r="T2459" i="34"/>
  <c r="U2459" i="34"/>
  <c r="V2459" i="34"/>
  <c r="W2459" i="34"/>
  <c r="X2459" i="34"/>
  <c r="Y2459" i="34"/>
  <c r="N2460" i="34"/>
  <c r="B2460" i="34"/>
  <c r="O2460" i="34"/>
  <c r="P2460" i="34"/>
  <c r="Q2460" i="34"/>
  <c r="R2460" i="34"/>
  <c r="S2460" i="34"/>
  <c r="T2460" i="34"/>
  <c r="U2460" i="34"/>
  <c r="V2460" i="34"/>
  <c r="W2460" i="34"/>
  <c r="X2460" i="34"/>
  <c r="Y2460" i="34"/>
  <c r="N2461" i="34"/>
  <c r="B2461" i="34"/>
  <c r="O2461" i="34"/>
  <c r="P2461" i="34"/>
  <c r="Q2461" i="34"/>
  <c r="R2461" i="34"/>
  <c r="S2461" i="34"/>
  <c r="T2461" i="34"/>
  <c r="U2461" i="34"/>
  <c r="V2461" i="34"/>
  <c r="W2461" i="34"/>
  <c r="X2461" i="34"/>
  <c r="Y2461" i="34"/>
  <c r="N2462" i="34"/>
  <c r="C2462" i="34"/>
  <c r="B2462" i="34"/>
  <c r="O2462" i="34"/>
  <c r="P2462" i="34"/>
  <c r="Q2462" i="34"/>
  <c r="R2462" i="34"/>
  <c r="S2462" i="34"/>
  <c r="T2462" i="34"/>
  <c r="U2462" i="34"/>
  <c r="V2462" i="34"/>
  <c r="W2462" i="34"/>
  <c r="X2462" i="34"/>
  <c r="Y2462" i="34"/>
  <c r="N2463" i="34"/>
  <c r="C2463" i="34"/>
  <c r="B2463" i="34"/>
  <c r="O2463" i="34"/>
  <c r="P2463" i="34"/>
  <c r="Q2463" i="34"/>
  <c r="R2463" i="34"/>
  <c r="S2463" i="34"/>
  <c r="T2463" i="34"/>
  <c r="U2463" i="34"/>
  <c r="V2463" i="34"/>
  <c r="W2463" i="34"/>
  <c r="X2463" i="34"/>
  <c r="Y2463" i="34"/>
  <c r="N2464" i="34"/>
  <c r="C2464" i="34"/>
  <c r="B2464" i="34"/>
  <c r="O2464" i="34"/>
  <c r="P2464" i="34"/>
  <c r="Q2464" i="34"/>
  <c r="R2464" i="34"/>
  <c r="S2464" i="34"/>
  <c r="T2464" i="34"/>
  <c r="U2464" i="34"/>
  <c r="V2464" i="34"/>
  <c r="W2464" i="34"/>
  <c r="X2464" i="34"/>
  <c r="Y2464" i="34"/>
  <c r="N2465" i="34"/>
  <c r="C2465" i="34"/>
  <c r="B2465" i="34"/>
  <c r="O2465" i="34"/>
  <c r="P2465" i="34"/>
  <c r="Q2465" i="34"/>
  <c r="R2465" i="34"/>
  <c r="S2465" i="34"/>
  <c r="T2465" i="34"/>
  <c r="U2465" i="34"/>
  <c r="V2465" i="34"/>
  <c r="W2465" i="34"/>
  <c r="X2465" i="34"/>
  <c r="Y2465" i="34"/>
  <c r="N2466" i="34"/>
  <c r="C2466" i="34"/>
  <c r="B2466" i="34"/>
  <c r="O2466" i="34"/>
  <c r="P2466" i="34"/>
  <c r="Q2466" i="34"/>
  <c r="R2466" i="34"/>
  <c r="S2466" i="34"/>
  <c r="T2466" i="34"/>
  <c r="U2466" i="34"/>
  <c r="V2466" i="34"/>
  <c r="W2466" i="34"/>
  <c r="X2466" i="34"/>
  <c r="Y2466" i="34"/>
  <c r="N2467" i="34"/>
  <c r="C2467" i="34"/>
  <c r="B2467" i="34"/>
  <c r="O2467" i="34"/>
  <c r="P2467" i="34"/>
  <c r="Q2467" i="34"/>
  <c r="R2467" i="34"/>
  <c r="S2467" i="34"/>
  <c r="T2467" i="34"/>
  <c r="U2467" i="34"/>
  <c r="V2467" i="34"/>
  <c r="W2467" i="34"/>
  <c r="X2467" i="34"/>
  <c r="Y2467" i="34"/>
  <c r="N2468" i="34"/>
  <c r="C2468" i="34"/>
  <c r="B2468" i="34"/>
  <c r="O2468" i="34"/>
  <c r="P2468" i="34"/>
  <c r="Q2468" i="34"/>
  <c r="R2468" i="34"/>
  <c r="S2468" i="34"/>
  <c r="T2468" i="34"/>
  <c r="U2468" i="34"/>
  <c r="V2468" i="34"/>
  <c r="W2468" i="34"/>
  <c r="X2468" i="34"/>
  <c r="Y2468" i="34"/>
  <c r="N2469" i="34"/>
  <c r="C2469" i="34"/>
  <c r="B2469" i="34"/>
  <c r="O2469" i="34"/>
  <c r="P2469" i="34"/>
  <c r="Q2469" i="34"/>
  <c r="R2469" i="34"/>
  <c r="S2469" i="34"/>
  <c r="T2469" i="34"/>
  <c r="U2469" i="34"/>
  <c r="V2469" i="34"/>
  <c r="W2469" i="34"/>
  <c r="X2469" i="34"/>
  <c r="Y2469" i="34"/>
  <c r="N2470" i="34"/>
  <c r="C2470" i="34"/>
  <c r="B2470" i="34"/>
  <c r="O2470" i="34"/>
  <c r="P2470" i="34"/>
  <c r="Q2470" i="34"/>
  <c r="R2470" i="34"/>
  <c r="S2470" i="34"/>
  <c r="T2470" i="34"/>
  <c r="U2470" i="34"/>
  <c r="V2470" i="34"/>
  <c r="W2470" i="34"/>
  <c r="X2470" i="34"/>
  <c r="Y2470" i="34"/>
  <c r="N2471" i="34"/>
  <c r="C2471" i="34"/>
  <c r="B2471" i="34"/>
  <c r="O2471" i="34"/>
  <c r="P2471" i="34"/>
  <c r="Q2471" i="34"/>
  <c r="R2471" i="34"/>
  <c r="S2471" i="34"/>
  <c r="T2471" i="34"/>
  <c r="U2471" i="34"/>
  <c r="V2471" i="34"/>
  <c r="W2471" i="34"/>
  <c r="X2471" i="34"/>
  <c r="Y2471" i="34"/>
  <c r="N2472" i="34"/>
  <c r="C2472" i="34"/>
  <c r="B2472" i="34"/>
  <c r="O2472" i="34"/>
  <c r="P2472" i="34"/>
  <c r="Q2472" i="34"/>
  <c r="R2472" i="34"/>
  <c r="S2472" i="34"/>
  <c r="T2472" i="34"/>
  <c r="U2472" i="34"/>
  <c r="V2472" i="34"/>
  <c r="W2472" i="34"/>
  <c r="X2472" i="34"/>
  <c r="Y2472" i="34"/>
  <c r="N2473" i="34"/>
  <c r="C2473" i="34"/>
  <c r="B2473" i="34"/>
  <c r="O2473" i="34"/>
  <c r="P2473" i="34"/>
  <c r="Q2473" i="34"/>
  <c r="R2473" i="34"/>
  <c r="S2473" i="34"/>
  <c r="T2473" i="34"/>
  <c r="U2473" i="34"/>
  <c r="V2473" i="34"/>
  <c r="W2473" i="34"/>
  <c r="X2473" i="34"/>
  <c r="Y2473" i="34"/>
  <c r="N2474" i="34"/>
  <c r="C2474" i="34"/>
  <c r="B2474" i="34"/>
  <c r="O2474" i="34"/>
  <c r="P2474" i="34"/>
  <c r="Q2474" i="34"/>
  <c r="R2474" i="34"/>
  <c r="S2474" i="34"/>
  <c r="T2474" i="34"/>
  <c r="U2474" i="34"/>
  <c r="V2474" i="34"/>
  <c r="W2474" i="34"/>
  <c r="X2474" i="34"/>
  <c r="Y2474" i="34"/>
  <c r="N2475" i="34"/>
  <c r="C2475" i="34"/>
  <c r="B2475" i="34"/>
  <c r="O2475" i="34"/>
  <c r="P2475" i="34"/>
  <c r="Q2475" i="34"/>
  <c r="R2475" i="34"/>
  <c r="S2475" i="34"/>
  <c r="T2475" i="34"/>
  <c r="U2475" i="34"/>
  <c r="V2475" i="34"/>
  <c r="W2475" i="34"/>
  <c r="X2475" i="34"/>
  <c r="Y2475" i="34"/>
  <c r="N2476" i="34"/>
  <c r="C2476" i="34"/>
  <c r="B2476" i="34"/>
  <c r="O2476" i="34"/>
  <c r="P2476" i="34"/>
  <c r="Q2476" i="34"/>
  <c r="R2476" i="34"/>
  <c r="S2476" i="34"/>
  <c r="T2476" i="34"/>
  <c r="U2476" i="34"/>
  <c r="V2476" i="34"/>
  <c r="W2476" i="34"/>
  <c r="X2476" i="34"/>
  <c r="Y2476" i="34"/>
  <c r="N2477" i="34"/>
  <c r="C2477" i="34"/>
  <c r="B2477" i="34"/>
  <c r="O2477" i="34"/>
  <c r="P2477" i="34"/>
  <c r="Q2477" i="34"/>
  <c r="R2477" i="34"/>
  <c r="S2477" i="34"/>
  <c r="T2477" i="34"/>
  <c r="U2477" i="34"/>
  <c r="V2477" i="34"/>
  <c r="W2477" i="34"/>
  <c r="X2477" i="34"/>
  <c r="Y2477" i="34"/>
  <c r="N2478" i="34"/>
  <c r="C2478" i="34"/>
  <c r="B2478" i="34"/>
  <c r="O2478" i="34"/>
  <c r="P2478" i="34"/>
  <c r="Q2478" i="34"/>
  <c r="R2478" i="34"/>
  <c r="S2478" i="34"/>
  <c r="T2478" i="34"/>
  <c r="U2478" i="34"/>
  <c r="V2478" i="34"/>
  <c r="W2478" i="34"/>
  <c r="X2478" i="34"/>
  <c r="Y2478" i="34"/>
  <c r="N2479" i="34"/>
  <c r="C2479" i="34"/>
  <c r="B2479" i="34"/>
  <c r="O2479" i="34"/>
  <c r="P2479" i="34"/>
  <c r="Q2479" i="34"/>
  <c r="R2479" i="34"/>
  <c r="S2479" i="34"/>
  <c r="T2479" i="34"/>
  <c r="U2479" i="34"/>
  <c r="V2479" i="34"/>
  <c r="W2479" i="34"/>
  <c r="X2479" i="34"/>
  <c r="Y2479" i="34"/>
  <c r="N2480" i="34"/>
  <c r="C2480" i="34"/>
  <c r="B2480" i="34"/>
  <c r="O2480" i="34"/>
  <c r="P2480" i="34"/>
  <c r="Q2480" i="34"/>
  <c r="R2480" i="34"/>
  <c r="S2480" i="34"/>
  <c r="T2480" i="34"/>
  <c r="U2480" i="34"/>
  <c r="V2480" i="34"/>
  <c r="W2480" i="34"/>
  <c r="X2480" i="34"/>
  <c r="Y2480" i="34"/>
  <c r="N2481" i="34"/>
  <c r="C2481" i="34"/>
  <c r="B2481" i="34"/>
  <c r="O2481" i="34"/>
  <c r="P2481" i="34"/>
  <c r="Q2481" i="34"/>
  <c r="R2481" i="34"/>
  <c r="S2481" i="34"/>
  <c r="T2481" i="34"/>
  <c r="U2481" i="34"/>
  <c r="V2481" i="34"/>
  <c r="W2481" i="34"/>
  <c r="X2481" i="34"/>
  <c r="Y2481" i="34"/>
  <c r="N2482" i="34"/>
  <c r="C2482" i="34"/>
  <c r="B2482" i="34"/>
  <c r="O2482" i="34"/>
  <c r="P2482" i="34"/>
  <c r="Q2482" i="34"/>
  <c r="R2482" i="34"/>
  <c r="S2482" i="34"/>
  <c r="T2482" i="34"/>
  <c r="U2482" i="34"/>
  <c r="V2482" i="34"/>
  <c r="W2482" i="34"/>
  <c r="X2482" i="34"/>
  <c r="Y2482" i="34"/>
  <c r="N2483" i="34"/>
  <c r="C2483" i="34"/>
  <c r="B2483" i="34"/>
  <c r="O2483" i="34"/>
  <c r="P2483" i="34"/>
  <c r="Q2483" i="34"/>
  <c r="R2483" i="34"/>
  <c r="S2483" i="34"/>
  <c r="T2483" i="34"/>
  <c r="U2483" i="34"/>
  <c r="V2483" i="34"/>
  <c r="W2483" i="34"/>
  <c r="X2483" i="34"/>
  <c r="Y2483" i="34"/>
  <c r="N2484" i="34"/>
  <c r="C2484" i="34"/>
  <c r="B2484" i="34"/>
  <c r="O2484" i="34"/>
  <c r="P2484" i="34"/>
  <c r="Q2484" i="34"/>
  <c r="R2484" i="34"/>
  <c r="S2484" i="34"/>
  <c r="T2484" i="34"/>
  <c r="U2484" i="34"/>
  <c r="V2484" i="34"/>
  <c r="W2484" i="34"/>
  <c r="X2484" i="34"/>
  <c r="Y2484" i="34"/>
  <c r="N2485" i="34"/>
  <c r="C2485" i="34"/>
  <c r="B2485" i="34"/>
  <c r="O2485" i="34"/>
  <c r="P2485" i="34"/>
  <c r="Q2485" i="34"/>
  <c r="R2485" i="34"/>
  <c r="S2485" i="34"/>
  <c r="T2485" i="34"/>
  <c r="U2485" i="34"/>
  <c r="V2485" i="34"/>
  <c r="W2485" i="34"/>
  <c r="X2485" i="34"/>
  <c r="Y2485" i="34"/>
  <c r="N2486" i="34"/>
  <c r="C2486" i="34"/>
  <c r="B2486" i="34"/>
  <c r="O2486" i="34"/>
  <c r="P2486" i="34"/>
  <c r="Q2486" i="34"/>
  <c r="R2486" i="34"/>
  <c r="S2486" i="34"/>
  <c r="T2486" i="34"/>
  <c r="U2486" i="34"/>
  <c r="V2486" i="34"/>
  <c r="W2486" i="34"/>
  <c r="X2486" i="34"/>
  <c r="Y2486" i="34"/>
  <c r="N2487" i="34"/>
  <c r="C2487" i="34"/>
  <c r="B2487" i="34"/>
  <c r="O2487" i="34"/>
  <c r="P2487" i="34"/>
  <c r="Q2487" i="34"/>
  <c r="R2487" i="34"/>
  <c r="S2487" i="34"/>
  <c r="T2487" i="34"/>
  <c r="U2487" i="34"/>
  <c r="V2487" i="34"/>
  <c r="W2487" i="34"/>
  <c r="X2487" i="34"/>
  <c r="Y2487" i="34"/>
  <c r="N2488" i="34"/>
  <c r="C2488" i="34"/>
  <c r="B2488" i="34"/>
  <c r="O2488" i="34"/>
  <c r="P2488" i="34"/>
  <c r="Q2488" i="34"/>
  <c r="R2488" i="34"/>
  <c r="S2488" i="34"/>
  <c r="T2488" i="34"/>
  <c r="U2488" i="34"/>
  <c r="V2488" i="34"/>
  <c r="W2488" i="34"/>
  <c r="X2488" i="34"/>
  <c r="Y2488" i="34"/>
  <c r="N2489" i="34"/>
  <c r="B2489" i="34"/>
  <c r="O2489" i="34"/>
  <c r="P2489" i="34"/>
  <c r="Q2489" i="34"/>
  <c r="R2489" i="34"/>
  <c r="S2489" i="34"/>
  <c r="T2489" i="34"/>
  <c r="U2489" i="34"/>
  <c r="V2489" i="34"/>
  <c r="W2489" i="34"/>
  <c r="X2489" i="34"/>
  <c r="Y2489" i="34"/>
  <c r="N2490" i="34"/>
  <c r="B2490" i="34"/>
  <c r="O2490" i="34"/>
  <c r="P2490" i="34"/>
  <c r="Q2490" i="34"/>
  <c r="R2490" i="34"/>
  <c r="S2490" i="34"/>
  <c r="T2490" i="34"/>
  <c r="U2490" i="34"/>
  <c r="V2490" i="34"/>
  <c r="W2490" i="34"/>
  <c r="X2490" i="34"/>
  <c r="Y2490" i="34"/>
  <c r="N2491" i="34"/>
  <c r="B2491" i="34"/>
  <c r="O2491" i="34"/>
  <c r="P2491" i="34"/>
  <c r="Q2491" i="34"/>
  <c r="R2491" i="34"/>
  <c r="S2491" i="34"/>
  <c r="T2491" i="34"/>
  <c r="U2491" i="34"/>
  <c r="V2491" i="34"/>
  <c r="W2491" i="34"/>
  <c r="X2491" i="34"/>
  <c r="Y2491" i="34"/>
  <c r="N2492" i="34"/>
  <c r="B2492" i="34"/>
  <c r="O2492" i="34"/>
  <c r="P2492" i="34"/>
  <c r="Q2492" i="34"/>
  <c r="R2492" i="34"/>
  <c r="S2492" i="34"/>
  <c r="T2492" i="34"/>
  <c r="U2492" i="34"/>
  <c r="V2492" i="34"/>
  <c r="W2492" i="34"/>
  <c r="X2492" i="34"/>
  <c r="Y2492" i="34"/>
  <c r="N2493" i="34"/>
  <c r="B2493" i="34"/>
  <c r="O2493" i="34"/>
  <c r="P2493" i="34"/>
  <c r="Q2493" i="34"/>
  <c r="R2493" i="34"/>
  <c r="S2493" i="34"/>
  <c r="T2493" i="34"/>
  <c r="U2493" i="34"/>
  <c r="V2493" i="34"/>
  <c r="W2493" i="34"/>
  <c r="X2493" i="34"/>
  <c r="Y2493" i="34"/>
  <c r="N2494" i="34"/>
  <c r="C2494" i="34"/>
  <c r="B2494" i="34"/>
  <c r="O2494" i="34"/>
  <c r="P2494" i="34"/>
  <c r="Q2494" i="34"/>
  <c r="R2494" i="34"/>
  <c r="S2494" i="34"/>
  <c r="T2494" i="34"/>
  <c r="U2494" i="34"/>
  <c r="V2494" i="34"/>
  <c r="W2494" i="34"/>
  <c r="X2494" i="34"/>
  <c r="Y2494" i="34"/>
  <c r="N2495" i="34"/>
  <c r="C2495" i="34"/>
  <c r="B2495" i="34"/>
  <c r="O2495" i="34"/>
  <c r="P2495" i="34"/>
  <c r="Q2495" i="34"/>
  <c r="R2495" i="34"/>
  <c r="S2495" i="34"/>
  <c r="T2495" i="34"/>
  <c r="U2495" i="34"/>
  <c r="V2495" i="34"/>
  <c r="W2495" i="34"/>
  <c r="X2495" i="34"/>
  <c r="Y2495" i="34"/>
  <c r="N2496" i="34"/>
  <c r="C2496" i="34"/>
  <c r="B2496" i="34"/>
  <c r="O2496" i="34"/>
  <c r="P2496" i="34"/>
  <c r="Q2496" i="34"/>
  <c r="R2496" i="34"/>
  <c r="S2496" i="34"/>
  <c r="T2496" i="34"/>
  <c r="U2496" i="34"/>
  <c r="V2496" i="34"/>
  <c r="W2496" i="34"/>
  <c r="X2496" i="34"/>
  <c r="Y2496" i="34"/>
  <c r="N2497" i="34"/>
  <c r="C2497" i="34"/>
  <c r="B2497" i="34"/>
  <c r="O2497" i="34"/>
  <c r="P2497" i="34"/>
  <c r="Q2497" i="34"/>
  <c r="R2497" i="34"/>
  <c r="S2497" i="34"/>
  <c r="T2497" i="34"/>
  <c r="U2497" i="34"/>
  <c r="V2497" i="34"/>
  <c r="W2497" i="34"/>
  <c r="X2497" i="34"/>
  <c r="Y2497" i="34"/>
  <c r="N2498" i="34"/>
  <c r="C2498" i="34"/>
  <c r="B2498" i="34"/>
  <c r="O2498" i="34"/>
  <c r="P2498" i="34"/>
  <c r="Q2498" i="34"/>
  <c r="R2498" i="34"/>
  <c r="S2498" i="34"/>
  <c r="T2498" i="34"/>
  <c r="U2498" i="34"/>
  <c r="V2498" i="34"/>
  <c r="W2498" i="34"/>
  <c r="X2498" i="34"/>
  <c r="Y2498" i="34"/>
  <c r="N2499" i="34"/>
  <c r="C2499" i="34"/>
  <c r="B2499" i="34"/>
  <c r="O2499" i="34"/>
  <c r="P2499" i="34"/>
  <c r="Q2499" i="34"/>
  <c r="R2499" i="34"/>
  <c r="S2499" i="34"/>
  <c r="T2499" i="34"/>
  <c r="U2499" i="34"/>
  <c r="V2499" i="34"/>
  <c r="W2499" i="34"/>
  <c r="X2499" i="34"/>
  <c r="Y2499" i="34"/>
  <c r="N2500" i="34"/>
  <c r="B2500" i="34"/>
  <c r="O2500" i="34"/>
  <c r="P2500" i="34"/>
  <c r="Q2500" i="34"/>
  <c r="R2500" i="34"/>
  <c r="S2500" i="34"/>
  <c r="T2500" i="34"/>
  <c r="U2500" i="34"/>
  <c r="V2500" i="34"/>
  <c r="W2500" i="34"/>
  <c r="X2500" i="34"/>
  <c r="Y2500" i="34"/>
  <c r="N2501" i="34"/>
  <c r="B2501" i="34"/>
  <c r="O2501" i="34"/>
  <c r="P2501" i="34"/>
  <c r="Q2501" i="34"/>
  <c r="R2501" i="34"/>
  <c r="S2501" i="34"/>
  <c r="T2501" i="34"/>
  <c r="U2501" i="34"/>
  <c r="V2501" i="34"/>
  <c r="W2501" i="34"/>
  <c r="X2501" i="34"/>
  <c r="Y2501" i="34"/>
  <c r="N2502" i="34"/>
  <c r="B2502" i="34"/>
  <c r="O2502" i="34"/>
  <c r="P2502" i="34"/>
  <c r="Q2502" i="34"/>
  <c r="R2502" i="34"/>
  <c r="S2502" i="34"/>
  <c r="T2502" i="34"/>
  <c r="U2502" i="34"/>
  <c r="V2502" i="34"/>
  <c r="W2502" i="34"/>
  <c r="X2502" i="34"/>
  <c r="Y2502" i="34"/>
  <c r="N2503" i="34"/>
  <c r="B2503" i="34"/>
  <c r="O2503" i="34"/>
  <c r="P2503" i="34"/>
  <c r="Q2503" i="34"/>
  <c r="R2503" i="34"/>
  <c r="S2503" i="34"/>
  <c r="T2503" i="34"/>
  <c r="U2503" i="34"/>
  <c r="V2503" i="34"/>
  <c r="W2503" i="34"/>
  <c r="X2503" i="34"/>
  <c r="Y2503" i="34"/>
  <c r="N2504" i="34"/>
  <c r="B2504" i="34"/>
  <c r="O2504" i="34"/>
  <c r="P2504" i="34"/>
  <c r="Q2504" i="34"/>
  <c r="R2504" i="34"/>
  <c r="S2504" i="34"/>
  <c r="T2504" i="34"/>
  <c r="U2504" i="34"/>
  <c r="V2504" i="34"/>
  <c r="W2504" i="34"/>
  <c r="X2504" i="34"/>
  <c r="Y2504" i="34"/>
  <c r="N2505" i="34"/>
  <c r="B2505" i="34"/>
  <c r="O2505" i="34"/>
  <c r="P2505" i="34"/>
  <c r="Q2505" i="34"/>
  <c r="R2505" i="34"/>
  <c r="S2505" i="34"/>
  <c r="T2505" i="34"/>
  <c r="U2505" i="34"/>
  <c r="V2505" i="34"/>
  <c r="W2505" i="34"/>
  <c r="X2505" i="34"/>
  <c r="Y2505" i="34"/>
  <c r="N2506" i="34"/>
  <c r="B2506" i="34"/>
  <c r="O2506" i="34"/>
  <c r="P2506" i="34"/>
  <c r="Q2506" i="34"/>
  <c r="R2506" i="34"/>
  <c r="S2506" i="34"/>
  <c r="T2506" i="34"/>
  <c r="U2506" i="34"/>
  <c r="V2506" i="34"/>
  <c r="W2506" i="34"/>
  <c r="X2506" i="34"/>
  <c r="Y2506" i="34"/>
  <c r="N2507" i="34"/>
  <c r="B2507" i="34"/>
  <c r="O2507" i="34"/>
  <c r="P2507" i="34"/>
  <c r="Q2507" i="34"/>
  <c r="R2507" i="34"/>
  <c r="S2507" i="34"/>
  <c r="T2507" i="34"/>
  <c r="U2507" i="34"/>
  <c r="V2507" i="34"/>
  <c r="W2507" i="34"/>
  <c r="X2507" i="34"/>
  <c r="Y2507" i="34"/>
  <c r="N2508" i="34"/>
  <c r="B2508" i="34"/>
  <c r="O2508" i="34"/>
  <c r="P2508" i="34"/>
  <c r="Q2508" i="34"/>
  <c r="R2508" i="34"/>
  <c r="S2508" i="34"/>
  <c r="T2508" i="34"/>
  <c r="U2508" i="34"/>
  <c r="V2508" i="34"/>
  <c r="W2508" i="34"/>
  <c r="X2508" i="34"/>
  <c r="Y2508" i="34"/>
  <c r="N2509" i="34"/>
  <c r="B2509" i="34"/>
  <c r="O2509" i="34"/>
  <c r="P2509" i="34"/>
  <c r="Q2509" i="34"/>
  <c r="R2509" i="34"/>
  <c r="S2509" i="34"/>
  <c r="T2509" i="34"/>
  <c r="U2509" i="34"/>
  <c r="V2509" i="34"/>
  <c r="W2509" i="34"/>
  <c r="X2509" i="34"/>
  <c r="Y2509" i="34"/>
  <c r="N2510" i="34"/>
  <c r="B2510" i="34"/>
  <c r="O2510" i="34"/>
  <c r="P2510" i="34"/>
  <c r="Q2510" i="34"/>
  <c r="R2510" i="34"/>
  <c r="S2510" i="34"/>
  <c r="T2510" i="34"/>
  <c r="U2510" i="34"/>
  <c r="V2510" i="34"/>
  <c r="W2510" i="34"/>
  <c r="X2510" i="34"/>
  <c r="Y2510" i="34"/>
  <c r="N2511" i="34"/>
  <c r="B2511" i="34"/>
  <c r="O2511" i="34"/>
  <c r="P2511" i="34"/>
  <c r="Q2511" i="34"/>
  <c r="R2511" i="34"/>
  <c r="S2511" i="34"/>
  <c r="T2511" i="34"/>
  <c r="U2511" i="34"/>
  <c r="V2511" i="34"/>
  <c r="W2511" i="34"/>
  <c r="X2511" i="34"/>
  <c r="Y2511" i="34"/>
  <c r="N2512" i="34"/>
  <c r="B2512" i="34"/>
  <c r="O2512" i="34"/>
  <c r="P2512" i="34"/>
  <c r="Q2512" i="34"/>
  <c r="R2512" i="34"/>
  <c r="S2512" i="34"/>
  <c r="T2512" i="34"/>
  <c r="U2512" i="34"/>
  <c r="V2512" i="34"/>
  <c r="W2512" i="34"/>
  <c r="X2512" i="34"/>
  <c r="Y2512" i="34"/>
  <c r="N2513" i="34"/>
  <c r="B2513" i="34"/>
  <c r="O2513" i="34"/>
  <c r="P2513" i="34"/>
  <c r="Q2513" i="34"/>
  <c r="R2513" i="34"/>
  <c r="S2513" i="34"/>
  <c r="T2513" i="34"/>
  <c r="U2513" i="34"/>
  <c r="V2513" i="34"/>
  <c r="W2513" i="34"/>
  <c r="X2513" i="34"/>
  <c r="Y2513" i="34"/>
  <c r="N2514" i="34"/>
  <c r="B2514" i="34"/>
  <c r="O2514" i="34"/>
  <c r="P2514" i="34"/>
  <c r="Q2514" i="34"/>
  <c r="R2514" i="34"/>
  <c r="S2514" i="34"/>
  <c r="T2514" i="34"/>
  <c r="U2514" i="34"/>
  <c r="V2514" i="34"/>
  <c r="W2514" i="34"/>
  <c r="X2514" i="34"/>
  <c r="Y2514" i="34"/>
  <c r="N2515" i="34"/>
  <c r="B2515" i="34"/>
  <c r="O2515" i="34"/>
  <c r="P2515" i="34"/>
  <c r="Q2515" i="34"/>
  <c r="R2515" i="34"/>
  <c r="S2515" i="34"/>
  <c r="T2515" i="34"/>
  <c r="U2515" i="34"/>
  <c r="V2515" i="34"/>
  <c r="W2515" i="34"/>
  <c r="X2515" i="34"/>
  <c r="Y2515" i="34"/>
  <c r="N2516" i="34"/>
  <c r="B2516" i="34"/>
  <c r="O2516" i="34"/>
  <c r="P2516" i="34"/>
  <c r="Q2516" i="34"/>
  <c r="R2516" i="34"/>
  <c r="S2516" i="34"/>
  <c r="T2516" i="34"/>
  <c r="U2516" i="34"/>
  <c r="V2516" i="34"/>
  <c r="W2516" i="34"/>
  <c r="X2516" i="34"/>
  <c r="Y2516" i="34"/>
  <c r="N2517" i="34"/>
  <c r="B2517" i="34"/>
  <c r="O2517" i="34"/>
  <c r="P2517" i="34"/>
  <c r="Q2517" i="34"/>
  <c r="R2517" i="34"/>
  <c r="S2517" i="34"/>
  <c r="T2517" i="34"/>
  <c r="U2517" i="34"/>
  <c r="V2517" i="34"/>
  <c r="W2517" i="34"/>
  <c r="X2517" i="34"/>
  <c r="Y2517" i="34"/>
  <c r="N2518" i="34"/>
  <c r="B2518" i="34"/>
  <c r="O2518" i="34"/>
  <c r="P2518" i="34"/>
  <c r="Q2518" i="34"/>
  <c r="R2518" i="34"/>
  <c r="S2518" i="34"/>
  <c r="T2518" i="34"/>
  <c r="U2518" i="34"/>
  <c r="V2518" i="34"/>
  <c r="W2518" i="34"/>
  <c r="X2518" i="34"/>
  <c r="Y2518" i="34"/>
  <c r="N2519" i="34"/>
  <c r="B2519" i="34"/>
  <c r="O2519" i="34"/>
  <c r="P2519" i="34"/>
  <c r="Q2519" i="34"/>
  <c r="R2519" i="34"/>
  <c r="S2519" i="34"/>
  <c r="T2519" i="34"/>
  <c r="U2519" i="34"/>
  <c r="V2519" i="34"/>
  <c r="W2519" i="34"/>
  <c r="X2519" i="34"/>
  <c r="Y2519" i="34"/>
  <c r="N2520" i="34"/>
  <c r="B2520" i="34"/>
  <c r="O2520" i="34"/>
  <c r="P2520" i="34"/>
  <c r="Q2520" i="34"/>
  <c r="R2520" i="34"/>
  <c r="S2520" i="34"/>
  <c r="T2520" i="34"/>
  <c r="U2520" i="34"/>
  <c r="V2520" i="34"/>
  <c r="W2520" i="34"/>
  <c r="X2520" i="34"/>
  <c r="Y2520" i="34"/>
  <c r="N2521" i="34"/>
  <c r="B2521" i="34"/>
  <c r="O2521" i="34"/>
  <c r="P2521" i="34"/>
  <c r="Q2521" i="34"/>
  <c r="R2521" i="34"/>
  <c r="S2521" i="34"/>
  <c r="T2521" i="34"/>
  <c r="U2521" i="34"/>
  <c r="V2521" i="34"/>
  <c r="W2521" i="34"/>
  <c r="X2521" i="34"/>
  <c r="Y2521" i="34"/>
  <c r="N2522" i="34"/>
  <c r="B2522" i="34"/>
  <c r="O2522" i="34"/>
  <c r="P2522" i="34"/>
  <c r="Q2522" i="34"/>
  <c r="R2522" i="34"/>
  <c r="S2522" i="34"/>
  <c r="T2522" i="34"/>
  <c r="U2522" i="34"/>
  <c r="V2522" i="34"/>
  <c r="W2522" i="34"/>
  <c r="X2522" i="34"/>
  <c r="Y2522" i="34"/>
  <c r="N2523" i="34"/>
  <c r="B2523" i="34"/>
  <c r="O2523" i="34"/>
  <c r="P2523" i="34"/>
  <c r="Q2523" i="34"/>
  <c r="R2523" i="34"/>
  <c r="S2523" i="34"/>
  <c r="T2523" i="34"/>
  <c r="U2523" i="34"/>
  <c r="V2523" i="34"/>
  <c r="W2523" i="34"/>
  <c r="X2523" i="34"/>
  <c r="Y2523" i="34"/>
  <c r="N2524" i="34"/>
  <c r="B2524" i="34"/>
  <c r="O2524" i="34"/>
  <c r="P2524" i="34"/>
  <c r="Q2524" i="34"/>
  <c r="R2524" i="34"/>
  <c r="S2524" i="34"/>
  <c r="T2524" i="34"/>
  <c r="U2524" i="34"/>
  <c r="V2524" i="34"/>
  <c r="W2524" i="34"/>
  <c r="X2524" i="34"/>
  <c r="Y2524" i="34"/>
  <c r="N2525" i="34"/>
  <c r="B2525" i="34"/>
  <c r="O2525" i="34"/>
  <c r="P2525" i="34"/>
  <c r="Q2525" i="34"/>
  <c r="R2525" i="34"/>
  <c r="S2525" i="34"/>
  <c r="T2525" i="34"/>
  <c r="U2525" i="34"/>
  <c r="V2525" i="34"/>
  <c r="W2525" i="34"/>
  <c r="X2525" i="34"/>
  <c r="Y2525" i="34"/>
  <c r="N2526" i="34"/>
  <c r="B2526" i="34"/>
  <c r="O2526" i="34"/>
  <c r="P2526" i="34"/>
  <c r="Q2526" i="34"/>
  <c r="R2526" i="34"/>
  <c r="S2526" i="34"/>
  <c r="T2526" i="34"/>
  <c r="U2526" i="34"/>
  <c r="V2526" i="34"/>
  <c r="W2526" i="34"/>
  <c r="X2526" i="34"/>
  <c r="Y2526" i="34"/>
  <c r="N2527" i="34"/>
  <c r="B2527" i="34"/>
  <c r="O2527" i="34"/>
  <c r="P2527" i="34"/>
  <c r="Q2527" i="34"/>
  <c r="R2527" i="34"/>
  <c r="S2527" i="34"/>
  <c r="T2527" i="34"/>
  <c r="U2527" i="34"/>
  <c r="V2527" i="34"/>
  <c r="W2527" i="34"/>
  <c r="X2527" i="34"/>
  <c r="Y2527" i="34"/>
  <c r="N2528" i="34"/>
  <c r="B2528" i="34"/>
  <c r="O2528" i="34"/>
  <c r="P2528" i="34"/>
  <c r="Q2528" i="34"/>
  <c r="R2528" i="34"/>
  <c r="S2528" i="34"/>
  <c r="T2528" i="34"/>
  <c r="U2528" i="34"/>
  <c r="V2528" i="34"/>
  <c r="W2528" i="34"/>
  <c r="X2528" i="34"/>
  <c r="Y2528" i="34"/>
  <c r="N2529" i="34"/>
  <c r="B2529" i="34"/>
  <c r="O2529" i="34"/>
  <c r="P2529" i="34"/>
  <c r="Q2529" i="34"/>
  <c r="R2529" i="34"/>
  <c r="S2529" i="34"/>
  <c r="T2529" i="34"/>
  <c r="U2529" i="34"/>
  <c r="V2529" i="34"/>
  <c r="W2529" i="34"/>
  <c r="X2529" i="34"/>
  <c r="Y2529" i="34"/>
  <c r="N2530" i="34"/>
  <c r="B2530" i="34"/>
  <c r="O2530" i="34"/>
  <c r="P2530" i="34"/>
  <c r="Q2530" i="34"/>
  <c r="R2530" i="34"/>
  <c r="S2530" i="34"/>
  <c r="T2530" i="34"/>
  <c r="U2530" i="34"/>
  <c r="V2530" i="34"/>
  <c r="W2530" i="34"/>
  <c r="X2530" i="34"/>
  <c r="Y2530" i="34"/>
  <c r="N2531" i="34"/>
  <c r="B2531" i="34"/>
  <c r="O2531" i="34"/>
  <c r="P2531" i="34"/>
  <c r="Q2531" i="34"/>
  <c r="R2531" i="34"/>
  <c r="S2531" i="34"/>
  <c r="T2531" i="34"/>
  <c r="U2531" i="34"/>
  <c r="V2531" i="34"/>
  <c r="W2531" i="34"/>
  <c r="X2531" i="34"/>
  <c r="Y2531" i="34"/>
  <c r="N2532" i="34"/>
  <c r="B2532" i="34"/>
  <c r="O2532" i="34"/>
  <c r="P2532" i="34"/>
  <c r="Q2532" i="34"/>
  <c r="R2532" i="34"/>
  <c r="S2532" i="34"/>
  <c r="T2532" i="34"/>
  <c r="U2532" i="34"/>
  <c r="V2532" i="34"/>
  <c r="W2532" i="34"/>
  <c r="X2532" i="34"/>
  <c r="Y2532" i="34"/>
  <c r="N2533" i="34"/>
  <c r="B2533" i="34"/>
  <c r="O2533" i="34"/>
  <c r="P2533" i="34"/>
  <c r="Q2533" i="34"/>
  <c r="R2533" i="34"/>
  <c r="S2533" i="34"/>
  <c r="T2533" i="34"/>
  <c r="U2533" i="34"/>
  <c r="V2533" i="34"/>
  <c r="W2533" i="34"/>
  <c r="X2533" i="34"/>
  <c r="Y2533" i="34"/>
  <c r="N2534" i="34"/>
  <c r="B2534" i="34"/>
  <c r="O2534" i="34"/>
  <c r="P2534" i="34"/>
  <c r="Q2534" i="34"/>
  <c r="R2534" i="34"/>
  <c r="S2534" i="34"/>
  <c r="T2534" i="34"/>
  <c r="U2534" i="34"/>
  <c r="V2534" i="34"/>
  <c r="W2534" i="34"/>
  <c r="X2534" i="34"/>
  <c r="Y2534" i="34"/>
  <c r="N2535" i="34"/>
  <c r="C2535" i="34"/>
  <c r="B2535" i="34"/>
  <c r="O2535" i="34"/>
  <c r="P2535" i="34"/>
  <c r="Q2535" i="34"/>
  <c r="R2535" i="34"/>
  <c r="S2535" i="34"/>
  <c r="T2535" i="34"/>
  <c r="U2535" i="34"/>
  <c r="V2535" i="34"/>
  <c r="W2535" i="34"/>
  <c r="X2535" i="34"/>
  <c r="Y2535" i="34"/>
  <c r="N2536" i="34"/>
  <c r="C2536" i="34"/>
  <c r="B2536" i="34"/>
  <c r="O2536" i="34"/>
  <c r="P2536" i="34"/>
  <c r="Q2536" i="34"/>
  <c r="R2536" i="34"/>
  <c r="S2536" i="34"/>
  <c r="T2536" i="34"/>
  <c r="U2536" i="34"/>
  <c r="V2536" i="34"/>
  <c r="W2536" i="34"/>
  <c r="X2536" i="34"/>
  <c r="Y2536" i="34"/>
  <c r="N2537" i="34"/>
  <c r="C2537" i="34"/>
  <c r="B2537" i="34"/>
  <c r="O2537" i="34"/>
  <c r="P2537" i="34"/>
  <c r="Q2537" i="34"/>
  <c r="R2537" i="34"/>
  <c r="S2537" i="34"/>
  <c r="T2537" i="34"/>
  <c r="U2537" i="34"/>
  <c r="V2537" i="34"/>
  <c r="W2537" i="34"/>
  <c r="X2537" i="34"/>
  <c r="Y2537" i="34"/>
  <c r="N2538" i="34"/>
  <c r="C2538" i="34"/>
  <c r="B2538" i="34"/>
  <c r="O2538" i="34"/>
  <c r="P2538" i="34"/>
  <c r="Q2538" i="34"/>
  <c r="R2538" i="34"/>
  <c r="S2538" i="34"/>
  <c r="T2538" i="34"/>
  <c r="U2538" i="34"/>
  <c r="V2538" i="34"/>
  <c r="W2538" i="34"/>
  <c r="X2538" i="34"/>
  <c r="Y2538" i="34"/>
  <c r="N2539" i="34"/>
  <c r="C2539" i="34"/>
  <c r="B2539" i="34"/>
  <c r="O2539" i="34"/>
  <c r="P2539" i="34"/>
  <c r="Q2539" i="34"/>
  <c r="R2539" i="34"/>
  <c r="S2539" i="34"/>
  <c r="T2539" i="34"/>
  <c r="U2539" i="34"/>
  <c r="V2539" i="34"/>
  <c r="W2539" i="34"/>
  <c r="X2539" i="34"/>
  <c r="Y2539" i="34"/>
  <c r="N2540" i="34"/>
  <c r="C2540" i="34"/>
  <c r="B2540" i="34"/>
  <c r="O2540" i="34"/>
  <c r="P2540" i="34"/>
  <c r="Q2540" i="34"/>
  <c r="R2540" i="34"/>
  <c r="S2540" i="34"/>
  <c r="T2540" i="34"/>
  <c r="U2540" i="34"/>
  <c r="V2540" i="34"/>
  <c r="W2540" i="34"/>
  <c r="X2540" i="34"/>
  <c r="Y2540" i="34"/>
  <c r="N2541" i="34"/>
  <c r="C2541" i="34"/>
  <c r="B2541" i="34"/>
  <c r="O2541" i="34"/>
  <c r="P2541" i="34"/>
  <c r="Q2541" i="34"/>
  <c r="R2541" i="34"/>
  <c r="S2541" i="34"/>
  <c r="T2541" i="34"/>
  <c r="U2541" i="34"/>
  <c r="V2541" i="34"/>
  <c r="W2541" i="34"/>
  <c r="X2541" i="34"/>
  <c r="Y2541" i="34"/>
  <c r="N2542" i="34"/>
  <c r="C2542" i="34"/>
  <c r="B2542" i="34"/>
  <c r="O2542" i="34"/>
  <c r="P2542" i="34"/>
  <c r="Q2542" i="34"/>
  <c r="R2542" i="34"/>
  <c r="S2542" i="34"/>
  <c r="T2542" i="34"/>
  <c r="U2542" i="34"/>
  <c r="V2542" i="34"/>
  <c r="W2542" i="34"/>
  <c r="X2542" i="34"/>
  <c r="Y2542" i="34"/>
  <c r="N2543" i="34"/>
  <c r="C2543" i="34"/>
  <c r="B2543" i="34"/>
  <c r="O2543" i="34"/>
  <c r="P2543" i="34"/>
  <c r="Q2543" i="34"/>
  <c r="R2543" i="34"/>
  <c r="S2543" i="34"/>
  <c r="T2543" i="34"/>
  <c r="U2543" i="34"/>
  <c r="V2543" i="34"/>
  <c r="W2543" i="34"/>
  <c r="X2543" i="34"/>
  <c r="Y2543" i="34"/>
  <c r="N2544" i="34"/>
  <c r="C2544" i="34"/>
  <c r="B2544" i="34"/>
  <c r="O2544" i="34"/>
  <c r="P2544" i="34"/>
  <c r="Q2544" i="34"/>
  <c r="R2544" i="34"/>
  <c r="S2544" i="34"/>
  <c r="T2544" i="34"/>
  <c r="U2544" i="34"/>
  <c r="V2544" i="34"/>
  <c r="W2544" i="34"/>
  <c r="X2544" i="34"/>
  <c r="Y2544" i="34"/>
  <c r="N2545" i="34"/>
  <c r="C2545" i="34"/>
  <c r="B2545" i="34"/>
  <c r="O2545" i="34"/>
  <c r="P2545" i="34"/>
  <c r="Q2545" i="34"/>
  <c r="R2545" i="34"/>
  <c r="S2545" i="34"/>
  <c r="T2545" i="34"/>
  <c r="U2545" i="34"/>
  <c r="V2545" i="34"/>
  <c r="W2545" i="34"/>
  <c r="X2545" i="34"/>
  <c r="Y2545" i="34"/>
  <c r="N2546" i="34"/>
  <c r="C2546" i="34"/>
  <c r="B2546" i="34"/>
  <c r="O2546" i="34"/>
  <c r="P2546" i="34"/>
  <c r="Q2546" i="34"/>
  <c r="R2546" i="34"/>
  <c r="S2546" i="34"/>
  <c r="T2546" i="34"/>
  <c r="U2546" i="34"/>
  <c r="V2546" i="34"/>
  <c r="W2546" i="34"/>
  <c r="X2546" i="34"/>
  <c r="Y2546" i="34"/>
  <c r="N2547" i="34"/>
  <c r="C2547" i="34"/>
  <c r="B2547" i="34"/>
  <c r="O2547" i="34"/>
  <c r="P2547" i="34"/>
  <c r="Q2547" i="34"/>
  <c r="R2547" i="34"/>
  <c r="S2547" i="34"/>
  <c r="T2547" i="34"/>
  <c r="U2547" i="34"/>
  <c r="V2547" i="34"/>
  <c r="W2547" i="34"/>
  <c r="X2547" i="34"/>
  <c r="Y2547" i="34"/>
  <c r="N2548" i="34"/>
  <c r="C2548" i="34"/>
  <c r="B2548" i="34"/>
  <c r="O2548" i="34"/>
  <c r="P2548" i="34"/>
  <c r="Q2548" i="34"/>
  <c r="R2548" i="34"/>
  <c r="S2548" i="34"/>
  <c r="T2548" i="34"/>
  <c r="U2548" i="34"/>
  <c r="V2548" i="34"/>
  <c r="W2548" i="34"/>
  <c r="X2548" i="34"/>
  <c r="Y2548" i="34"/>
  <c r="N2549" i="34"/>
  <c r="C2549" i="34"/>
  <c r="B2549" i="34"/>
  <c r="O2549" i="34"/>
  <c r="P2549" i="34"/>
  <c r="Q2549" i="34"/>
  <c r="R2549" i="34"/>
  <c r="S2549" i="34"/>
  <c r="T2549" i="34"/>
  <c r="U2549" i="34"/>
  <c r="V2549" i="34"/>
  <c r="W2549" i="34"/>
  <c r="X2549" i="34"/>
  <c r="Y2549" i="34"/>
  <c r="N2550" i="34"/>
  <c r="C2550" i="34"/>
  <c r="B2550" i="34"/>
  <c r="O2550" i="34"/>
  <c r="P2550" i="34"/>
  <c r="Q2550" i="34"/>
  <c r="R2550" i="34"/>
  <c r="S2550" i="34"/>
  <c r="T2550" i="34"/>
  <c r="U2550" i="34"/>
  <c r="V2550" i="34"/>
  <c r="W2550" i="34"/>
  <c r="X2550" i="34"/>
  <c r="Y2550" i="34"/>
  <c r="N2551" i="34"/>
  <c r="C2551" i="34"/>
  <c r="B2551" i="34"/>
  <c r="O2551" i="34"/>
  <c r="P2551" i="34"/>
  <c r="Q2551" i="34"/>
  <c r="R2551" i="34"/>
  <c r="S2551" i="34"/>
  <c r="T2551" i="34"/>
  <c r="U2551" i="34"/>
  <c r="V2551" i="34"/>
  <c r="W2551" i="34"/>
  <c r="X2551" i="34"/>
  <c r="Y2551" i="34"/>
  <c r="N2552" i="34"/>
  <c r="C2552" i="34"/>
  <c r="B2552" i="34"/>
  <c r="O2552" i="34"/>
  <c r="P2552" i="34"/>
  <c r="Q2552" i="34"/>
  <c r="R2552" i="34"/>
  <c r="S2552" i="34"/>
  <c r="T2552" i="34"/>
  <c r="U2552" i="34"/>
  <c r="V2552" i="34"/>
  <c r="W2552" i="34"/>
  <c r="X2552" i="34"/>
  <c r="Y2552" i="34"/>
  <c r="N2553" i="34"/>
  <c r="C2553" i="34"/>
  <c r="B2553" i="34"/>
  <c r="O2553" i="34"/>
  <c r="P2553" i="34"/>
  <c r="Q2553" i="34"/>
  <c r="R2553" i="34"/>
  <c r="S2553" i="34"/>
  <c r="T2553" i="34"/>
  <c r="U2553" i="34"/>
  <c r="V2553" i="34"/>
  <c r="W2553" i="34"/>
  <c r="X2553" i="34"/>
  <c r="Y2553" i="34"/>
  <c r="N2554" i="34"/>
  <c r="C2554" i="34"/>
  <c r="B2554" i="34"/>
  <c r="O2554" i="34"/>
  <c r="P2554" i="34"/>
  <c r="Q2554" i="34"/>
  <c r="R2554" i="34"/>
  <c r="S2554" i="34"/>
  <c r="T2554" i="34"/>
  <c r="U2554" i="34"/>
  <c r="V2554" i="34"/>
  <c r="W2554" i="34"/>
  <c r="X2554" i="34"/>
  <c r="Y2554" i="34"/>
  <c r="N2555" i="34"/>
  <c r="C2555" i="34"/>
  <c r="B2555" i="34"/>
  <c r="O2555" i="34"/>
  <c r="P2555" i="34"/>
  <c r="Q2555" i="34"/>
  <c r="R2555" i="34"/>
  <c r="S2555" i="34"/>
  <c r="T2555" i="34"/>
  <c r="U2555" i="34"/>
  <c r="V2555" i="34"/>
  <c r="W2555" i="34"/>
  <c r="X2555" i="34"/>
  <c r="Y2555" i="34"/>
  <c r="N2556" i="34"/>
  <c r="C2556" i="34"/>
  <c r="B2556" i="34"/>
  <c r="O2556" i="34"/>
  <c r="P2556" i="34"/>
  <c r="Q2556" i="34"/>
  <c r="R2556" i="34"/>
  <c r="S2556" i="34"/>
  <c r="T2556" i="34"/>
  <c r="U2556" i="34"/>
  <c r="V2556" i="34"/>
  <c r="W2556" i="34"/>
  <c r="X2556" i="34"/>
  <c r="Y2556" i="34"/>
  <c r="N2557" i="34"/>
  <c r="C2557" i="34"/>
  <c r="B2557" i="34"/>
  <c r="O2557" i="34"/>
  <c r="P2557" i="34"/>
  <c r="Q2557" i="34"/>
  <c r="R2557" i="34"/>
  <c r="S2557" i="34"/>
  <c r="T2557" i="34"/>
  <c r="U2557" i="34"/>
  <c r="V2557" i="34"/>
  <c r="W2557" i="34"/>
  <c r="X2557" i="34"/>
  <c r="Y2557" i="34"/>
  <c r="N2558" i="34"/>
  <c r="C2558" i="34"/>
  <c r="B2558" i="34"/>
  <c r="O2558" i="34"/>
  <c r="P2558" i="34"/>
  <c r="Q2558" i="34"/>
  <c r="R2558" i="34"/>
  <c r="S2558" i="34"/>
  <c r="T2558" i="34"/>
  <c r="U2558" i="34"/>
  <c r="V2558" i="34"/>
  <c r="W2558" i="34"/>
  <c r="X2558" i="34"/>
  <c r="Y2558" i="34"/>
  <c r="N2559" i="34"/>
  <c r="C2559" i="34"/>
  <c r="B2559" i="34"/>
  <c r="O2559" i="34"/>
  <c r="P2559" i="34"/>
  <c r="Q2559" i="34"/>
  <c r="R2559" i="34"/>
  <c r="S2559" i="34"/>
  <c r="T2559" i="34"/>
  <c r="U2559" i="34"/>
  <c r="V2559" i="34"/>
  <c r="W2559" i="34"/>
  <c r="X2559" i="34"/>
  <c r="Y2559" i="34"/>
  <c r="N2560" i="34"/>
  <c r="C2560" i="34"/>
  <c r="B2560" i="34"/>
  <c r="O2560" i="34"/>
  <c r="P2560" i="34"/>
  <c r="Q2560" i="34"/>
  <c r="R2560" i="34"/>
  <c r="S2560" i="34"/>
  <c r="T2560" i="34"/>
  <c r="U2560" i="34"/>
  <c r="V2560" i="34"/>
  <c r="W2560" i="34"/>
  <c r="X2560" i="34"/>
  <c r="Y2560" i="34"/>
  <c r="N2561" i="34"/>
  <c r="C2561" i="34"/>
  <c r="B2561" i="34"/>
  <c r="O2561" i="34"/>
  <c r="P2561" i="34"/>
  <c r="Q2561" i="34"/>
  <c r="R2561" i="34"/>
  <c r="S2561" i="34"/>
  <c r="T2561" i="34"/>
  <c r="U2561" i="34"/>
  <c r="V2561" i="34"/>
  <c r="W2561" i="34"/>
  <c r="X2561" i="34"/>
  <c r="Y2561" i="34"/>
  <c r="N2562" i="34"/>
  <c r="C2562" i="34"/>
  <c r="B2562" i="34"/>
  <c r="O2562" i="34"/>
  <c r="P2562" i="34"/>
  <c r="Q2562" i="34"/>
  <c r="R2562" i="34"/>
  <c r="S2562" i="34"/>
  <c r="T2562" i="34"/>
  <c r="U2562" i="34"/>
  <c r="V2562" i="34"/>
  <c r="W2562" i="34"/>
  <c r="X2562" i="34"/>
  <c r="Y2562" i="34"/>
  <c r="N2563" i="34"/>
  <c r="C2563" i="34"/>
  <c r="B2563" i="34"/>
  <c r="O2563" i="34"/>
  <c r="P2563" i="34"/>
  <c r="Q2563" i="34"/>
  <c r="R2563" i="34"/>
  <c r="S2563" i="34"/>
  <c r="T2563" i="34"/>
  <c r="U2563" i="34"/>
  <c r="V2563" i="34"/>
  <c r="W2563" i="34"/>
  <c r="X2563" i="34"/>
  <c r="Y2563" i="34"/>
  <c r="N2564" i="34"/>
  <c r="C2564" i="34"/>
  <c r="B2564" i="34"/>
  <c r="O2564" i="34"/>
  <c r="P2564" i="34"/>
  <c r="Q2564" i="34"/>
  <c r="R2564" i="34"/>
  <c r="S2564" i="34"/>
  <c r="T2564" i="34"/>
  <c r="U2564" i="34"/>
  <c r="V2564" i="34"/>
  <c r="W2564" i="34"/>
  <c r="X2564" i="34"/>
  <c r="Y2564" i="34"/>
  <c r="N2565" i="34"/>
  <c r="C2565" i="34"/>
  <c r="B2565" i="34"/>
  <c r="O2565" i="34"/>
  <c r="P2565" i="34"/>
  <c r="Q2565" i="34"/>
  <c r="R2565" i="34"/>
  <c r="S2565" i="34"/>
  <c r="T2565" i="34"/>
  <c r="U2565" i="34"/>
  <c r="V2565" i="34"/>
  <c r="W2565" i="34"/>
  <c r="X2565" i="34"/>
  <c r="Y2565" i="34"/>
  <c r="N2566" i="34"/>
  <c r="C2566" i="34"/>
  <c r="B2566" i="34"/>
  <c r="O2566" i="34"/>
  <c r="P2566" i="34"/>
  <c r="Q2566" i="34"/>
  <c r="R2566" i="34"/>
  <c r="S2566" i="34"/>
  <c r="T2566" i="34"/>
  <c r="U2566" i="34"/>
  <c r="V2566" i="34"/>
  <c r="W2566" i="34"/>
  <c r="X2566" i="34"/>
  <c r="Y2566" i="34"/>
  <c r="N2567" i="34"/>
  <c r="C2567" i="34"/>
  <c r="B2567" i="34"/>
  <c r="O2567" i="34"/>
  <c r="P2567" i="34"/>
  <c r="Q2567" i="34"/>
  <c r="R2567" i="34"/>
  <c r="S2567" i="34"/>
  <c r="T2567" i="34"/>
  <c r="U2567" i="34"/>
  <c r="V2567" i="34"/>
  <c r="W2567" i="34"/>
  <c r="X2567" i="34"/>
  <c r="Y2567" i="34"/>
  <c r="N2568" i="34"/>
  <c r="C2568" i="34"/>
  <c r="B2568" i="34"/>
  <c r="O2568" i="34"/>
  <c r="P2568" i="34"/>
  <c r="Q2568" i="34"/>
  <c r="R2568" i="34"/>
  <c r="S2568" i="34"/>
  <c r="T2568" i="34"/>
  <c r="U2568" i="34"/>
  <c r="V2568" i="34"/>
  <c r="W2568" i="34"/>
  <c r="X2568" i="34"/>
  <c r="Y2568" i="34"/>
  <c r="N2569" i="34"/>
  <c r="C2569" i="34"/>
  <c r="B2569" i="34"/>
  <c r="O2569" i="34"/>
  <c r="P2569" i="34"/>
  <c r="Q2569" i="34"/>
  <c r="R2569" i="34"/>
  <c r="S2569" i="34"/>
  <c r="T2569" i="34"/>
  <c r="U2569" i="34"/>
  <c r="V2569" i="34"/>
  <c r="W2569" i="34"/>
  <c r="X2569" i="34"/>
  <c r="Y2569" i="34"/>
  <c r="N2570" i="34"/>
  <c r="C2570" i="34"/>
  <c r="B2570" i="34"/>
  <c r="O2570" i="34"/>
  <c r="P2570" i="34"/>
  <c r="Q2570" i="34"/>
  <c r="R2570" i="34"/>
  <c r="S2570" i="34"/>
  <c r="T2570" i="34"/>
  <c r="U2570" i="34"/>
  <c r="V2570" i="34"/>
  <c r="W2570" i="34"/>
  <c r="X2570" i="34"/>
  <c r="Y2570" i="34"/>
  <c r="N2571" i="34"/>
  <c r="C2571" i="34"/>
  <c r="B2571" i="34"/>
  <c r="O2571" i="34"/>
  <c r="P2571" i="34"/>
  <c r="Q2571" i="34"/>
  <c r="R2571" i="34"/>
  <c r="S2571" i="34"/>
  <c r="T2571" i="34"/>
  <c r="U2571" i="34"/>
  <c r="V2571" i="34"/>
  <c r="W2571" i="34"/>
  <c r="X2571" i="34"/>
  <c r="Y2571" i="34"/>
  <c r="N2572" i="34"/>
  <c r="C2572" i="34"/>
  <c r="B2572" i="34"/>
  <c r="O2572" i="34"/>
  <c r="P2572" i="34"/>
  <c r="Q2572" i="34"/>
  <c r="R2572" i="34"/>
  <c r="S2572" i="34"/>
  <c r="T2572" i="34"/>
  <c r="U2572" i="34"/>
  <c r="V2572" i="34"/>
  <c r="W2572" i="34"/>
  <c r="X2572" i="34"/>
  <c r="Y2572" i="34"/>
  <c r="N2573" i="34"/>
  <c r="C2573" i="34"/>
  <c r="B2573" i="34"/>
  <c r="O2573" i="34"/>
  <c r="P2573" i="34"/>
  <c r="Q2573" i="34"/>
  <c r="R2573" i="34"/>
  <c r="S2573" i="34"/>
  <c r="T2573" i="34"/>
  <c r="U2573" i="34"/>
  <c r="V2573" i="34"/>
  <c r="W2573" i="34"/>
  <c r="X2573" i="34"/>
  <c r="Y2573" i="34"/>
  <c r="N2574" i="34"/>
  <c r="C2574" i="34"/>
  <c r="B2574" i="34"/>
  <c r="O2574" i="34"/>
  <c r="P2574" i="34"/>
  <c r="Q2574" i="34"/>
  <c r="R2574" i="34"/>
  <c r="S2574" i="34"/>
  <c r="T2574" i="34"/>
  <c r="U2574" i="34"/>
  <c r="V2574" i="34"/>
  <c r="W2574" i="34"/>
  <c r="X2574" i="34"/>
  <c r="Y2574" i="34"/>
  <c r="N2575" i="34"/>
  <c r="C2575" i="34"/>
  <c r="B2575" i="34"/>
  <c r="O2575" i="34"/>
  <c r="P2575" i="34"/>
  <c r="Q2575" i="34"/>
  <c r="R2575" i="34"/>
  <c r="S2575" i="34"/>
  <c r="T2575" i="34"/>
  <c r="U2575" i="34"/>
  <c r="V2575" i="34"/>
  <c r="W2575" i="34"/>
  <c r="X2575" i="34"/>
  <c r="Y2575" i="34"/>
  <c r="N2576" i="34"/>
  <c r="C2576" i="34"/>
  <c r="B2576" i="34"/>
  <c r="O2576" i="34"/>
  <c r="P2576" i="34"/>
  <c r="Q2576" i="34"/>
  <c r="R2576" i="34"/>
  <c r="S2576" i="34"/>
  <c r="T2576" i="34"/>
  <c r="U2576" i="34"/>
  <c r="V2576" i="34"/>
  <c r="W2576" i="34"/>
  <c r="X2576" i="34"/>
  <c r="Y2576" i="34"/>
  <c r="N2577" i="34"/>
  <c r="C2577" i="34"/>
  <c r="B2577" i="34"/>
  <c r="O2577" i="34"/>
  <c r="P2577" i="34"/>
  <c r="Q2577" i="34"/>
  <c r="R2577" i="34"/>
  <c r="S2577" i="34"/>
  <c r="T2577" i="34"/>
  <c r="U2577" i="34"/>
  <c r="V2577" i="34"/>
  <c r="W2577" i="34"/>
  <c r="X2577" i="34"/>
  <c r="Y2577" i="34"/>
  <c r="N2578" i="34"/>
  <c r="C2578" i="34"/>
  <c r="B2578" i="34"/>
  <c r="O2578" i="34"/>
  <c r="P2578" i="34"/>
  <c r="Q2578" i="34"/>
  <c r="R2578" i="34"/>
  <c r="S2578" i="34"/>
  <c r="T2578" i="34"/>
  <c r="U2578" i="34"/>
  <c r="V2578" i="34"/>
  <c r="W2578" i="34"/>
  <c r="X2578" i="34"/>
  <c r="Y2578" i="34"/>
  <c r="N2579" i="34"/>
  <c r="C2579" i="34"/>
  <c r="B2579" i="34"/>
  <c r="O2579" i="34"/>
  <c r="P2579" i="34"/>
  <c r="Q2579" i="34"/>
  <c r="R2579" i="34"/>
  <c r="S2579" i="34"/>
  <c r="T2579" i="34"/>
  <c r="U2579" i="34"/>
  <c r="V2579" i="34"/>
  <c r="W2579" i="34"/>
  <c r="X2579" i="34"/>
  <c r="Y2579" i="34"/>
  <c r="N2580" i="34"/>
  <c r="C2580" i="34"/>
  <c r="B2580" i="34"/>
  <c r="O2580" i="34"/>
  <c r="P2580" i="34"/>
  <c r="Q2580" i="34"/>
  <c r="R2580" i="34"/>
  <c r="S2580" i="34"/>
  <c r="T2580" i="34"/>
  <c r="U2580" i="34"/>
  <c r="V2580" i="34"/>
  <c r="W2580" i="34"/>
  <c r="X2580" i="34"/>
  <c r="Y2580" i="34"/>
  <c r="N2581" i="34"/>
  <c r="C2581" i="34"/>
  <c r="B2581" i="34"/>
  <c r="O2581" i="34"/>
  <c r="P2581" i="34"/>
  <c r="Q2581" i="34"/>
  <c r="R2581" i="34"/>
  <c r="S2581" i="34"/>
  <c r="T2581" i="34"/>
  <c r="U2581" i="34"/>
  <c r="V2581" i="34"/>
  <c r="W2581" i="34"/>
  <c r="X2581" i="34"/>
  <c r="Y2581" i="34"/>
  <c r="N2582" i="34"/>
  <c r="C2582" i="34"/>
  <c r="B2582" i="34"/>
  <c r="O2582" i="34"/>
  <c r="P2582" i="34"/>
  <c r="Q2582" i="34"/>
  <c r="R2582" i="34"/>
  <c r="S2582" i="34"/>
  <c r="T2582" i="34"/>
  <c r="U2582" i="34"/>
  <c r="V2582" i="34"/>
  <c r="W2582" i="34"/>
  <c r="X2582" i="34"/>
  <c r="Y2582" i="34"/>
  <c r="N2583" i="34"/>
  <c r="C2583" i="34"/>
  <c r="B2583" i="34"/>
  <c r="O2583" i="34"/>
  <c r="P2583" i="34"/>
  <c r="Q2583" i="34"/>
  <c r="R2583" i="34"/>
  <c r="S2583" i="34"/>
  <c r="T2583" i="34"/>
  <c r="U2583" i="34"/>
  <c r="V2583" i="34"/>
  <c r="W2583" i="34"/>
  <c r="X2583" i="34"/>
  <c r="Y2583" i="34"/>
  <c r="N2584" i="34"/>
  <c r="C2584" i="34"/>
  <c r="B2584" i="34"/>
  <c r="O2584" i="34"/>
  <c r="P2584" i="34"/>
  <c r="Q2584" i="34"/>
  <c r="R2584" i="34"/>
  <c r="S2584" i="34"/>
  <c r="T2584" i="34"/>
  <c r="U2584" i="34"/>
  <c r="V2584" i="34"/>
  <c r="W2584" i="34"/>
  <c r="X2584" i="34"/>
  <c r="Y2584" i="34"/>
  <c r="N2585" i="34"/>
  <c r="C2585" i="34"/>
  <c r="B2585" i="34"/>
  <c r="O2585" i="34"/>
  <c r="P2585" i="34"/>
  <c r="Q2585" i="34"/>
  <c r="R2585" i="34"/>
  <c r="S2585" i="34"/>
  <c r="T2585" i="34"/>
  <c r="U2585" i="34"/>
  <c r="V2585" i="34"/>
  <c r="W2585" i="34"/>
  <c r="X2585" i="34"/>
  <c r="Y2585" i="34"/>
  <c r="N2586" i="34"/>
  <c r="C2586" i="34"/>
  <c r="B2586" i="34"/>
  <c r="O2586" i="34"/>
  <c r="P2586" i="34"/>
  <c r="Q2586" i="34"/>
  <c r="R2586" i="34"/>
  <c r="S2586" i="34"/>
  <c r="T2586" i="34"/>
  <c r="U2586" i="34"/>
  <c r="V2586" i="34"/>
  <c r="W2586" i="34"/>
  <c r="X2586" i="34"/>
  <c r="Y2586" i="34"/>
  <c r="N2587" i="34"/>
  <c r="C2587" i="34"/>
  <c r="B2587" i="34"/>
  <c r="O2587" i="34"/>
  <c r="P2587" i="34"/>
  <c r="Q2587" i="34"/>
  <c r="R2587" i="34"/>
  <c r="S2587" i="34"/>
  <c r="T2587" i="34"/>
  <c r="U2587" i="34"/>
  <c r="V2587" i="34"/>
  <c r="W2587" i="34"/>
  <c r="X2587" i="34"/>
  <c r="Y2587" i="34"/>
  <c r="N2588" i="34"/>
  <c r="C2588" i="34"/>
  <c r="B2588" i="34"/>
  <c r="O2588" i="34"/>
  <c r="P2588" i="34"/>
  <c r="Q2588" i="34"/>
  <c r="R2588" i="34"/>
  <c r="S2588" i="34"/>
  <c r="T2588" i="34"/>
  <c r="U2588" i="34"/>
  <c r="V2588" i="34"/>
  <c r="W2588" i="34"/>
  <c r="X2588" i="34"/>
  <c r="Y2588" i="34"/>
  <c r="N2589" i="34"/>
  <c r="C2589" i="34"/>
  <c r="B2589" i="34"/>
  <c r="O2589" i="34"/>
  <c r="P2589" i="34"/>
  <c r="Q2589" i="34"/>
  <c r="R2589" i="34"/>
  <c r="S2589" i="34"/>
  <c r="T2589" i="34"/>
  <c r="U2589" i="34"/>
  <c r="V2589" i="34"/>
  <c r="W2589" i="34"/>
  <c r="X2589" i="34"/>
  <c r="Y2589" i="34"/>
  <c r="N2590" i="34"/>
  <c r="C2590" i="34"/>
  <c r="B2590" i="34"/>
  <c r="O2590" i="34"/>
  <c r="P2590" i="34"/>
  <c r="Q2590" i="34"/>
  <c r="R2590" i="34"/>
  <c r="S2590" i="34"/>
  <c r="T2590" i="34"/>
  <c r="U2590" i="34"/>
  <c r="V2590" i="34"/>
  <c r="W2590" i="34"/>
  <c r="X2590" i="34"/>
  <c r="Y2590" i="34"/>
  <c r="N2591" i="34"/>
  <c r="C2591" i="34"/>
  <c r="B2591" i="34"/>
  <c r="O2591" i="34"/>
  <c r="P2591" i="34"/>
  <c r="Q2591" i="34"/>
  <c r="R2591" i="34"/>
  <c r="S2591" i="34"/>
  <c r="T2591" i="34"/>
  <c r="U2591" i="34"/>
  <c r="V2591" i="34"/>
  <c r="W2591" i="34"/>
  <c r="X2591" i="34"/>
  <c r="Y2591" i="34"/>
  <c r="N2592" i="34"/>
  <c r="C2592" i="34"/>
  <c r="B2592" i="34"/>
  <c r="O2592" i="34"/>
  <c r="P2592" i="34"/>
  <c r="Q2592" i="34"/>
  <c r="R2592" i="34"/>
  <c r="S2592" i="34"/>
  <c r="T2592" i="34"/>
  <c r="U2592" i="34"/>
  <c r="V2592" i="34"/>
  <c r="W2592" i="34"/>
  <c r="X2592" i="34"/>
  <c r="Y2592" i="34"/>
  <c r="N2593" i="34"/>
  <c r="C2593" i="34"/>
  <c r="B2593" i="34"/>
  <c r="O2593" i="34"/>
  <c r="P2593" i="34"/>
  <c r="Q2593" i="34"/>
  <c r="R2593" i="34"/>
  <c r="S2593" i="34"/>
  <c r="T2593" i="34"/>
  <c r="U2593" i="34"/>
  <c r="V2593" i="34"/>
  <c r="W2593" i="34"/>
  <c r="X2593" i="34"/>
  <c r="Y2593" i="34"/>
  <c r="N2594" i="34"/>
  <c r="C2594" i="34"/>
  <c r="B2594" i="34"/>
  <c r="O2594" i="34"/>
  <c r="P2594" i="34"/>
  <c r="Q2594" i="34"/>
  <c r="R2594" i="34"/>
  <c r="S2594" i="34"/>
  <c r="T2594" i="34"/>
  <c r="U2594" i="34"/>
  <c r="V2594" i="34"/>
  <c r="W2594" i="34"/>
  <c r="X2594" i="34"/>
  <c r="Y2594" i="34"/>
  <c r="N2595" i="34"/>
  <c r="C2595" i="34"/>
  <c r="B2595" i="34"/>
  <c r="O2595" i="34"/>
  <c r="P2595" i="34"/>
  <c r="Q2595" i="34"/>
  <c r="R2595" i="34"/>
  <c r="S2595" i="34"/>
  <c r="T2595" i="34"/>
  <c r="U2595" i="34"/>
  <c r="V2595" i="34"/>
  <c r="W2595" i="34"/>
  <c r="X2595" i="34"/>
  <c r="Y2595" i="34"/>
  <c r="N2596" i="34"/>
  <c r="C2596" i="34"/>
  <c r="B2596" i="34"/>
  <c r="O2596" i="34"/>
  <c r="P2596" i="34"/>
  <c r="Q2596" i="34"/>
  <c r="R2596" i="34"/>
  <c r="S2596" i="34"/>
  <c r="T2596" i="34"/>
  <c r="U2596" i="34"/>
  <c r="V2596" i="34"/>
  <c r="W2596" i="34"/>
  <c r="X2596" i="34"/>
  <c r="Y2596" i="34"/>
  <c r="N2597" i="34"/>
  <c r="C2597" i="34"/>
  <c r="B2597" i="34"/>
  <c r="O2597" i="34"/>
  <c r="P2597" i="34"/>
  <c r="Q2597" i="34"/>
  <c r="R2597" i="34"/>
  <c r="S2597" i="34"/>
  <c r="T2597" i="34"/>
  <c r="U2597" i="34"/>
  <c r="V2597" i="34"/>
  <c r="W2597" i="34"/>
  <c r="X2597" i="34"/>
  <c r="Y2597" i="34"/>
  <c r="N2598" i="34"/>
  <c r="C2598" i="34"/>
  <c r="B2598" i="34"/>
  <c r="O2598" i="34"/>
  <c r="P2598" i="34"/>
  <c r="Q2598" i="34"/>
  <c r="R2598" i="34"/>
  <c r="S2598" i="34"/>
  <c r="T2598" i="34"/>
  <c r="U2598" i="34"/>
  <c r="V2598" i="34"/>
  <c r="W2598" i="34"/>
  <c r="X2598" i="34"/>
  <c r="Y2598" i="34"/>
  <c r="N2599" i="34"/>
  <c r="C2599" i="34"/>
  <c r="B2599" i="34"/>
  <c r="O2599" i="34"/>
  <c r="P2599" i="34"/>
  <c r="Q2599" i="34"/>
  <c r="R2599" i="34"/>
  <c r="S2599" i="34"/>
  <c r="T2599" i="34"/>
  <c r="U2599" i="34"/>
  <c r="V2599" i="34"/>
  <c r="W2599" i="34"/>
  <c r="X2599" i="34"/>
  <c r="Y2599" i="34"/>
  <c r="N2600" i="34"/>
  <c r="C2600" i="34"/>
  <c r="B2600" i="34"/>
  <c r="O2600" i="34"/>
  <c r="P2600" i="34"/>
  <c r="Q2600" i="34"/>
  <c r="R2600" i="34"/>
  <c r="S2600" i="34"/>
  <c r="T2600" i="34"/>
  <c r="U2600" i="34"/>
  <c r="V2600" i="34"/>
  <c r="W2600" i="34"/>
  <c r="X2600" i="34"/>
  <c r="Y2600" i="34"/>
  <c r="N2601" i="34"/>
  <c r="C2601" i="34"/>
  <c r="B2601" i="34"/>
  <c r="O2601" i="34"/>
  <c r="P2601" i="34"/>
  <c r="Q2601" i="34"/>
  <c r="R2601" i="34"/>
  <c r="S2601" i="34"/>
  <c r="T2601" i="34"/>
  <c r="U2601" i="34"/>
  <c r="V2601" i="34"/>
  <c r="W2601" i="34"/>
  <c r="X2601" i="34"/>
  <c r="Y2601" i="34"/>
  <c r="N2602" i="34"/>
  <c r="C2602" i="34"/>
  <c r="B2602" i="34"/>
  <c r="O2602" i="34"/>
  <c r="P2602" i="34"/>
  <c r="Q2602" i="34"/>
  <c r="R2602" i="34"/>
  <c r="S2602" i="34"/>
  <c r="T2602" i="34"/>
  <c r="U2602" i="34"/>
  <c r="V2602" i="34"/>
  <c r="W2602" i="34"/>
  <c r="X2602" i="34"/>
  <c r="Y2602" i="34"/>
  <c r="N2603" i="34"/>
  <c r="C2603" i="34"/>
  <c r="B2603" i="34"/>
  <c r="O2603" i="34"/>
  <c r="P2603" i="34"/>
  <c r="Q2603" i="34"/>
  <c r="R2603" i="34"/>
  <c r="S2603" i="34"/>
  <c r="T2603" i="34"/>
  <c r="U2603" i="34"/>
  <c r="V2603" i="34"/>
  <c r="W2603" i="34"/>
  <c r="X2603" i="34"/>
  <c r="Y2603" i="34"/>
  <c r="N2604" i="34"/>
  <c r="C2604" i="34"/>
  <c r="B2604" i="34"/>
  <c r="O2604" i="34"/>
  <c r="P2604" i="34"/>
  <c r="Q2604" i="34"/>
  <c r="R2604" i="34"/>
  <c r="S2604" i="34"/>
  <c r="T2604" i="34"/>
  <c r="U2604" i="34"/>
  <c r="V2604" i="34"/>
  <c r="W2604" i="34"/>
  <c r="X2604" i="34"/>
  <c r="Y2604" i="34"/>
  <c r="N2605" i="34"/>
  <c r="C2605" i="34"/>
  <c r="B2605" i="34"/>
  <c r="O2605" i="34"/>
  <c r="P2605" i="34"/>
  <c r="Q2605" i="34"/>
  <c r="R2605" i="34"/>
  <c r="S2605" i="34"/>
  <c r="T2605" i="34"/>
  <c r="U2605" i="34"/>
  <c r="V2605" i="34"/>
  <c r="W2605" i="34"/>
  <c r="X2605" i="34"/>
  <c r="Y2605" i="34"/>
  <c r="N2606" i="34"/>
  <c r="C2606" i="34"/>
  <c r="B2606" i="34"/>
  <c r="O2606" i="34"/>
  <c r="P2606" i="34"/>
  <c r="Q2606" i="34"/>
  <c r="R2606" i="34"/>
  <c r="S2606" i="34"/>
  <c r="T2606" i="34"/>
  <c r="U2606" i="34"/>
  <c r="V2606" i="34"/>
  <c r="W2606" i="34"/>
  <c r="X2606" i="34"/>
  <c r="Y2606" i="34"/>
  <c r="N2607" i="34"/>
  <c r="C2607" i="34"/>
  <c r="B2607" i="34"/>
  <c r="O2607" i="34"/>
  <c r="P2607" i="34"/>
  <c r="Q2607" i="34"/>
  <c r="R2607" i="34"/>
  <c r="S2607" i="34"/>
  <c r="T2607" i="34"/>
  <c r="U2607" i="34"/>
  <c r="V2607" i="34"/>
  <c r="W2607" i="34"/>
  <c r="X2607" i="34"/>
  <c r="Y2607" i="34"/>
  <c r="N2608" i="34"/>
  <c r="C2608" i="34"/>
  <c r="B2608" i="34"/>
  <c r="O2608" i="34"/>
  <c r="P2608" i="34"/>
  <c r="Q2608" i="34"/>
  <c r="R2608" i="34"/>
  <c r="S2608" i="34"/>
  <c r="T2608" i="34"/>
  <c r="U2608" i="34"/>
  <c r="V2608" i="34"/>
  <c r="W2608" i="34"/>
  <c r="X2608" i="34"/>
  <c r="Y2608" i="34"/>
  <c r="N2609" i="34"/>
  <c r="C2609" i="34"/>
  <c r="B2609" i="34"/>
  <c r="O2609" i="34"/>
  <c r="P2609" i="34"/>
  <c r="Q2609" i="34"/>
  <c r="R2609" i="34"/>
  <c r="S2609" i="34"/>
  <c r="T2609" i="34"/>
  <c r="U2609" i="34"/>
  <c r="V2609" i="34"/>
  <c r="W2609" i="34"/>
  <c r="X2609" i="34"/>
  <c r="Y2609" i="34"/>
  <c r="N2610" i="34"/>
  <c r="C2610" i="34"/>
  <c r="B2610" i="34"/>
  <c r="O2610" i="34"/>
  <c r="P2610" i="34"/>
  <c r="Q2610" i="34"/>
  <c r="R2610" i="34"/>
  <c r="S2610" i="34"/>
  <c r="T2610" i="34"/>
  <c r="U2610" i="34"/>
  <c r="V2610" i="34"/>
  <c r="W2610" i="34"/>
  <c r="X2610" i="34"/>
  <c r="Y2610" i="34"/>
  <c r="N2611" i="34"/>
  <c r="C2611" i="34"/>
  <c r="B2611" i="34"/>
  <c r="O2611" i="34"/>
  <c r="P2611" i="34"/>
  <c r="Q2611" i="34"/>
  <c r="R2611" i="34"/>
  <c r="S2611" i="34"/>
  <c r="T2611" i="34"/>
  <c r="U2611" i="34"/>
  <c r="V2611" i="34"/>
  <c r="W2611" i="34"/>
  <c r="X2611" i="34"/>
  <c r="Y2611" i="34"/>
  <c r="N2612" i="34"/>
  <c r="C2612" i="34"/>
  <c r="B2612" i="34"/>
  <c r="O2612" i="34"/>
  <c r="P2612" i="34"/>
  <c r="Q2612" i="34"/>
  <c r="R2612" i="34"/>
  <c r="S2612" i="34"/>
  <c r="T2612" i="34"/>
  <c r="U2612" i="34"/>
  <c r="V2612" i="34"/>
  <c r="W2612" i="34"/>
  <c r="X2612" i="34"/>
  <c r="Y2612" i="34"/>
  <c r="N2613" i="34"/>
  <c r="C2613" i="34"/>
  <c r="B2613" i="34"/>
  <c r="O2613" i="34"/>
  <c r="P2613" i="34"/>
  <c r="Q2613" i="34"/>
  <c r="R2613" i="34"/>
  <c r="S2613" i="34"/>
  <c r="T2613" i="34"/>
  <c r="U2613" i="34"/>
  <c r="V2613" i="34"/>
  <c r="W2613" i="34"/>
  <c r="X2613" i="34"/>
  <c r="Y2613" i="34"/>
  <c r="N2614" i="34"/>
  <c r="C2614" i="34"/>
  <c r="B2614" i="34"/>
  <c r="O2614" i="34"/>
  <c r="P2614" i="34"/>
  <c r="Q2614" i="34"/>
  <c r="R2614" i="34"/>
  <c r="S2614" i="34"/>
  <c r="T2614" i="34"/>
  <c r="U2614" i="34"/>
  <c r="V2614" i="34"/>
  <c r="W2614" i="34"/>
  <c r="X2614" i="34"/>
  <c r="Y2614" i="34"/>
  <c r="N2615" i="34"/>
  <c r="B2615" i="34"/>
  <c r="O2615" i="34"/>
  <c r="P2615" i="34"/>
  <c r="Q2615" i="34"/>
  <c r="R2615" i="34"/>
  <c r="S2615" i="34"/>
  <c r="T2615" i="34"/>
  <c r="U2615" i="34"/>
  <c r="V2615" i="34"/>
  <c r="W2615" i="34"/>
  <c r="X2615" i="34"/>
  <c r="Y2615" i="34"/>
  <c r="N2616" i="34"/>
  <c r="B2616" i="34"/>
  <c r="O2616" i="34"/>
  <c r="P2616" i="34"/>
  <c r="Q2616" i="34"/>
  <c r="R2616" i="34"/>
  <c r="S2616" i="34"/>
  <c r="T2616" i="34"/>
  <c r="U2616" i="34"/>
  <c r="V2616" i="34"/>
  <c r="W2616" i="34"/>
  <c r="X2616" i="34"/>
  <c r="Y2616" i="34"/>
  <c r="N2617" i="34"/>
  <c r="B2617" i="34"/>
  <c r="O2617" i="34"/>
  <c r="P2617" i="34"/>
  <c r="Q2617" i="34"/>
  <c r="R2617" i="34"/>
  <c r="S2617" i="34"/>
  <c r="T2617" i="34"/>
  <c r="U2617" i="34"/>
  <c r="V2617" i="34"/>
  <c r="W2617" i="34"/>
  <c r="X2617" i="34"/>
  <c r="Y2617" i="34"/>
  <c r="N2618" i="34"/>
  <c r="B2618" i="34"/>
  <c r="O2618" i="34"/>
  <c r="P2618" i="34"/>
  <c r="Q2618" i="34"/>
  <c r="R2618" i="34"/>
  <c r="S2618" i="34"/>
  <c r="T2618" i="34"/>
  <c r="U2618" i="34"/>
  <c r="V2618" i="34"/>
  <c r="W2618" i="34"/>
  <c r="X2618" i="34"/>
  <c r="Y2618" i="34"/>
  <c r="N2619" i="34"/>
  <c r="C2619" i="34"/>
  <c r="B2619" i="34"/>
  <c r="O2619" i="34"/>
  <c r="P2619" i="34"/>
  <c r="Q2619" i="34"/>
  <c r="R2619" i="34"/>
  <c r="S2619" i="34"/>
  <c r="T2619" i="34"/>
  <c r="U2619" i="34"/>
  <c r="V2619" i="34"/>
  <c r="W2619" i="34"/>
  <c r="X2619" i="34"/>
  <c r="Y2619" i="34"/>
  <c r="N2620" i="34"/>
  <c r="C2620" i="34"/>
  <c r="B2620" i="34"/>
  <c r="O2620" i="34"/>
  <c r="P2620" i="34"/>
  <c r="Q2620" i="34"/>
  <c r="R2620" i="34"/>
  <c r="S2620" i="34"/>
  <c r="T2620" i="34"/>
  <c r="U2620" i="34"/>
  <c r="V2620" i="34"/>
  <c r="W2620" i="34"/>
  <c r="X2620" i="34"/>
  <c r="Y2620" i="34"/>
  <c r="N2621" i="34"/>
  <c r="C2621" i="34"/>
  <c r="B2621" i="34"/>
  <c r="O2621" i="34"/>
  <c r="P2621" i="34"/>
  <c r="Q2621" i="34"/>
  <c r="R2621" i="34"/>
  <c r="S2621" i="34"/>
  <c r="T2621" i="34"/>
  <c r="U2621" i="34"/>
  <c r="V2621" i="34"/>
  <c r="W2621" i="34"/>
  <c r="X2621" i="34"/>
  <c r="Y2621" i="34"/>
  <c r="N2622" i="34"/>
  <c r="C2622" i="34"/>
  <c r="B2622" i="34"/>
  <c r="O2622" i="34"/>
  <c r="P2622" i="34"/>
  <c r="Q2622" i="34"/>
  <c r="R2622" i="34"/>
  <c r="S2622" i="34"/>
  <c r="T2622" i="34"/>
  <c r="U2622" i="34"/>
  <c r="V2622" i="34"/>
  <c r="W2622" i="34"/>
  <c r="X2622" i="34"/>
  <c r="Y2622" i="34"/>
  <c r="N2623" i="34"/>
  <c r="C2623" i="34"/>
  <c r="B2623" i="34"/>
  <c r="O2623" i="34"/>
  <c r="P2623" i="34"/>
  <c r="Q2623" i="34"/>
  <c r="R2623" i="34"/>
  <c r="S2623" i="34"/>
  <c r="T2623" i="34"/>
  <c r="U2623" i="34"/>
  <c r="V2623" i="34"/>
  <c r="W2623" i="34"/>
  <c r="X2623" i="34"/>
  <c r="Y2623" i="34"/>
  <c r="N2624" i="34"/>
  <c r="C2624" i="34"/>
  <c r="B2624" i="34"/>
  <c r="O2624" i="34"/>
  <c r="P2624" i="34"/>
  <c r="Q2624" i="34"/>
  <c r="R2624" i="34"/>
  <c r="S2624" i="34"/>
  <c r="T2624" i="34"/>
  <c r="U2624" i="34"/>
  <c r="V2624" i="34"/>
  <c r="W2624" i="34"/>
  <c r="X2624" i="34"/>
  <c r="Y2624" i="34"/>
  <c r="N2625" i="34"/>
  <c r="B2625" i="34"/>
  <c r="O2625" i="34"/>
  <c r="P2625" i="34"/>
  <c r="Q2625" i="34"/>
  <c r="R2625" i="34"/>
  <c r="S2625" i="34"/>
  <c r="T2625" i="34"/>
  <c r="U2625" i="34"/>
  <c r="V2625" i="34"/>
  <c r="W2625" i="34"/>
  <c r="X2625" i="34"/>
  <c r="Y2625" i="34"/>
  <c r="N2626" i="34"/>
  <c r="B2626" i="34"/>
  <c r="O2626" i="34"/>
  <c r="P2626" i="34"/>
  <c r="Q2626" i="34"/>
  <c r="R2626" i="34"/>
  <c r="S2626" i="34"/>
  <c r="T2626" i="34"/>
  <c r="U2626" i="34"/>
  <c r="V2626" i="34"/>
  <c r="W2626" i="34"/>
  <c r="X2626" i="34"/>
  <c r="Y2626" i="34"/>
  <c r="N2627" i="34"/>
  <c r="B2627" i="34"/>
  <c r="O2627" i="34"/>
  <c r="P2627" i="34"/>
  <c r="Q2627" i="34"/>
  <c r="R2627" i="34"/>
  <c r="S2627" i="34"/>
  <c r="T2627" i="34"/>
  <c r="U2627" i="34"/>
  <c r="V2627" i="34"/>
  <c r="W2627" i="34"/>
  <c r="X2627" i="34"/>
  <c r="Y2627" i="34"/>
  <c r="N2628" i="34"/>
  <c r="B2628" i="34"/>
  <c r="O2628" i="34"/>
  <c r="P2628" i="34"/>
  <c r="Q2628" i="34"/>
  <c r="R2628" i="34"/>
  <c r="S2628" i="34"/>
  <c r="T2628" i="34"/>
  <c r="U2628" i="34"/>
  <c r="V2628" i="34"/>
  <c r="W2628" i="34"/>
  <c r="X2628" i="34"/>
  <c r="Y2628" i="34"/>
  <c r="N2629" i="34"/>
  <c r="B2629" i="34"/>
  <c r="O2629" i="34"/>
  <c r="P2629" i="34"/>
  <c r="Q2629" i="34"/>
  <c r="R2629" i="34"/>
  <c r="S2629" i="34"/>
  <c r="T2629" i="34"/>
  <c r="U2629" i="34"/>
  <c r="V2629" i="34"/>
  <c r="W2629" i="34"/>
  <c r="X2629" i="34"/>
  <c r="Y2629" i="34"/>
  <c r="N2630" i="34"/>
  <c r="B2630" i="34"/>
  <c r="O2630" i="34"/>
  <c r="P2630" i="34"/>
  <c r="Q2630" i="34"/>
  <c r="R2630" i="34"/>
  <c r="S2630" i="34"/>
  <c r="T2630" i="34"/>
  <c r="U2630" i="34"/>
  <c r="V2630" i="34"/>
  <c r="W2630" i="34"/>
  <c r="X2630" i="34"/>
  <c r="Y2630" i="34"/>
  <c r="N2631" i="34"/>
  <c r="B2631" i="34"/>
  <c r="O2631" i="34"/>
  <c r="P2631" i="34"/>
  <c r="Q2631" i="34"/>
  <c r="R2631" i="34"/>
  <c r="S2631" i="34"/>
  <c r="T2631" i="34"/>
  <c r="U2631" i="34"/>
  <c r="V2631" i="34"/>
  <c r="W2631" i="34"/>
  <c r="X2631" i="34"/>
  <c r="Y2631" i="34"/>
  <c r="N2632" i="34"/>
  <c r="B2632" i="34"/>
  <c r="O2632" i="34"/>
  <c r="P2632" i="34"/>
  <c r="Q2632" i="34"/>
  <c r="R2632" i="34"/>
  <c r="S2632" i="34"/>
  <c r="T2632" i="34"/>
  <c r="U2632" i="34"/>
  <c r="V2632" i="34"/>
  <c r="W2632" i="34"/>
  <c r="X2632" i="34"/>
  <c r="Y2632" i="34"/>
  <c r="N2633" i="34"/>
  <c r="B2633" i="34"/>
  <c r="O2633" i="34"/>
  <c r="P2633" i="34"/>
  <c r="Q2633" i="34"/>
  <c r="R2633" i="34"/>
  <c r="S2633" i="34"/>
  <c r="T2633" i="34"/>
  <c r="U2633" i="34"/>
  <c r="V2633" i="34"/>
  <c r="W2633" i="34"/>
  <c r="X2633" i="34"/>
  <c r="Y2633" i="34"/>
  <c r="N2634" i="34"/>
  <c r="B2634" i="34"/>
  <c r="O2634" i="34"/>
  <c r="P2634" i="34"/>
  <c r="Q2634" i="34"/>
  <c r="R2634" i="34"/>
  <c r="S2634" i="34"/>
  <c r="T2634" i="34"/>
  <c r="U2634" i="34"/>
  <c r="V2634" i="34"/>
  <c r="W2634" i="34"/>
  <c r="X2634" i="34"/>
  <c r="Y2634" i="34"/>
  <c r="N2635" i="34"/>
  <c r="B2635" i="34"/>
  <c r="O2635" i="34"/>
  <c r="P2635" i="34"/>
  <c r="Q2635" i="34"/>
  <c r="R2635" i="34"/>
  <c r="S2635" i="34"/>
  <c r="T2635" i="34"/>
  <c r="U2635" i="34"/>
  <c r="V2635" i="34"/>
  <c r="W2635" i="34"/>
  <c r="X2635" i="34"/>
  <c r="Y2635" i="34"/>
  <c r="N2636" i="34"/>
  <c r="B2636" i="34"/>
  <c r="O2636" i="34"/>
  <c r="P2636" i="34"/>
  <c r="Q2636" i="34"/>
  <c r="R2636" i="34"/>
  <c r="S2636" i="34"/>
  <c r="T2636" i="34"/>
  <c r="U2636" i="34"/>
  <c r="V2636" i="34"/>
  <c r="W2636" i="34"/>
  <c r="X2636" i="34"/>
  <c r="Y2636" i="34"/>
  <c r="N2637" i="34"/>
  <c r="B2637" i="34"/>
  <c r="O2637" i="34"/>
  <c r="P2637" i="34"/>
  <c r="Q2637" i="34"/>
  <c r="R2637" i="34"/>
  <c r="S2637" i="34"/>
  <c r="T2637" i="34"/>
  <c r="U2637" i="34"/>
  <c r="V2637" i="34"/>
  <c r="W2637" i="34"/>
  <c r="X2637" i="34"/>
  <c r="Y2637" i="34"/>
  <c r="N2638" i="34"/>
  <c r="C2638" i="34"/>
  <c r="B2638" i="34"/>
  <c r="O2638" i="34"/>
  <c r="P2638" i="34"/>
  <c r="Q2638" i="34"/>
  <c r="R2638" i="34"/>
  <c r="S2638" i="34"/>
  <c r="T2638" i="34"/>
  <c r="U2638" i="34"/>
  <c r="V2638" i="34"/>
  <c r="W2638" i="34"/>
  <c r="X2638" i="34"/>
  <c r="Y2638" i="34"/>
  <c r="N2639" i="34"/>
  <c r="C2639" i="34"/>
  <c r="B2639" i="34"/>
  <c r="O2639" i="34"/>
  <c r="P2639" i="34"/>
  <c r="Q2639" i="34"/>
  <c r="R2639" i="34"/>
  <c r="S2639" i="34"/>
  <c r="T2639" i="34"/>
  <c r="U2639" i="34"/>
  <c r="V2639" i="34"/>
  <c r="W2639" i="34"/>
  <c r="X2639" i="34"/>
  <c r="Y2639" i="34"/>
  <c r="N2640" i="34"/>
  <c r="C2640" i="34"/>
  <c r="B2640" i="34"/>
  <c r="O2640" i="34"/>
  <c r="P2640" i="34"/>
  <c r="Q2640" i="34"/>
  <c r="R2640" i="34"/>
  <c r="S2640" i="34"/>
  <c r="T2640" i="34"/>
  <c r="U2640" i="34"/>
  <c r="V2640" i="34"/>
  <c r="W2640" i="34"/>
  <c r="X2640" i="34"/>
  <c r="Y2640" i="34"/>
  <c r="N2641" i="34"/>
  <c r="C2641" i="34"/>
  <c r="B2641" i="34"/>
  <c r="O2641" i="34"/>
  <c r="P2641" i="34"/>
  <c r="Q2641" i="34"/>
  <c r="R2641" i="34"/>
  <c r="S2641" i="34"/>
  <c r="T2641" i="34"/>
  <c r="U2641" i="34"/>
  <c r="V2641" i="34"/>
  <c r="W2641" i="34"/>
  <c r="X2641" i="34"/>
  <c r="Y2641" i="34"/>
  <c r="N2642" i="34"/>
  <c r="C2642" i="34"/>
  <c r="B2642" i="34"/>
  <c r="O2642" i="34"/>
  <c r="P2642" i="34"/>
  <c r="Q2642" i="34"/>
  <c r="R2642" i="34"/>
  <c r="S2642" i="34"/>
  <c r="T2642" i="34"/>
  <c r="U2642" i="34"/>
  <c r="V2642" i="34"/>
  <c r="W2642" i="34"/>
  <c r="X2642" i="34"/>
  <c r="Y2642" i="34"/>
  <c r="N2643" i="34"/>
  <c r="C2643" i="34"/>
  <c r="B2643" i="34"/>
  <c r="O2643" i="34"/>
  <c r="P2643" i="34"/>
  <c r="Q2643" i="34"/>
  <c r="R2643" i="34"/>
  <c r="S2643" i="34"/>
  <c r="T2643" i="34"/>
  <c r="U2643" i="34"/>
  <c r="V2643" i="34"/>
  <c r="W2643" i="34"/>
  <c r="X2643" i="34"/>
  <c r="Y2643" i="34"/>
  <c r="N2644" i="34"/>
  <c r="C2644" i="34"/>
  <c r="B2644" i="34"/>
  <c r="O2644" i="34"/>
  <c r="P2644" i="34"/>
  <c r="Q2644" i="34"/>
  <c r="R2644" i="34"/>
  <c r="S2644" i="34"/>
  <c r="T2644" i="34"/>
  <c r="U2644" i="34"/>
  <c r="V2644" i="34"/>
  <c r="W2644" i="34"/>
  <c r="X2644" i="34"/>
  <c r="Y2644" i="34"/>
  <c r="N2645" i="34"/>
  <c r="C2645" i="34"/>
  <c r="B2645" i="34"/>
  <c r="O2645" i="34"/>
  <c r="P2645" i="34"/>
  <c r="Q2645" i="34"/>
  <c r="R2645" i="34"/>
  <c r="S2645" i="34"/>
  <c r="T2645" i="34"/>
  <c r="U2645" i="34"/>
  <c r="V2645" i="34"/>
  <c r="W2645" i="34"/>
  <c r="X2645" i="34"/>
  <c r="Y2645" i="34"/>
  <c r="N2646" i="34"/>
  <c r="C2646" i="34"/>
  <c r="B2646" i="34"/>
  <c r="O2646" i="34"/>
  <c r="P2646" i="34"/>
  <c r="Q2646" i="34"/>
  <c r="R2646" i="34"/>
  <c r="S2646" i="34"/>
  <c r="T2646" i="34"/>
  <c r="U2646" i="34"/>
  <c r="V2646" i="34"/>
  <c r="W2646" i="34"/>
  <c r="X2646" i="34"/>
  <c r="Y2646" i="34"/>
  <c r="N2647" i="34"/>
  <c r="C2647" i="34"/>
  <c r="B2647" i="34"/>
  <c r="O2647" i="34"/>
  <c r="P2647" i="34"/>
  <c r="Q2647" i="34"/>
  <c r="R2647" i="34"/>
  <c r="S2647" i="34"/>
  <c r="T2647" i="34"/>
  <c r="U2647" i="34"/>
  <c r="V2647" i="34"/>
  <c r="W2647" i="34"/>
  <c r="X2647" i="34"/>
  <c r="Y2647" i="34"/>
  <c r="N2648" i="34"/>
  <c r="C2648" i="34"/>
  <c r="B2648" i="34"/>
  <c r="O2648" i="34"/>
  <c r="P2648" i="34"/>
  <c r="Q2648" i="34"/>
  <c r="R2648" i="34"/>
  <c r="S2648" i="34"/>
  <c r="T2648" i="34"/>
  <c r="U2648" i="34"/>
  <c r="V2648" i="34"/>
  <c r="W2648" i="34"/>
  <c r="X2648" i="34"/>
  <c r="Y2648" i="34"/>
  <c r="N2649" i="34"/>
  <c r="C2649" i="34"/>
  <c r="B2649" i="34"/>
  <c r="O2649" i="34"/>
  <c r="P2649" i="34"/>
  <c r="Q2649" i="34"/>
  <c r="R2649" i="34"/>
  <c r="S2649" i="34"/>
  <c r="T2649" i="34"/>
  <c r="U2649" i="34"/>
  <c r="V2649" i="34"/>
  <c r="W2649" i="34"/>
  <c r="X2649" i="34"/>
  <c r="Y2649" i="34"/>
  <c r="N2650" i="34"/>
  <c r="C2650" i="34"/>
  <c r="B2650" i="34"/>
  <c r="O2650" i="34"/>
  <c r="P2650" i="34"/>
  <c r="Q2650" i="34"/>
  <c r="R2650" i="34"/>
  <c r="S2650" i="34"/>
  <c r="T2650" i="34"/>
  <c r="U2650" i="34"/>
  <c r="V2650" i="34"/>
  <c r="W2650" i="34"/>
  <c r="X2650" i="34"/>
  <c r="Y2650" i="34"/>
  <c r="N2651" i="34"/>
  <c r="C2651" i="34"/>
  <c r="B2651" i="34"/>
  <c r="O2651" i="34"/>
  <c r="P2651" i="34"/>
  <c r="Q2651" i="34"/>
  <c r="R2651" i="34"/>
  <c r="S2651" i="34"/>
  <c r="T2651" i="34"/>
  <c r="U2651" i="34"/>
  <c r="V2651" i="34"/>
  <c r="W2651" i="34"/>
  <c r="X2651" i="34"/>
  <c r="Y2651" i="34"/>
  <c r="N2652" i="34"/>
  <c r="C2652" i="34"/>
  <c r="B2652" i="34"/>
  <c r="O2652" i="34"/>
  <c r="P2652" i="34"/>
  <c r="Q2652" i="34"/>
  <c r="R2652" i="34"/>
  <c r="S2652" i="34"/>
  <c r="T2652" i="34"/>
  <c r="U2652" i="34"/>
  <c r="V2652" i="34"/>
  <c r="W2652" i="34"/>
  <c r="X2652" i="34"/>
  <c r="Y2652" i="34"/>
  <c r="N2653" i="34"/>
  <c r="C2653" i="34"/>
  <c r="B2653" i="34"/>
  <c r="O2653" i="34"/>
  <c r="P2653" i="34"/>
  <c r="Q2653" i="34"/>
  <c r="R2653" i="34"/>
  <c r="S2653" i="34"/>
  <c r="T2653" i="34"/>
  <c r="U2653" i="34"/>
  <c r="V2653" i="34"/>
  <c r="W2653" i="34"/>
  <c r="X2653" i="34"/>
  <c r="Y2653" i="34"/>
  <c r="N2654" i="34"/>
  <c r="C2654" i="34"/>
  <c r="B2654" i="34"/>
  <c r="O2654" i="34"/>
  <c r="P2654" i="34"/>
  <c r="Q2654" i="34"/>
  <c r="R2654" i="34"/>
  <c r="S2654" i="34"/>
  <c r="T2654" i="34"/>
  <c r="U2654" i="34"/>
  <c r="V2654" i="34"/>
  <c r="W2654" i="34"/>
  <c r="X2654" i="34"/>
  <c r="Y2654" i="34"/>
  <c r="N2655" i="34"/>
  <c r="C2655" i="34"/>
  <c r="B2655" i="34"/>
  <c r="O2655" i="34"/>
  <c r="P2655" i="34"/>
  <c r="Q2655" i="34"/>
  <c r="R2655" i="34"/>
  <c r="S2655" i="34"/>
  <c r="T2655" i="34"/>
  <c r="U2655" i="34"/>
  <c r="V2655" i="34"/>
  <c r="W2655" i="34"/>
  <c r="X2655" i="34"/>
  <c r="Y2655" i="34"/>
  <c r="N2656" i="34"/>
  <c r="C2656" i="34"/>
  <c r="B2656" i="34"/>
  <c r="O2656" i="34"/>
  <c r="P2656" i="34"/>
  <c r="Q2656" i="34"/>
  <c r="R2656" i="34"/>
  <c r="S2656" i="34"/>
  <c r="T2656" i="34"/>
  <c r="U2656" i="34"/>
  <c r="V2656" i="34"/>
  <c r="W2656" i="34"/>
  <c r="X2656" i="34"/>
  <c r="Y2656" i="34"/>
  <c r="N2657" i="34"/>
  <c r="C2657" i="34"/>
  <c r="B2657" i="34"/>
  <c r="O2657" i="34"/>
  <c r="P2657" i="34"/>
  <c r="Q2657" i="34"/>
  <c r="R2657" i="34"/>
  <c r="S2657" i="34"/>
  <c r="T2657" i="34"/>
  <c r="U2657" i="34"/>
  <c r="V2657" i="34"/>
  <c r="W2657" i="34"/>
  <c r="X2657" i="34"/>
  <c r="Y2657" i="34"/>
  <c r="N2658" i="34"/>
  <c r="C2658" i="34"/>
  <c r="B2658" i="34"/>
  <c r="O2658" i="34"/>
  <c r="P2658" i="34"/>
  <c r="Q2658" i="34"/>
  <c r="R2658" i="34"/>
  <c r="S2658" i="34"/>
  <c r="T2658" i="34"/>
  <c r="U2658" i="34"/>
  <c r="V2658" i="34"/>
  <c r="W2658" i="34"/>
  <c r="X2658" i="34"/>
  <c r="Y2658" i="34"/>
  <c r="N2659" i="34"/>
  <c r="C2659" i="34"/>
  <c r="B2659" i="34"/>
  <c r="O2659" i="34"/>
  <c r="P2659" i="34"/>
  <c r="Q2659" i="34"/>
  <c r="R2659" i="34"/>
  <c r="S2659" i="34"/>
  <c r="T2659" i="34"/>
  <c r="U2659" i="34"/>
  <c r="V2659" i="34"/>
  <c r="W2659" i="34"/>
  <c r="X2659" i="34"/>
  <c r="Y2659" i="34"/>
  <c r="N2660" i="34"/>
  <c r="C2660" i="34"/>
  <c r="B2660" i="34"/>
  <c r="O2660" i="34"/>
  <c r="P2660" i="34"/>
  <c r="Q2660" i="34"/>
  <c r="R2660" i="34"/>
  <c r="S2660" i="34"/>
  <c r="T2660" i="34"/>
  <c r="U2660" i="34"/>
  <c r="V2660" i="34"/>
  <c r="W2660" i="34"/>
  <c r="X2660" i="34"/>
  <c r="Y2660" i="34"/>
  <c r="N2661" i="34"/>
  <c r="C2661" i="34"/>
  <c r="B2661" i="34"/>
  <c r="O2661" i="34"/>
  <c r="P2661" i="34"/>
  <c r="Q2661" i="34"/>
  <c r="R2661" i="34"/>
  <c r="S2661" i="34"/>
  <c r="T2661" i="34"/>
  <c r="U2661" i="34"/>
  <c r="V2661" i="34"/>
  <c r="W2661" i="34"/>
  <c r="X2661" i="34"/>
  <c r="Y2661" i="34"/>
  <c r="N2662" i="34"/>
  <c r="C2662" i="34"/>
  <c r="B2662" i="34"/>
  <c r="O2662" i="34"/>
  <c r="P2662" i="34"/>
  <c r="Q2662" i="34"/>
  <c r="R2662" i="34"/>
  <c r="S2662" i="34"/>
  <c r="T2662" i="34"/>
  <c r="U2662" i="34"/>
  <c r="V2662" i="34"/>
  <c r="W2662" i="34"/>
  <c r="X2662" i="34"/>
  <c r="Y2662" i="34"/>
  <c r="N2663" i="34"/>
  <c r="C2663" i="34"/>
  <c r="B2663" i="34"/>
  <c r="O2663" i="34"/>
  <c r="P2663" i="34"/>
  <c r="Q2663" i="34"/>
  <c r="R2663" i="34"/>
  <c r="S2663" i="34"/>
  <c r="T2663" i="34"/>
  <c r="U2663" i="34"/>
  <c r="V2663" i="34"/>
  <c r="W2663" i="34"/>
  <c r="X2663" i="34"/>
  <c r="Y2663" i="34"/>
  <c r="N2664" i="34"/>
  <c r="C2664" i="34"/>
  <c r="B2664" i="34"/>
  <c r="O2664" i="34"/>
  <c r="P2664" i="34"/>
  <c r="Q2664" i="34"/>
  <c r="R2664" i="34"/>
  <c r="S2664" i="34"/>
  <c r="T2664" i="34"/>
  <c r="U2664" i="34"/>
  <c r="V2664" i="34"/>
  <c r="W2664" i="34"/>
  <c r="X2664" i="34"/>
  <c r="Y2664" i="34"/>
  <c r="N2665" i="34"/>
  <c r="C2665" i="34"/>
  <c r="B2665" i="34"/>
  <c r="O2665" i="34"/>
  <c r="P2665" i="34"/>
  <c r="Q2665" i="34"/>
  <c r="R2665" i="34"/>
  <c r="S2665" i="34"/>
  <c r="T2665" i="34"/>
  <c r="U2665" i="34"/>
  <c r="V2665" i="34"/>
  <c r="W2665" i="34"/>
  <c r="X2665" i="34"/>
  <c r="Y2665" i="34"/>
  <c r="N2666" i="34"/>
  <c r="C2666" i="34"/>
  <c r="B2666" i="34"/>
  <c r="O2666" i="34"/>
  <c r="P2666" i="34"/>
  <c r="Q2666" i="34"/>
  <c r="R2666" i="34"/>
  <c r="S2666" i="34"/>
  <c r="T2666" i="34"/>
  <c r="U2666" i="34"/>
  <c r="V2666" i="34"/>
  <c r="W2666" i="34"/>
  <c r="X2666" i="34"/>
  <c r="Y2666" i="34"/>
  <c r="N2667" i="34"/>
  <c r="C2667" i="34"/>
  <c r="B2667" i="34"/>
  <c r="O2667" i="34"/>
  <c r="P2667" i="34"/>
  <c r="Q2667" i="34"/>
  <c r="R2667" i="34"/>
  <c r="S2667" i="34"/>
  <c r="T2667" i="34"/>
  <c r="U2667" i="34"/>
  <c r="V2667" i="34"/>
  <c r="W2667" i="34"/>
  <c r="X2667" i="34"/>
  <c r="Y2667" i="34"/>
  <c r="N2668" i="34"/>
  <c r="C2668" i="34"/>
  <c r="B2668" i="34"/>
  <c r="O2668" i="34"/>
  <c r="P2668" i="34"/>
  <c r="Q2668" i="34"/>
  <c r="R2668" i="34"/>
  <c r="S2668" i="34"/>
  <c r="T2668" i="34"/>
  <c r="U2668" i="34"/>
  <c r="V2668" i="34"/>
  <c r="W2668" i="34"/>
  <c r="X2668" i="34"/>
  <c r="Y2668" i="34"/>
  <c r="N2669" i="34"/>
  <c r="C2669" i="34"/>
  <c r="B2669" i="34"/>
  <c r="O2669" i="34"/>
  <c r="P2669" i="34"/>
  <c r="Q2669" i="34"/>
  <c r="R2669" i="34"/>
  <c r="S2669" i="34"/>
  <c r="T2669" i="34"/>
  <c r="U2669" i="34"/>
  <c r="V2669" i="34"/>
  <c r="W2669" i="34"/>
  <c r="X2669" i="34"/>
  <c r="Y2669" i="34"/>
  <c r="N2670" i="34"/>
  <c r="C2670" i="34"/>
  <c r="B2670" i="34"/>
  <c r="O2670" i="34"/>
  <c r="P2670" i="34"/>
  <c r="Q2670" i="34"/>
  <c r="R2670" i="34"/>
  <c r="S2670" i="34"/>
  <c r="T2670" i="34"/>
  <c r="U2670" i="34"/>
  <c r="V2670" i="34"/>
  <c r="W2670" i="34"/>
  <c r="X2670" i="34"/>
  <c r="Y2670" i="34"/>
  <c r="N2671" i="34"/>
  <c r="B2671" i="34"/>
  <c r="O2671" i="34"/>
  <c r="P2671" i="34"/>
  <c r="Q2671" i="34"/>
  <c r="R2671" i="34"/>
  <c r="S2671" i="34"/>
  <c r="T2671" i="34"/>
  <c r="U2671" i="34"/>
  <c r="V2671" i="34"/>
  <c r="W2671" i="34"/>
  <c r="X2671" i="34"/>
  <c r="Y2671" i="34"/>
  <c r="N2672" i="34"/>
  <c r="C2672" i="34"/>
  <c r="B2672" i="34"/>
  <c r="O2672" i="34"/>
  <c r="P2672" i="34"/>
  <c r="Q2672" i="34"/>
  <c r="R2672" i="34"/>
  <c r="S2672" i="34"/>
  <c r="T2672" i="34"/>
  <c r="U2672" i="34"/>
  <c r="V2672" i="34"/>
  <c r="W2672" i="34"/>
  <c r="X2672" i="34"/>
  <c r="Y2672" i="34"/>
  <c r="N2673" i="34"/>
  <c r="C2673" i="34"/>
  <c r="B2673" i="34"/>
  <c r="O2673" i="34"/>
  <c r="P2673" i="34"/>
  <c r="Q2673" i="34"/>
  <c r="R2673" i="34"/>
  <c r="S2673" i="34"/>
  <c r="T2673" i="34"/>
  <c r="U2673" i="34"/>
  <c r="V2673" i="34"/>
  <c r="W2673" i="34"/>
  <c r="X2673" i="34"/>
  <c r="Y2673" i="34"/>
  <c r="N2674" i="34"/>
  <c r="C2674" i="34"/>
  <c r="B2674" i="34"/>
  <c r="O2674" i="34"/>
  <c r="P2674" i="34"/>
  <c r="Q2674" i="34"/>
  <c r="R2674" i="34"/>
  <c r="S2674" i="34"/>
  <c r="T2674" i="34"/>
  <c r="U2674" i="34"/>
  <c r="V2674" i="34"/>
  <c r="W2674" i="34"/>
  <c r="X2674" i="34"/>
  <c r="Y2674" i="34"/>
  <c r="N2675" i="34"/>
  <c r="C2675" i="34"/>
  <c r="B2675" i="34"/>
  <c r="O2675" i="34"/>
  <c r="P2675" i="34"/>
  <c r="Q2675" i="34"/>
  <c r="R2675" i="34"/>
  <c r="S2675" i="34"/>
  <c r="T2675" i="34"/>
  <c r="U2675" i="34"/>
  <c r="V2675" i="34"/>
  <c r="W2675" i="34"/>
  <c r="X2675" i="34"/>
  <c r="Y2675" i="34"/>
  <c r="N2676" i="34"/>
  <c r="C2676" i="34"/>
  <c r="B2676" i="34"/>
  <c r="O2676" i="34"/>
  <c r="P2676" i="34"/>
  <c r="Q2676" i="34"/>
  <c r="R2676" i="34"/>
  <c r="S2676" i="34"/>
  <c r="T2676" i="34"/>
  <c r="U2676" i="34"/>
  <c r="V2676" i="34"/>
  <c r="W2676" i="34"/>
  <c r="X2676" i="34"/>
  <c r="Y2676" i="34"/>
  <c r="N2677" i="34"/>
  <c r="C2677" i="34"/>
  <c r="B2677" i="34"/>
  <c r="O2677" i="34"/>
  <c r="P2677" i="34"/>
  <c r="Q2677" i="34"/>
  <c r="R2677" i="34"/>
  <c r="S2677" i="34"/>
  <c r="T2677" i="34"/>
  <c r="U2677" i="34"/>
  <c r="V2677" i="34"/>
  <c r="W2677" i="34"/>
  <c r="X2677" i="34"/>
  <c r="Y2677" i="34"/>
  <c r="N2678" i="34"/>
  <c r="C2678" i="34"/>
  <c r="B2678" i="34"/>
  <c r="O2678" i="34"/>
  <c r="P2678" i="34"/>
  <c r="Q2678" i="34"/>
  <c r="R2678" i="34"/>
  <c r="S2678" i="34"/>
  <c r="T2678" i="34"/>
  <c r="U2678" i="34"/>
  <c r="V2678" i="34"/>
  <c r="W2678" i="34"/>
  <c r="X2678" i="34"/>
  <c r="Y2678" i="34"/>
  <c r="N2679" i="34"/>
  <c r="C2679" i="34"/>
  <c r="B2679" i="34"/>
  <c r="O2679" i="34"/>
  <c r="P2679" i="34"/>
  <c r="Q2679" i="34"/>
  <c r="R2679" i="34"/>
  <c r="S2679" i="34"/>
  <c r="T2679" i="34"/>
  <c r="U2679" i="34"/>
  <c r="V2679" i="34"/>
  <c r="W2679" i="34"/>
  <c r="X2679" i="34"/>
  <c r="Y2679" i="34"/>
  <c r="N2680" i="34"/>
  <c r="C2680" i="34"/>
  <c r="B2680" i="34"/>
  <c r="O2680" i="34"/>
  <c r="P2680" i="34"/>
  <c r="Q2680" i="34"/>
  <c r="R2680" i="34"/>
  <c r="S2680" i="34"/>
  <c r="T2680" i="34"/>
  <c r="U2680" i="34"/>
  <c r="V2680" i="34"/>
  <c r="W2680" i="34"/>
  <c r="X2680" i="34"/>
  <c r="Y2680" i="34"/>
  <c r="N2681" i="34"/>
  <c r="C2681" i="34"/>
  <c r="B2681" i="34"/>
  <c r="O2681" i="34"/>
  <c r="P2681" i="34"/>
  <c r="Q2681" i="34"/>
  <c r="R2681" i="34"/>
  <c r="S2681" i="34"/>
  <c r="T2681" i="34"/>
  <c r="U2681" i="34"/>
  <c r="V2681" i="34"/>
  <c r="W2681" i="34"/>
  <c r="X2681" i="34"/>
  <c r="Y2681" i="34"/>
  <c r="N2682" i="34"/>
  <c r="C2682" i="34"/>
  <c r="B2682" i="34"/>
  <c r="O2682" i="34"/>
  <c r="P2682" i="34"/>
  <c r="Q2682" i="34"/>
  <c r="R2682" i="34"/>
  <c r="S2682" i="34"/>
  <c r="T2682" i="34"/>
  <c r="U2682" i="34"/>
  <c r="V2682" i="34"/>
  <c r="W2682" i="34"/>
  <c r="X2682" i="34"/>
  <c r="Y2682" i="34"/>
  <c r="N2683" i="34"/>
  <c r="C2683" i="34"/>
  <c r="B2683" i="34"/>
  <c r="O2683" i="34"/>
  <c r="P2683" i="34"/>
  <c r="Q2683" i="34"/>
  <c r="R2683" i="34"/>
  <c r="S2683" i="34"/>
  <c r="T2683" i="34"/>
  <c r="U2683" i="34"/>
  <c r="V2683" i="34"/>
  <c r="W2683" i="34"/>
  <c r="X2683" i="34"/>
  <c r="Y2683" i="34"/>
  <c r="N2684" i="34"/>
  <c r="C2684" i="34"/>
  <c r="B2684" i="34"/>
  <c r="O2684" i="34"/>
  <c r="P2684" i="34"/>
  <c r="Q2684" i="34"/>
  <c r="R2684" i="34"/>
  <c r="S2684" i="34"/>
  <c r="T2684" i="34"/>
  <c r="U2684" i="34"/>
  <c r="V2684" i="34"/>
  <c r="W2684" i="34"/>
  <c r="X2684" i="34"/>
  <c r="Y2684" i="34"/>
  <c r="N2685" i="34"/>
  <c r="C2685" i="34"/>
  <c r="B2685" i="34"/>
  <c r="O2685" i="34"/>
  <c r="P2685" i="34"/>
  <c r="Q2685" i="34"/>
  <c r="R2685" i="34"/>
  <c r="S2685" i="34"/>
  <c r="T2685" i="34"/>
  <c r="U2685" i="34"/>
  <c r="V2685" i="34"/>
  <c r="W2685" i="34"/>
  <c r="X2685" i="34"/>
  <c r="Y2685" i="34"/>
  <c r="N2686" i="34"/>
  <c r="C2686" i="34"/>
  <c r="B2686" i="34"/>
  <c r="O2686" i="34"/>
  <c r="P2686" i="34"/>
  <c r="Q2686" i="34"/>
  <c r="R2686" i="34"/>
  <c r="S2686" i="34"/>
  <c r="T2686" i="34"/>
  <c r="U2686" i="34"/>
  <c r="V2686" i="34"/>
  <c r="W2686" i="34"/>
  <c r="X2686" i="34"/>
  <c r="Y2686" i="34"/>
  <c r="N2687" i="34"/>
  <c r="C2687" i="34"/>
  <c r="B2687" i="34"/>
  <c r="O2687" i="34"/>
  <c r="P2687" i="34"/>
  <c r="Q2687" i="34"/>
  <c r="R2687" i="34"/>
  <c r="S2687" i="34"/>
  <c r="T2687" i="34"/>
  <c r="U2687" i="34"/>
  <c r="V2687" i="34"/>
  <c r="W2687" i="34"/>
  <c r="X2687" i="34"/>
  <c r="Y2687" i="34"/>
  <c r="N2688" i="34"/>
  <c r="C2688" i="34"/>
  <c r="B2688" i="34"/>
  <c r="O2688" i="34"/>
  <c r="P2688" i="34"/>
  <c r="Q2688" i="34"/>
  <c r="R2688" i="34"/>
  <c r="S2688" i="34"/>
  <c r="T2688" i="34"/>
  <c r="U2688" i="34"/>
  <c r="V2688" i="34"/>
  <c r="W2688" i="34"/>
  <c r="X2688" i="34"/>
  <c r="Y2688" i="34"/>
  <c r="N2689" i="34"/>
  <c r="C2689" i="34"/>
  <c r="B2689" i="34"/>
  <c r="O2689" i="34"/>
  <c r="P2689" i="34"/>
  <c r="Q2689" i="34"/>
  <c r="R2689" i="34"/>
  <c r="S2689" i="34"/>
  <c r="T2689" i="34"/>
  <c r="U2689" i="34"/>
  <c r="V2689" i="34"/>
  <c r="W2689" i="34"/>
  <c r="X2689" i="34"/>
  <c r="Y2689" i="34"/>
  <c r="N2690" i="34"/>
  <c r="C2690" i="34"/>
  <c r="B2690" i="34"/>
  <c r="O2690" i="34"/>
  <c r="P2690" i="34"/>
  <c r="Q2690" i="34"/>
  <c r="R2690" i="34"/>
  <c r="S2690" i="34"/>
  <c r="T2690" i="34"/>
  <c r="U2690" i="34"/>
  <c r="V2690" i="34"/>
  <c r="W2690" i="34"/>
  <c r="X2690" i="34"/>
  <c r="Y2690" i="34"/>
  <c r="N2691" i="34"/>
  <c r="C2691" i="34"/>
  <c r="B2691" i="34"/>
  <c r="O2691" i="34"/>
  <c r="P2691" i="34"/>
  <c r="Q2691" i="34"/>
  <c r="R2691" i="34"/>
  <c r="S2691" i="34"/>
  <c r="T2691" i="34"/>
  <c r="U2691" i="34"/>
  <c r="V2691" i="34"/>
  <c r="W2691" i="34"/>
  <c r="X2691" i="34"/>
  <c r="Y2691" i="34"/>
  <c r="N2692" i="34"/>
  <c r="C2692" i="34"/>
  <c r="B2692" i="34"/>
  <c r="O2692" i="34"/>
  <c r="P2692" i="34"/>
  <c r="Q2692" i="34"/>
  <c r="R2692" i="34"/>
  <c r="S2692" i="34"/>
  <c r="T2692" i="34"/>
  <c r="U2692" i="34"/>
  <c r="V2692" i="34"/>
  <c r="W2692" i="34"/>
  <c r="X2692" i="34"/>
  <c r="Y2692" i="34"/>
  <c r="N2693" i="34"/>
  <c r="C2693" i="34"/>
  <c r="B2693" i="34"/>
  <c r="O2693" i="34"/>
  <c r="P2693" i="34"/>
  <c r="Q2693" i="34"/>
  <c r="R2693" i="34"/>
  <c r="S2693" i="34"/>
  <c r="T2693" i="34"/>
  <c r="U2693" i="34"/>
  <c r="V2693" i="34"/>
  <c r="W2693" i="34"/>
  <c r="X2693" i="34"/>
  <c r="Y2693" i="34"/>
  <c r="N2694" i="34"/>
  <c r="C2694" i="34"/>
  <c r="B2694" i="34"/>
  <c r="O2694" i="34"/>
  <c r="P2694" i="34"/>
  <c r="Q2694" i="34"/>
  <c r="R2694" i="34"/>
  <c r="S2694" i="34"/>
  <c r="T2694" i="34"/>
  <c r="U2694" i="34"/>
  <c r="V2694" i="34"/>
  <c r="W2694" i="34"/>
  <c r="X2694" i="34"/>
  <c r="Y2694" i="34"/>
  <c r="N2695" i="34"/>
  <c r="C2695" i="34"/>
  <c r="B2695" i="34"/>
  <c r="O2695" i="34"/>
  <c r="P2695" i="34"/>
  <c r="Q2695" i="34"/>
  <c r="R2695" i="34"/>
  <c r="S2695" i="34"/>
  <c r="T2695" i="34"/>
  <c r="U2695" i="34"/>
  <c r="V2695" i="34"/>
  <c r="W2695" i="34"/>
  <c r="X2695" i="34"/>
  <c r="Y2695" i="34"/>
  <c r="N2696" i="34"/>
  <c r="C2696" i="34"/>
  <c r="B2696" i="34"/>
  <c r="O2696" i="34"/>
  <c r="P2696" i="34"/>
  <c r="Q2696" i="34"/>
  <c r="R2696" i="34"/>
  <c r="S2696" i="34"/>
  <c r="T2696" i="34"/>
  <c r="U2696" i="34"/>
  <c r="V2696" i="34"/>
  <c r="W2696" i="34"/>
  <c r="X2696" i="34"/>
  <c r="Y2696" i="34"/>
  <c r="N2697" i="34"/>
  <c r="C2697" i="34"/>
  <c r="B2697" i="34"/>
  <c r="O2697" i="34"/>
  <c r="P2697" i="34"/>
  <c r="Q2697" i="34"/>
  <c r="R2697" i="34"/>
  <c r="S2697" i="34"/>
  <c r="T2697" i="34"/>
  <c r="U2697" i="34"/>
  <c r="V2697" i="34"/>
  <c r="W2697" i="34"/>
  <c r="X2697" i="34"/>
  <c r="Y2697" i="34"/>
  <c r="N2698" i="34"/>
  <c r="C2698" i="34"/>
  <c r="B2698" i="34"/>
  <c r="O2698" i="34"/>
  <c r="P2698" i="34"/>
  <c r="Q2698" i="34"/>
  <c r="R2698" i="34"/>
  <c r="S2698" i="34"/>
  <c r="T2698" i="34"/>
  <c r="U2698" i="34"/>
  <c r="V2698" i="34"/>
  <c r="W2698" i="34"/>
  <c r="X2698" i="34"/>
  <c r="Y2698" i="34"/>
  <c r="N2699" i="34"/>
  <c r="C2699" i="34"/>
  <c r="B2699" i="34"/>
  <c r="O2699" i="34"/>
  <c r="P2699" i="34"/>
  <c r="Q2699" i="34"/>
  <c r="R2699" i="34"/>
  <c r="S2699" i="34"/>
  <c r="T2699" i="34"/>
  <c r="U2699" i="34"/>
  <c r="V2699" i="34"/>
  <c r="W2699" i="34"/>
  <c r="X2699" i="34"/>
  <c r="Y2699" i="34"/>
  <c r="N2700" i="34"/>
  <c r="C2700" i="34"/>
  <c r="B2700" i="34"/>
  <c r="O2700" i="34"/>
  <c r="P2700" i="34"/>
  <c r="Q2700" i="34"/>
  <c r="R2700" i="34"/>
  <c r="S2700" i="34"/>
  <c r="T2700" i="34"/>
  <c r="U2700" i="34"/>
  <c r="V2700" i="34"/>
  <c r="W2700" i="34"/>
  <c r="X2700" i="34"/>
  <c r="Y2700" i="34"/>
  <c r="N2701" i="34"/>
  <c r="C2701" i="34"/>
  <c r="B2701" i="34"/>
  <c r="O2701" i="34"/>
  <c r="P2701" i="34"/>
  <c r="Q2701" i="34"/>
  <c r="R2701" i="34"/>
  <c r="S2701" i="34"/>
  <c r="T2701" i="34"/>
  <c r="U2701" i="34"/>
  <c r="V2701" i="34"/>
  <c r="W2701" i="34"/>
  <c r="X2701" i="34"/>
  <c r="Y2701" i="34"/>
  <c r="N2702" i="34"/>
  <c r="C2702" i="34"/>
  <c r="B2702" i="34"/>
  <c r="O2702" i="34"/>
  <c r="P2702" i="34"/>
  <c r="Q2702" i="34"/>
  <c r="R2702" i="34"/>
  <c r="S2702" i="34"/>
  <c r="T2702" i="34"/>
  <c r="U2702" i="34"/>
  <c r="V2702" i="34"/>
  <c r="W2702" i="34"/>
  <c r="X2702" i="34"/>
  <c r="Y2702" i="34"/>
  <c r="N2703" i="34"/>
  <c r="C2703" i="34"/>
  <c r="B2703" i="34"/>
  <c r="O2703" i="34"/>
  <c r="P2703" i="34"/>
  <c r="Q2703" i="34"/>
  <c r="R2703" i="34"/>
  <c r="S2703" i="34"/>
  <c r="T2703" i="34"/>
  <c r="U2703" i="34"/>
  <c r="V2703" i="34"/>
  <c r="W2703" i="34"/>
  <c r="X2703" i="34"/>
  <c r="Y2703" i="34"/>
  <c r="N2704" i="34"/>
  <c r="B2704" i="34"/>
  <c r="O2704" i="34"/>
  <c r="P2704" i="34"/>
  <c r="Q2704" i="34"/>
  <c r="R2704" i="34"/>
  <c r="S2704" i="34"/>
  <c r="T2704" i="34"/>
  <c r="U2704" i="34"/>
  <c r="V2704" i="34"/>
  <c r="W2704" i="34"/>
  <c r="X2704" i="34"/>
  <c r="Y2704" i="34"/>
  <c r="N2705" i="34"/>
  <c r="B2705" i="34"/>
  <c r="O2705" i="34"/>
  <c r="P2705" i="34"/>
  <c r="Q2705" i="34"/>
  <c r="R2705" i="34"/>
  <c r="S2705" i="34"/>
  <c r="T2705" i="34"/>
  <c r="U2705" i="34"/>
  <c r="V2705" i="34"/>
  <c r="W2705" i="34"/>
  <c r="X2705" i="34"/>
  <c r="Y2705" i="34"/>
  <c r="N2706" i="34"/>
  <c r="B2706" i="34"/>
  <c r="O2706" i="34"/>
  <c r="P2706" i="34"/>
  <c r="Q2706" i="34"/>
  <c r="R2706" i="34"/>
  <c r="S2706" i="34"/>
  <c r="T2706" i="34"/>
  <c r="U2706" i="34"/>
  <c r="V2706" i="34"/>
  <c r="W2706" i="34"/>
  <c r="X2706" i="34"/>
  <c r="Y2706" i="34"/>
  <c r="N2707" i="34"/>
  <c r="B2707" i="34"/>
  <c r="O2707" i="34"/>
  <c r="P2707" i="34"/>
  <c r="Q2707" i="34"/>
  <c r="R2707" i="34"/>
  <c r="S2707" i="34"/>
  <c r="T2707" i="34"/>
  <c r="U2707" i="34"/>
  <c r="V2707" i="34"/>
  <c r="W2707" i="34"/>
  <c r="X2707" i="34"/>
  <c r="Y2707" i="34"/>
  <c r="N2708" i="34"/>
  <c r="B2708" i="34"/>
  <c r="O2708" i="34"/>
  <c r="P2708" i="34"/>
  <c r="Q2708" i="34"/>
  <c r="R2708" i="34"/>
  <c r="S2708" i="34"/>
  <c r="T2708" i="34"/>
  <c r="U2708" i="34"/>
  <c r="V2708" i="34"/>
  <c r="W2708" i="34"/>
  <c r="X2708" i="34"/>
  <c r="Y2708" i="34"/>
  <c r="N2709" i="34"/>
  <c r="B2709" i="34"/>
  <c r="O2709" i="34"/>
  <c r="P2709" i="34"/>
  <c r="Q2709" i="34"/>
  <c r="R2709" i="34"/>
  <c r="S2709" i="34"/>
  <c r="T2709" i="34"/>
  <c r="U2709" i="34"/>
  <c r="V2709" i="34"/>
  <c r="W2709" i="34"/>
  <c r="X2709" i="34"/>
  <c r="Y2709" i="34"/>
  <c r="N2710" i="34"/>
  <c r="B2710" i="34"/>
  <c r="O2710" i="34"/>
  <c r="P2710" i="34"/>
  <c r="Q2710" i="34"/>
  <c r="R2710" i="34"/>
  <c r="S2710" i="34"/>
  <c r="T2710" i="34"/>
  <c r="U2710" i="34"/>
  <c r="V2710" i="34"/>
  <c r="W2710" i="34"/>
  <c r="X2710" i="34"/>
  <c r="Y2710" i="34"/>
  <c r="N2711" i="34"/>
  <c r="B2711" i="34"/>
  <c r="O2711" i="34"/>
  <c r="P2711" i="34"/>
  <c r="Q2711" i="34"/>
  <c r="R2711" i="34"/>
  <c r="S2711" i="34"/>
  <c r="T2711" i="34"/>
  <c r="U2711" i="34"/>
  <c r="V2711" i="34"/>
  <c r="W2711" i="34"/>
  <c r="X2711" i="34"/>
  <c r="Y2711" i="34"/>
  <c r="N2712" i="34"/>
  <c r="B2712" i="34"/>
  <c r="O2712" i="34"/>
  <c r="P2712" i="34"/>
  <c r="Q2712" i="34"/>
  <c r="R2712" i="34"/>
  <c r="S2712" i="34"/>
  <c r="T2712" i="34"/>
  <c r="U2712" i="34"/>
  <c r="V2712" i="34"/>
  <c r="W2712" i="34"/>
  <c r="X2712" i="34"/>
  <c r="Y2712" i="34"/>
  <c r="N2713" i="34"/>
  <c r="B2713" i="34"/>
  <c r="O2713" i="34"/>
  <c r="P2713" i="34"/>
  <c r="Q2713" i="34"/>
  <c r="R2713" i="34"/>
  <c r="S2713" i="34"/>
  <c r="T2713" i="34"/>
  <c r="U2713" i="34"/>
  <c r="V2713" i="34"/>
  <c r="W2713" i="34"/>
  <c r="X2713" i="34"/>
  <c r="Y2713" i="34"/>
  <c r="N2714" i="34"/>
  <c r="B2714" i="34"/>
  <c r="O2714" i="34"/>
  <c r="P2714" i="34"/>
  <c r="Q2714" i="34"/>
  <c r="R2714" i="34"/>
  <c r="S2714" i="34"/>
  <c r="T2714" i="34"/>
  <c r="U2714" i="34"/>
  <c r="V2714" i="34"/>
  <c r="W2714" i="34"/>
  <c r="X2714" i="34"/>
  <c r="Y2714" i="34"/>
  <c r="N2715" i="34"/>
  <c r="B2715" i="34"/>
  <c r="O2715" i="34"/>
  <c r="P2715" i="34"/>
  <c r="Q2715" i="34"/>
  <c r="R2715" i="34"/>
  <c r="S2715" i="34"/>
  <c r="T2715" i="34"/>
  <c r="U2715" i="34"/>
  <c r="V2715" i="34"/>
  <c r="W2715" i="34"/>
  <c r="X2715" i="34"/>
  <c r="Y2715" i="34"/>
  <c r="N2716" i="34"/>
  <c r="B2716" i="34"/>
  <c r="O2716" i="34"/>
  <c r="P2716" i="34"/>
  <c r="Q2716" i="34"/>
  <c r="R2716" i="34"/>
  <c r="S2716" i="34"/>
  <c r="T2716" i="34"/>
  <c r="U2716" i="34"/>
  <c r="V2716" i="34"/>
  <c r="W2716" i="34"/>
  <c r="X2716" i="34"/>
  <c r="Y2716" i="34"/>
  <c r="N2717" i="34"/>
  <c r="B2717" i="34"/>
  <c r="O2717" i="34"/>
  <c r="P2717" i="34"/>
  <c r="Q2717" i="34"/>
  <c r="R2717" i="34"/>
  <c r="S2717" i="34"/>
  <c r="T2717" i="34"/>
  <c r="U2717" i="34"/>
  <c r="V2717" i="34"/>
  <c r="W2717" i="34"/>
  <c r="X2717" i="34"/>
  <c r="Y2717" i="34"/>
  <c r="N2718" i="34"/>
  <c r="B2718" i="34"/>
  <c r="O2718" i="34"/>
  <c r="P2718" i="34"/>
  <c r="Q2718" i="34"/>
  <c r="R2718" i="34"/>
  <c r="S2718" i="34"/>
  <c r="T2718" i="34"/>
  <c r="U2718" i="34"/>
  <c r="V2718" i="34"/>
  <c r="W2718" i="34"/>
  <c r="X2718" i="34"/>
  <c r="Y2718" i="34"/>
  <c r="N2719" i="34"/>
  <c r="B2719" i="34"/>
  <c r="O2719" i="34"/>
  <c r="P2719" i="34"/>
  <c r="Q2719" i="34"/>
  <c r="R2719" i="34"/>
  <c r="S2719" i="34"/>
  <c r="T2719" i="34"/>
  <c r="U2719" i="34"/>
  <c r="V2719" i="34"/>
  <c r="W2719" i="34"/>
  <c r="X2719" i="34"/>
  <c r="Y2719" i="34"/>
  <c r="N2720" i="34"/>
  <c r="B2720" i="34"/>
  <c r="O2720" i="34"/>
  <c r="P2720" i="34"/>
  <c r="Q2720" i="34"/>
  <c r="R2720" i="34"/>
  <c r="S2720" i="34"/>
  <c r="T2720" i="34"/>
  <c r="U2720" i="34"/>
  <c r="V2720" i="34"/>
  <c r="W2720" i="34"/>
  <c r="X2720" i="34"/>
  <c r="Y2720" i="34"/>
  <c r="N2721" i="34"/>
  <c r="B2721" i="34"/>
  <c r="O2721" i="34"/>
  <c r="P2721" i="34"/>
  <c r="Q2721" i="34"/>
  <c r="R2721" i="34"/>
  <c r="S2721" i="34"/>
  <c r="T2721" i="34"/>
  <c r="U2721" i="34"/>
  <c r="V2721" i="34"/>
  <c r="W2721" i="34"/>
  <c r="X2721" i="34"/>
  <c r="Y2721" i="34"/>
  <c r="N2722" i="34"/>
  <c r="B2722" i="34"/>
  <c r="O2722" i="34"/>
  <c r="P2722" i="34"/>
  <c r="Q2722" i="34"/>
  <c r="R2722" i="34"/>
  <c r="S2722" i="34"/>
  <c r="T2722" i="34"/>
  <c r="U2722" i="34"/>
  <c r="V2722" i="34"/>
  <c r="W2722" i="34"/>
  <c r="X2722" i="34"/>
  <c r="Y2722" i="34"/>
  <c r="N2723" i="34"/>
  <c r="B2723" i="34"/>
  <c r="O2723" i="34"/>
  <c r="P2723" i="34"/>
  <c r="Q2723" i="34"/>
  <c r="R2723" i="34"/>
  <c r="S2723" i="34"/>
  <c r="T2723" i="34"/>
  <c r="U2723" i="34"/>
  <c r="V2723" i="34"/>
  <c r="W2723" i="34"/>
  <c r="X2723" i="34"/>
  <c r="Y2723" i="34"/>
  <c r="N2724" i="34"/>
  <c r="B2724" i="34"/>
  <c r="O2724" i="34"/>
  <c r="P2724" i="34"/>
  <c r="Q2724" i="34"/>
  <c r="R2724" i="34"/>
  <c r="S2724" i="34"/>
  <c r="T2724" i="34"/>
  <c r="U2724" i="34"/>
  <c r="V2724" i="34"/>
  <c r="W2724" i="34"/>
  <c r="X2724" i="34"/>
  <c r="Y2724" i="34"/>
  <c r="N2725" i="34"/>
  <c r="B2725" i="34"/>
  <c r="O2725" i="34"/>
  <c r="P2725" i="34"/>
  <c r="Q2725" i="34"/>
  <c r="R2725" i="34"/>
  <c r="S2725" i="34"/>
  <c r="T2725" i="34"/>
  <c r="U2725" i="34"/>
  <c r="V2725" i="34"/>
  <c r="W2725" i="34"/>
  <c r="X2725" i="34"/>
  <c r="Y2725" i="34"/>
  <c r="N2726" i="34"/>
  <c r="B2726" i="34"/>
  <c r="O2726" i="34"/>
  <c r="P2726" i="34"/>
  <c r="Q2726" i="34"/>
  <c r="R2726" i="34"/>
  <c r="S2726" i="34"/>
  <c r="T2726" i="34"/>
  <c r="U2726" i="34"/>
  <c r="V2726" i="34"/>
  <c r="W2726" i="34"/>
  <c r="X2726" i="34"/>
  <c r="Y2726" i="34"/>
  <c r="N2727" i="34"/>
  <c r="B2727" i="34"/>
  <c r="O2727" i="34"/>
  <c r="P2727" i="34"/>
  <c r="Q2727" i="34"/>
  <c r="R2727" i="34"/>
  <c r="S2727" i="34"/>
  <c r="T2727" i="34"/>
  <c r="U2727" i="34"/>
  <c r="V2727" i="34"/>
  <c r="W2727" i="34"/>
  <c r="X2727" i="34"/>
  <c r="Y2727" i="34"/>
  <c r="N2728" i="34"/>
  <c r="B2728" i="34"/>
  <c r="O2728" i="34"/>
  <c r="P2728" i="34"/>
  <c r="Q2728" i="34"/>
  <c r="R2728" i="34"/>
  <c r="S2728" i="34"/>
  <c r="T2728" i="34"/>
  <c r="U2728" i="34"/>
  <c r="V2728" i="34"/>
  <c r="W2728" i="34"/>
  <c r="X2728" i="34"/>
  <c r="Y2728" i="34"/>
  <c r="N2729" i="34"/>
  <c r="B2729" i="34"/>
  <c r="O2729" i="34"/>
  <c r="P2729" i="34"/>
  <c r="Q2729" i="34"/>
  <c r="R2729" i="34"/>
  <c r="S2729" i="34"/>
  <c r="T2729" i="34"/>
  <c r="U2729" i="34"/>
  <c r="V2729" i="34"/>
  <c r="W2729" i="34"/>
  <c r="X2729" i="34"/>
  <c r="Y2729" i="34"/>
  <c r="N2730" i="34"/>
  <c r="B2730" i="34"/>
  <c r="O2730" i="34"/>
  <c r="P2730" i="34"/>
  <c r="Q2730" i="34"/>
  <c r="R2730" i="34"/>
  <c r="S2730" i="34"/>
  <c r="T2730" i="34"/>
  <c r="U2730" i="34"/>
  <c r="V2730" i="34"/>
  <c r="W2730" i="34"/>
  <c r="X2730" i="34"/>
  <c r="Y2730" i="34"/>
  <c r="N2731" i="34"/>
  <c r="B2731" i="34"/>
  <c r="O2731" i="34"/>
  <c r="P2731" i="34"/>
  <c r="Q2731" i="34"/>
  <c r="R2731" i="34"/>
  <c r="S2731" i="34"/>
  <c r="T2731" i="34"/>
  <c r="U2731" i="34"/>
  <c r="V2731" i="34"/>
  <c r="W2731" i="34"/>
  <c r="X2731" i="34"/>
  <c r="Y2731" i="34"/>
  <c r="N2732" i="34"/>
  <c r="B2732" i="34"/>
  <c r="O2732" i="34"/>
  <c r="P2732" i="34"/>
  <c r="Q2732" i="34"/>
  <c r="R2732" i="34"/>
  <c r="S2732" i="34"/>
  <c r="T2732" i="34"/>
  <c r="U2732" i="34"/>
  <c r="V2732" i="34"/>
  <c r="W2732" i="34"/>
  <c r="X2732" i="34"/>
  <c r="Y2732" i="34"/>
  <c r="N2733" i="34"/>
  <c r="B2733" i="34"/>
  <c r="O2733" i="34"/>
  <c r="P2733" i="34"/>
  <c r="Q2733" i="34"/>
  <c r="R2733" i="34"/>
  <c r="S2733" i="34"/>
  <c r="T2733" i="34"/>
  <c r="U2733" i="34"/>
  <c r="V2733" i="34"/>
  <c r="W2733" i="34"/>
  <c r="X2733" i="34"/>
  <c r="Y2733" i="34"/>
  <c r="N2734" i="34"/>
  <c r="B2734" i="34"/>
  <c r="O2734" i="34"/>
  <c r="P2734" i="34"/>
  <c r="Q2734" i="34"/>
  <c r="R2734" i="34"/>
  <c r="S2734" i="34"/>
  <c r="T2734" i="34"/>
  <c r="U2734" i="34"/>
  <c r="V2734" i="34"/>
  <c r="W2734" i="34"/>
  <c r="X2734" i="34"/>
  <c r="Y2734" i="34"/>
  <c r="N2735" i="34"/>
  <c r="B2735" i="34"/>
  <c r="O2735" i="34"/>
  <c r="P2735" i="34"/>
  <c r="Q2735" i="34"/>
  <c r="R2735" i="34"/>
  <c r="S2735" i="34"/>
  <c r="T2735" i="34"/>
  <c r="U2735" i="34"/>
  <c r="V2735" i="34"/>
  <c r="W2735" i="34"/>
  <c r="X2735" i="34"/>
  <c r="Y2735" i="34"/>
  <c r="N2736" i="34"/>
  <c r="B2736" i="34"/>
  <c r="O2736" i="34"/>
  <c r="P2736" i="34"/>
  <c r="Q2736" i="34"/>
  <c r="R2736" i="34"/>
  <c r="S2736" i="34"/>
  <c r="T2736" i="34"/>
  <c r="U2736" i="34"/>
  <c r="V2736" i="34"/>
  <c r="W2736" i="34"/>
  <c r="X2736" i="34"/>
  <c r="Y2736" i="34"/>
  <c r="N2737" i="34"/>
  <c r="B2737" i="34"/>
  <c r="O2737" i="34"/>
  <c r="P2737" i="34"/>
  <c r="Q2737" i="34"/>
  <c r="R2737" i="34"/>
  <c r="S2737" i="34"/>
  <c r="T2737" i="34"/>
  <c r="U2737" i="34"/>
  <c r="V2737" i="34"/>
  <c r="W2737" i="34"/>
  <c r="X2737" i="34"/>
  <c r="Y2737" i="34"/>
  <c r="N2738" i="34"/>
  <c r="B2738" i="34"/>
  <c r="O2738" i="34"/>
  <c r="P2738" i="34"/>
  <c r="Q2738" i="34"/>
  <c r="R2738" i="34"/>
  <c r="S2738" i="34"/>
  <c r="T2738" i="34"/>
  <c r="U2738" i="34"/>
  <c r="V2738" i="34"/>
  <c r="W2738" i="34"/>
  <c r="X2738" i="34"/>
  <c r="Y2738" i="34"/>
  <c r="N2739" i="34"/>
  <c r="B2739" i="34"/>
  <c r="O2739" i="34"/>
  <c r="P2739" i="34"/>
  <c r="Q2739" i="34"/>
  <c r="R2739" i="34"/>
  <c r="S2739" i="34"/>
  <c r="T2739" i="34"/>
  <c r="U2739" i="34"/>
  <c r="V2739" i="34"/>
  <c r="W2739" i="34"/>
  <c r="X2739" i="34"/>
  <c r="Y2739" i="34"/>
  <c r="N2740" i="34"/>
  <c r="B2740" i="34"/>
  <c r="O2740" i="34"/>
  <c r="P2740" i="34"/>
  <c r="Q2740" i="34"/>
  <c r="R2740" i="34"/>
  <c r="S2740" i="34"/>
  <c r="T2740" i="34"/>
  <c r="U2740" i="34"/>
  <c r="V2740" i="34"/>
  <c r="W2740" i="34"/>
  <c r="X2740" i="34"/>
  <c r="Y2740" i="34"/>
  <c r="N2741" i="34"/>
  <c r="B2741" i="34"/>
  <c r="O2741" i="34"/>
  <c r="P2741" i="34"/>
  <c r="Q2741" i="34"/>
  <c r="R2741" i="34"/>
  <c r="S2741" i="34"/>
  <c r="T2741" i="34"/>
  <c r="U2741" i="34"/>
  <c r="V2741" i="34"/>
  <c r="W2741" i="34"/>
  <c r="X2741" i="34"/>
  <c r="Y2741" i="34"/>
  <c r="N2742" i="34"/>
  <c r="B2742" i="34"/>
  <c r="O2742" i="34"/>
  <c r="P2742" i="34"/>
  <c r="Q2742" i="34"/>
  <c r="R2742" i="34"/>
  <c r="S2742" i="34"/>
  <c r="T2742" i="34"/>
  <c r="U2742" i="34"/>
  <c r="V2742" i="34"/>
  <c r="W2742" i="34"/>
  <c r="X2742" i="34"/>
  <c r="Y2742" i="34"/>
  <c r="N2743" i="34"/>
  <c r="B2743" i="34"/>
  <c r="O2743" i="34"/>
  <c r="P2743" i="34"/>
  <c r="Q2743" i="34"/>
  <c r="R2743" i="34"/>
  <c r="S2743" i="34"/>
  <c r="T2743" i="34"/>
  <c r="U2743" i="34"/>
  <c r="V2743" i="34"/>
  <c r="W2743" i="34"/>
  <c r="X2743" i="34"/>
  <c r="Y2743" i="34"/>
  <c r="N2744" i="34"/>
  <c r="B2744" i="34"/>
  <c r="O2744" i="34"/>
  <c r="P2744" i="34"/>
  <c r="Q2744" i="34"/>
  <c r="R2744" i="34"/>
  <c r="S2744" i="34"/>
  <c r="T2744" i="34"/>
  <c r="U2744" i="34"/>
  <c r="V2744" i="34"/>
  <c r="W2744" i="34"/>
  <c r="X2744" i="34"/>
  <c r="Y2744" i="34"/>
  <c r="N2745" i="34"/>
  <c r="B2745" i="34"/>
  <c r="O2745" i="34"/>
  <c r="P2745" i="34"/>
  <c r="Q2745" i="34"/>
  <c r="R2745" i="34"/>
  <c r="S2745" i="34"/>
  <c r="T2745" i="34"/>
  <c r="U2745" i="34"/>
  <c r="V2745" i="34"/>
  <c r="W2745" i="34"/>
  <c r="X2745" i="34"/>
  <c r="Y2745" i="34"/>
  <c r="N2746" i="34"/>
  <c r="B2746" i="34"/>
  <c r="O2746" i="34"/>
  <c r="P2746" i="34"/>
  <c r="Q2746" i="34"/>
  <c r="R2746" i="34"/>
  <c r="S2746" i="34"/>
  <c r="T2746" i="34"/>
  <c r="U2746" i="34"/>
  <c r="V2746" i="34"/>
  <c r="W2746" i="34"/>
  <c r="X2746" i="34"/>
  <c r="Y2746" i="34"/>
  <c r="N2747" i="34"/>
  <c r="C2747" i="34"/>
  <c r="B2747" i="34"/>
  <c r="O2747" i="34"/>
  <c r="P2747" i="34"/>
  <c r="Q2747" i="34"/>
  <c r="R2747" i="34"/>
  <c r="S2747" i="34"/>
  <c r="T2747" i="34"/>
  <c r="U2747" i="34"/>
  <c r="V2747" i="34"/>
  <c r="W2747" i="34"/>
  <c r="X2747" i="34"/>
  <c r="Y2747" i="34"/>
  <c r="N2748" i="34"/>
  <c r="C2748" i="34"/>
  <c r="B2748" i="34"/>
  <c r="O2748" i="34"/>
  <c r="P2748" i="34"/>
  <c r="Q2748" i="34"/>
  <c r="R2748" i="34"/>
  <c r="S2748" i="34"/>
  <c r="T2748" i="34"/>
  <c r="U2748" i="34"/>
  <c r="V2748" i="34"/>
  <c r="W2748" i="34"/>
  <c r="X2748" i="34"/>
  <c r="Y2748" i="34"/>
  <c r="N2749" i="34"/>
  <c r="C2749" i="34"/>
  <c r="B2749" i="34"/>
  <c r="O2749" i="34"/>
  <c r="P2749" i="34"/>
  <c r="Q2749" i="34"/>
  <c r="R2749" i="34"/>
  <c r="S2749" i="34"/>
  <c r="T2749" i="34"/>
  <c r="U2749" i="34"/>
  <c r="V2749" i="34"/>
  <c r="W2749" i="34"/>
  <c r="X2749" i="34"/>
  <c r="Y2749" i="34"/>
  <c r="N2750" i="34"/>
  <c r="C2750" i="34"/>
  <c r="B2750" i="34"/>
  <c r="O2750" i="34"/>
  <c r="P2750" i="34"/>
  <c r="Q2750" i="34"/>
  <c r="R2750" i="34"/>
  <c r="S2750" i="34"/>
  <c r="T2750" i="34"/>
  <c r="U2750" i="34"/>
  <c r="V2750" i="34"/>
  <c r="W2750" i="34"/>
  <c r="X2750" i="34"/>
  <c r="Y2750" i="34"/>
  <c r="N2751" i="34"/>
  <c r="C2751" i="34"/>
  <c r="B2751" i="34"/>
  <c r="O2751" i="34"/>
  <c r="P2751" i="34"/>
  <c r="Q2751" i="34"/>
  <c r="R2751" i="34"/>
  <c r="S2751" i="34"/>
  <c r="T2751" i="34"/>
  <c r="U2751" i="34"/>
  <c r="V2751" i="34"/>
  <c r="W2751" i="34"/>
  <c r="X2751" i="34"/>
  <c r="Y2751" i="34"/>
  <c r="N2752" i="34"/>
  <c r="C2752" i="34"/>
  <c r="B2752" i="34"/>
  <c r="O2752" i="34"/>
  <c r="P2752" i="34"/>
  <c r="Q2752" i="34"/>
  <c r="R2752" i="34"/>
  <c r="S2752" i="34"/>
  <c r="T2752" i="34"/>
  <c r="U2752" i="34"/>
  <c r="V2752" i="34"/>
  <c r="W2752" i="34"/>
  <c r="X2752" i="34"/>
  <c r="Y2752" i="34"/>
  <c r="N2753" i="34"/>
  <c r="C2753" i="34"/>
  <c r="B2753" i="34"/>
  <c r="O2753" i="34"/>
  <c r="P2753" i="34"/>
  <c r="Q2753" i="34"/>
  <c r="R2753" i="34"/>
  <c r="S2753" i="34"/>
  <c r="T2753" i="34"/>
  <c r="U2753" i="34"/>
  <c r="V2753" i="34"/>
  <c r="W2753" i="34"/>
  <c r="X2753" i="34"/>
  <c r="Y2753" i="34"/>
  <c r="N2754" i="34"/>
  <c r="C2754" i="34"/>
  <c r="B2754" i="34"/>
  <c r="O2754" i="34"/>
  <c r="P2754" i="34"/>
  <c r="Q2754" i="34"/>
  <c r="R2754" i="34"/>
  <c r="S2754" i="34"/>
  <c r="T2754" i="34"/>
  <c r="U2754" i="34"/>
  <c r="V2754" i="34"/>
  <c r="W2754" i="34"/>
  <c r="X2754" i="34"/>
  <c r="Y2754" i="34"/>
  <c r="N2755" i="34"/>
  <c r="C2755" i="34"/>
  <c r="B2755" i="34"/>
  <c r="O2755" i="34"/>
  <c r="P2755" i="34"/>
  <c r="Q2755" i="34"/>
  <c r="R2755" i="34"/>
  <c r="S2755" i="34"/>
  <c r="T2755" i="34"/>
  <c r="U2755" i="34"/>
  <c r="V2755" i="34"/>
  <c r="W2755" i="34"/>
  <c r="X2755" i="34"/>
  <c r="Y2755" i="34"/>
  <c r="N2756" i="34"/>
  <c r="C2756" i="34"/>
  <c r="B2756" i="34"/>
  <c r="O2756" i="34"/>
  <c r="P2756" i="34"/>
  <c r="Q2756" i="34"/>
  <c r="R2756" i="34"/>
  <c r="S2756" i="34"/>
  <c r="T2756" i="34"/>
  <c r="U2756" i="34"/>
  <c r="V2756" i="34"/>
  <c r="W2756" i="34"/>
  <c r="X2756" i="34"/>
  <c r="Y2756" i="34"/>
  <c r="N2757" i="34"/>
  <c r="C2757" i="34"/>
  <c r="B2757" i="34"/>
  <c r="O2757" i="34"/>
  <c r="P2757" i="34"/>
  <c r="Q2757" i="34"/>
  <c r="R2757" i="34"/>
  <c r="S2757" i="34"/>
  <c r="T2757" i="34"/>
  <c r="U2757" i="34"/>
  <c r="V2757" i="34"/>
  <c r="W2757" i="34"/>
  <c r="X2757" i="34"/>
  <c r="Y2757" i="34"/>
  <c r="N2758" i="34"/>
  <c r="C2758" i="34"/>
  <c r="B2758" i="34"/>
  <c r="O2758" i="34"/>
  <c r="P2758" i="34"/>
  <c r="Q2758" i="34"/>
  <c r="R2758" i="34"/>
  <c r="S2758" i="34"/>
  <c r="T2758" i="34"/>
  <c r="U2758" i="34"/>
  <c r="V2758" i="34"/>
  <c r="W2758" i="34"/>
  <c r="X2758" i="34"/>
  <c r="Y2758" i="34"/>
  <c r="N2759" i="34"/>
  <c r="C2759" i="34"/>
  <c r="B2759" i="34"/>
  <c r="O2759" i="34"/>
  <c r="P2759" i="34"/>
  <c r="Q2759" i="34"/>
  <c r="R2759" i="34"/>
  <c r="S2759" i="34"/>
  <c r="T2759" i="34"/>
  <c r="U2759" i="34"/>
  <c r="V2759" i="34"/>
  <c r="W2759" i="34"/>
  <c r="X2759" i="34"/>
  <c r="Y2759" i="34"/>
  <c r="N2760" i="34"/>
  <c r="C2760" i="34"/>
  <c r="B2760" i="34"/>
  <c r="O2760" i="34"/>
  <c r="P2760" i="34"/>
  <c r="Q2760" i="34"/>
  <c r="R2760" i="34"/>
  <c r="S2760" i="34"/>
  <c r="T2760" i="34"/>
  <c r="U2760" i="34"/>
  <c r="V2760" i="34"/>
  <c r="W2760" i="34"/>
  <c r="X2760" i="34"/>
  <c r="Y2760" i="34"/>
  <c r="N2761" i="34"/>
  <c r="C2761" i="34"/>
  <c r="B2761" i="34"/>
  <c r="O2761" i="34"/>
  <c r="P2761" i="34"/>
  <c r="Q2761" i="34"/>
  <c r="R2761" i="34"/>
  <c r="S2761" i="34"/>
  <c r="T2761" i="34"/>
  <c r="U2761" i="34"/>
  <c r="V2761" i="34"/>
  <c r="W2761" i="34"/>
  <c r="X2761" i="34"/>
  <c r="Y2761" i="34"/>
  <c r="N2762" i="34"/>
  <c r="C2762" i="34"/>
  <c r="B2762" i="34"/>
  <c r="O2762" i="34"/>
  <c r="P2762" i="34"/>
  <c r="Q2762" i="34"/>
  <c r="R2762" i="34"/>
  <c r="S2762" i="34"/>
  <c r="T2762" i="34"/>
  <c r="U2762" i="34"/>
  <c r="V2762" i="34"/>
  <c r="W2762" i="34"/>
  <c r="X2762" i="34"/>
  <c r="Y2762" i="34"/>
  <c r="N2763" i="34"/>
  <c r="C2763" i="34"/>
  <c r="B2763" i="34"/>
  <c r="O2763" i="34"/>
  <c r="P2763" i="34"/>
  <c r="Q2763" i="34"/>
  <c r="R2763" i="34"/>
  <c r="S2763" i="34"/>
  <c r="T2763" i="34"/>
  <c r="U2763" i="34"/>
  <c r="V2763" i="34"/>
  <c r="W2763" i="34"/>
  <c r="X2763" i="34"/>
  <c r="Y2763" i="34"/>
  <c r="N2764" i="34"/>
  <c r="C2764" i="34"/>
  <c r="B2764" i="34"/>
  <c r="O2764" i="34"/>
  <c r="P2764" i="34"/>
  <c r="Q2764" i="34"/>
  <c r="R2764" i="34"/>
  <c r="S2764" i="34"/>
  <c r="T2764" i="34"/>
  <c r="U2764" i="34"/>
  <c r="V2764" i="34"/>
  <c r="W2764" i="34"/>
  <c r="X2764" i="34"/>
  <c r="Y2764" i="34"/>
  <c r="N2765" i="34"/>
  <c r="C2765" i="34"/>
  <c r="B2765" i="34"/>
  <c r="O2765" i="34"/>
  <c r="P2765" i="34"/>
  <c r="Q2765" i="34"/>
  <c r="R2765" i="34"/>
  <c r="S2765" i="34"/>
  <c r="T2765" i="34"/>
  <c r="U2765" i="34"/>
  <c r="V2765" i="34"/>
  <c r="W2765" i="34"/>
  <c r="X2765" i="34"/>
  <c r="Y2765" i="34"/>
  <c r="N2766" i="34"/>
  <c r="C2766" i="34"/>
  <c r="B2766" i="34"/>
  <c r="O2766" i="34"/>
  <c r="P2766" i="34"/>
  <c r="Q2766" i="34"/>
  <c r="R2766" i="34"/>
  <c r="S2766" i="34"/>
  <c r="T2766" i="34"/>
  <c r="U2766" i="34"/>
  <c r="V2766" i="34"/>
  <c r="W2766" i="34"/>
  <c r="X2766" i="34"/>
  <c r="Y2766" i="34"/>
  <c r="N2767" i="34"/>
  <c r="C2767" i="34"/>
  <c r="B2767" i="34"/>
  <c r="O2767" i="34"/>
  <c r="P2767" i="34"/>
  <c r="Q2767" i="34"/>
  <c r="R2767" i="34"/>
  <c r="S2767" i="34"/>
  <c r="T2767" i="34"/>
  <c r="U2767" i="34"/>
  <c r="V2767" i="34"/>
  <c r="W2767" i="34"/>
  <c r="X2767" i="34"/>
  <c r="Y2767" i="34"/>
  <c r="N2768" i="34"/>
  <c r="C2768" i="34"/>
  <c r="B2768" i="34"/>
  <c r="O2768" i="34"/>
  <c r="P2768" i="34"/>
  <c r="Q2768" i="34"/>
  <c r="R2768" i="34"/>
  <c r="S2768" i="34"/>
  <c r="T2768" i="34"/>
  <c r="U2768" i="34"/>
  <c r="V2768" i="34"/>
  <c r="W2768" i="34"/>
  <c r="X2768" i="34"/>
  <c r="Y2768" i="34"/>
  <c r="N2769" i="34"/>
  <c r="C2769" i="34"/>
  <c r="B2769" i="34"/>
  <c r="O2769" i="34"/>
  <c r="P2769" i="34"/>
  <c r="Q2769" i="34"/>
  <c r="R2769" i="34"/>
  <c r="S2769" i="34"/>
  <c r="T2769" i="34"/>
  <c r="U2769" i="34"/>
  <c r="V2769" i="34"/>
  <c r="W2769" i="34"/>
  <c r="X2769" i="34"/>
  <c r="Y2769" i="34"/>
  <c r="N2770" i="34"/>
  <c r="C2770" i="34"/>
  <c r="B2770" i="34"/>
  <c r="O2770" i="34"/>
  <c r="P2770" i="34"/>
  <c r="Q2770" i="34"/>
  <c r="R2770" i="34"/>
  <c r="S2770" i="34"/>
  <c r="T2770" i="34"/>
  <c r="U2770" i="34"/>
  <c r="V2770" i="34"/>
  <c r="W2770" i="34"/>
  <c r="X2770" i="34"/>
  <c r="Y2770" i="34"/>
  <c r="N2771" i="34"/>
  <c r="C2771" i="34"/>
  <c r="B2771" i="34"/>
  <c r="O2771" i="34"/>
  <c r="P2771" i="34"/>
  <c r="Q2771" i="34"/>
  <c r="R2771" i="34"/>
  <c r="S2771" i="34"/>
  <c r="T2771" i="34"/>
  <c r="U2771" i="34"/>
  <c r="V2771" i="34"/>
  <c r="W2771" i="34"/>
  <c r="X2771" i="34"/>
  <c r="Y2771" i="34"/>
  <c r="N2772" i="34"/>
  <c r="C2772" i="34"/>
  <c r="B2772" i="34"/>
  <c r="O2772" i="34"/>
  <c r="P2772" i="34"/>
  <c r="Q2772" i="34"/>
  <c r="R2772" i="34"/>
  <c r="S2772" i="34"/>
  <c r="T2772" i="34"/>
  <c r="U2772" i="34"/>
  <c r="V2772" i="34"/>
  <c r="W2772" i="34"/>
  <c r="X2772" i="34"/>
  <c r="Y2772" i="34"/>
  <c r="N2773" i="34"/>
  <c r="C2773" i="34"/>
  <c r="B2773" i="34"/>
  <c r="O2773" i="34"/>
  <c r="P2773" i="34"/>
  <c r="Q2773" i="34"/>
  <c r="R2773" i="34"/>
  <c r="S2773" i="34"/>
  <c r="T2773" i="34"/>
  <c r="U2773" i="34"/>
  <c r="V2773" i="34"/>
  <c r="W2773" i="34"/>
  <c r="X2773" i="34"/>
  <c r="Y2773" i="34"/>
  <c r="N2774" i="34"/>
  <c r="C2774" i="34"/>
  <c r="B2774" i="34"/>
  <c r="O2774" i="34"/>
  <c r="P2774" i="34"/>
  <c r="Q2774" i="34"/>
  <c r="R2774" i="34"/>
  <c r="S2774" i="34"/>
  <c r="T2774" i="34"/>
  <c r="U2774" i="34"/>
  <c r="V2774" i="34"/>
  <c r="W2774" i="34"/>
  <c r="X2774" i="34"/>
  <c r="Y2774" i="34"/>
  <c r="N2775" i="34"/>
  <c r="C2775" i="34"/>
  <c r="B2775" i="34"/>
  <c r="O2775" i="34"/>
  <c r="P2775" i="34"/>
  <c r="Q2775" i="34"/>
  <c r="R2775" i="34"/>
  <c r="S2775" i="34"/>
  <c r="T2775" i="34"/>
  <c r="U2775" i="34"/>
  <c r="V2775" i="34"/>
  <c r="W2775" i="34"/>
  <c r="X2775" i="34"/>
  <c r="Y2775" i="34"/>
  <c r="N2776" i="34"/>
  <c r="C2776" i="34"/>
  <c r="B2776" i="34"/>
  <c r="O2776" i="34"/>
  <c r="P2776" i="34"/>
  <c r="Q2776" i="34"/>
  <c r="R2776" i="34"/>
  <c r="S2776" i="34"/>
  <c r="T2776" i="34"/>
  <c r="U2776" i="34"/>
  <c r="V2776" i="34"/>
  <c r="W2776" i="34"/>
  <c r="X2776" i="34"/>
  <c r="Y2776" i="34"/>
  <c r="N2777" i="34"/>
  <c r="C2777" i="34"/>
  <c r="B2777" i="34"/>
  <c r="O2777" i="34"/>
  <c r="P2777" i="34"/>
  <c r="Q2777" i="34"/>
  <c r="R2777" i="34"/>
  <c r="S2777" i="34"/>
  <c r="T2777" i="34"/>
  <c r="U2777" i="34"/>
  <c r="V2777" i="34"/>
  <c r="W2777" i="34"/>
  <c r="X2777" i="34"/>
  <c r="Y2777" i="34"/>
  <c r="N2778" i="34"/>
  <c r="C2778" i="34"/>
  <c r="B2778" i="34"/>
  <c r="O2778" i="34"/>
  <c r="P2778" i="34"/>
  <c r="Q2778" i="34"/>
  <c r="R2778" i="34"/>
  <c r="S2778" i="34"/>
  <c r="T2778" i="34"/>
  <c r="U2778" i="34"/>
  <c r="V2778" i="34"/>
  <c r="W2778" i="34"/>
  <c r="X2778" i="34"/>
  <c r="Y2778" i="34"/>
  <c r="N2779" i="34"/>
  <c r="C2779" i="34"/>
  <c r="B2779" i="34"/>
  <c r="O2779" i="34"/>
  <c r="P2779" i="34"/>
  <c r="Q2779" i="34"/>
  <c r="R2779" i="34"/>
  <c r="S2779" i="34"/>
  <c r="T2779" i="34"/>
  <c r="U2779" i="34"/>
  <c r="V2779" i="34"/>
  <c r="W2779" i="34"/>
  <c r="X2779" i="34"/>
  <c r="Y2779" i="34"/>
  <c r="N2780" i="34"/>
  <c r="C2780" i="34"/>
  <c r="B2780" i="34"/>
  <c r="O2780" i="34"/>
  <c r="P2780" i="34"/>
  <c r="Q2780" i="34"/>
  <c r="R2780" i="34"/>
  <c r="S2780" i="34"/>
  <c r="T2780" i="34"/>
  <c r="U2780" i="34"/>
  <c r="V2780" i="34"/>
  <c r="W2780" i="34"/>
  <c r="X2780" i="34"/>
  <c r="Y2780" i="34"/>
  <c r="N2781" i="34"/>
  <c r="C2781" i="34"/>
  <c r="B2781" i="34"/>
  <c r="O2781" i="34"/>
  <c r="P2781" i="34"/>
  <c r="Q2781" i="34"/>
  <c r="R2781" i="34"/>
  <c r="S2781" i="34"/>
  <c r="T2781" i="34"/>
  <c r="U2781" i="34"/>
  <c r="V2781" i="34"/>
  <c r="W2781" i="34"/>
  <c r="X2781" i="34"/>
  <c r="Y2781" i="34"/>
  <c r="N2782" i="34"/>
  <c r="C2782" i="34"/>
  <c r="B2782" i="34"/>
  <c r="O2782" i="34"/>
  <c r="P2782" i="34"/>
  <c r="Q2782" i="34"/>
  <c r="R2782" i="34"/>
  <c r="S2782" i="34"/>
  <c r="T2782" i="34"/>
  <c r="U2782" i="34"/>
  <c r="V2782" i="34"/>
  <c r="W2782" i="34"/>
  <c r="X2782" i="34"/>
  <c r="Y2782" i="34"/>
  <c r="N2783" i="34"/>
  <c r="C2783" i="34"/>
  <c r="B2783" i="34"/>
  <c r="O2783" i="34"/>
  <c r="P2783" i="34"/>
  <c r="Q2783" i="34"/>
  <c r="R2783" i="34"/>
  <c r="S2783" i="34"/>
  <c r="T2783" i="34"/>
  <c r="U2783" i="34"/>
  <c r="V2783" i="34"/>
  <c r="W2783" i="34"/>
  <c r="X2783" i="34"/>
  <c r="Y2783" i="34"/>
  <c r="N2784" i="34"/>
  <c r="C2784" i="34"/>
  <c r="B2784" i="34"/>
  <c r="O2784" i="34"/>
  <c r="P2784" i="34"/>
  <c r="Q2784" i="34"/>
  <c r="R2784" i="34"/>
  <c r="S2784" i="34"/>
  <c r="T2784" i="34"/>
  <c r="U2784" i="34"/>
  <c r="V2784" i="34"/>
  <c r="W2784" i="34"/>
  <c r="X2784" i="34"/>
  <c r="Y2784" i="34"/>
  <c r="N2785" i="34"/>
  <c r="C2785" i="34"/>
  <c r="B2785" i="34"/>
  <c r="O2785" i="34"/>
  <c r="P2785" i="34"/>
  <c r="Q2785" i="34"/>
  <c r="R2785" i="34"/>
  <c r="S2785" i="34"/>
  <c r="T2785" i="34"/>
  <c r="U2785" i="34"/>
  <c r="V2785" i="34"/>
  <c r="W2785" i="34"/>
  <c r="X2785" i="34"/>
  <c r="Y2785" i="34"/>
  <c r="N2786" i="34"/>
  <c r="C2786" i="34"/>
  <c r="B2786" i="34"/>
  <c r="O2786" i="34"/>
  <c r="P2786" i="34"/>
  <c r="Q2786" i="34"/>
  <c r="R2786" i="34"/>
  <c r="S2786" i="34"/>
  <c r="T2786" i="34"/>
  <c r="U2786" i="34"/>
  <c r="V2786" i="34"/>
  <c r="W2786" i="34"/>
  <c r="X2786" i="34"/>
  <c r="Y2786" i="34"/>
  <c r="N2787" i="34"/>
  <c r="C2787" i="34"/>
  <c r="B2787" i="34"/>
  <c r="O2787" i="34"/>
  <c r="P2787" i="34"/>
  <c r="Q2787" i="34"/>
  <c r="R2787" i="34"/>
  <c r="S2787" i="34"/>
  <c r="T2787" i="34"/>
  <c r="U2787" i="34"/>
  <c r="V2787" i="34"/>
  <c r="W2787" i="34"/>
  <c r="X2787" i="34"/>
  <c r="Y2787" i="34"/>
  <c r="N2788" i="34"/>
  <c r="C2788" i="34"/>
  <c r="B2788" i="34"/>
  <c r="O2788" i="34"/>
  <c r="P2788" i="34"/>
  <c r="Q2788" i="34"/>
  <c r="R2788" i="34"/>
  <c r="S2788" i="34"/>
  <c r="T2788" i="34"/>
  <c r="U2788" i="34"/>
  <c r="V2788" i="34"/>
  <c r="W2788" i="34"/>
  <c r="X2788" i="34"/>
  <c r="Y2788" i="34"/>
  <c r="N2789" i="34"/>
  <c r="C2789" i="34"/>
  <c r="B2789" i="34"/>
  <c r="O2789" i="34"/>
  <c r="P2789" i="34"/>
  <c r="Q2789" i="34"/>
  <c r="R2789" i="34"/>
  <c r="S2789" i="34"/>
  <c r="T2789" i="34"/>
  <c r="U2789" i="34"/>
  <c r="V2789" i="34"/>
  <c r="W2789" i="34"/>
  <c r="X2789" i="34"/>
  <c r="Y2789" i="34"/>
  <c r="N2790" i="34"/>
  <c r="C2790" i="34"/>
  <c r="B2790" i="34"/>
  <c r="O2790" i="34"/>
  <c r="P2790" i="34"/>
  <c r="Q2790" i="34"/>
  <c r="R2790" i="34"/>
  <c r="S2790" i="34"/>
  <c r="T2790" i="34"/>
  <c r="U2790" i="34"/>
  <c r="V2790" i="34"/>
  <c r="W2790" i="34"/>
  <c r="X2790" i="34"/>
  <c r="Y2790" i="34"/>
  <c r="N2791" i="34"/>
  <c r="C2791" i="34"/>
  <c r="B2791" i="34"/>
  <c r="O2791" i="34"/>
  <c r="P2791" i="34"/>
  <c r="Q2791" i="34"/>
  <c r="R2791" i="34"/>
  <c r="S2791" i="34"/>
  <c r="T2791" i="34"/>
  <c r="U2791" i="34"/>
  <c r="V2791" i="34"/>
  <c r="W2791" i="34"/>
  <c r="X2791" i="34"/>
  <c r="Y2791" i="34"/>
  <c r="N2792" i="34"/>
  <c r="C2792" i="34"/>
  <c r="B2792" i="34"/>
  <c r="O2792" i="34"/>
  <c r="P2792" i="34"/>
  <c r="Q2792" i="34"/>
  <c r="R2792" i="34"/>
  <c r="S2792" i="34"/>
  <c r="T2792" i="34"/>
  <c r="U2792" i="34"/>
  <c r="V2792" i="34"/>
  <c r="W2792" i="34"/>
  <c r="X2792" i="34"/>
  <c r="Y2792" i="34"/>
  <c r="N2793" i="34"/>
  <c r="C2793" i="34"/>
  <c r="B2793" i="34"/>
  <c r="O2793" i="34"/>
  <c r="P2793" i="34"/>
  <c r="Q2793" i="34"/>
  <c r="R2793" i="34"/>
  <c r="S2793" i="34"/>
  <c r="T2793" i="34"/>
  <c r="U2793" i="34"/>
  <c r="V2793" i="34"/>
  <c r="W2793" i="34"/>
  <c r="X2793" i="34"/>
  <c r="Y2793" i="34"/>
  <c r="N2794" i="34"/>
  <c r="C2794" i="34"/>
  <c r="B2794" i="34"/>
  <c r="O2794" i="34"/>
  <c r="P2794" i="34"/>
  <c r="Q2794" i="34"/>
  <c r="R2794" i="34"/>
  <c r="S2794" i="34"/>
  <c r="T2794" i="34"/>
  <c r="U2794" i="34"/>
  <c r="V2794" i="34"/>
  <c r="W2794" i="34"/>
  <c r="X2794" i="34"/>
  <c r="Y2794" i="34"/>
  <c r="N2795" i="34"/>
  <c r="C2795" i="34"/>
  <c r="B2795" i="34"/>
  <c r="O2795" i="34"/>
  <c r="P2795" i="34"/>
  <c r="Q2795" i="34"/>
  <c r="R2795" i="34"/>
  <c r="S2795" i="34"/>
  <c r="T2795" i="34"/>
  <c r="U2795" i="34"/>
  <c r="V2795" i="34"/>
  <c r="W2795" i="34"/>
  <c r="X2795" i="34"/>
  <c r="Y2795" i="34"/>
  <c r="N2796" i="34"/>
  <c r="C2796" i="34"/>
  <c r="B2796" i="34"/>
  <c r="O2796" i="34"/>
  <c r="P2796" i="34"/>
  <c r="Q2796" i="34"/>
  <c r="R2796" i="34"/>
  <c r="S2796" i="34"/>
  <c r="T2796" i="34"/>
  <c r="U2796" i="34"/>
  <c r="V2796" i="34"/>
  <c r="W2796" i="34"/>
  <c r="X2796" i="34"/>
  <c r="Y2796" i="34"/>
  <c r="N2797" i="34"/>
  <c r="C2797" i="34"/>
  <c r="B2797" i="34"/>
  <c r="O2797" i="34"/>
  <c r="P2797" i="34"/>
  <c r="Q2797" i="34"/>
  <c r="R2797" i="34"/>
  <c r="S2797" i="34"/>
  <c r="T2797" i="34"/>
  <c r="U2797" i="34"/>
  <c r="V2797" i="34"/>
  <c r="W2797" i="34"/>
  <c r="X2797" i="34"/>
  <c r="Y2797" i="34"/>
  <c r="N2798" i="34"/>
  <c r="C2798" i="34"/>
  <c r="B2798" i="34"/>
  <c r="O2798" i="34"/>
  <c r="P2798" i="34"/>
  <c r="Q2798" i="34"/>
  <c r="R2798" i="34"/>
  <c r="S2798" i="34"/>
  <c r="T2798" i="34"/>
  <c r="U2798" i="34"/>
  <c r="V2798" i="34"/>
  <c r="W2798" i="34"/>
  <c r="X2798" i="34"/>
  <c r="Y2798" i="34"/>
  <c r="N2799" i="34"/>
  <c r="C2799" i="34"/>
  <c r="B2799" i="34"/>
  <c r="O2799" i="34"/>
  <c r="P2799" i="34"/>
  <c r="Q2799" i="34"/>
  <c r="R2799" i="34"/>
  <c r="S2799" i="34"/>
  <c r="T2799" i="34"/>
  <c r="U2799" i="34"/>
  <c r="V2799" i="34"/>
  <c r="W2799" i="34"/>
  <c r="X2799" i="34"/>
  <c r="Y2799" i="34"/>
  <c r="N2800" i="34"/>
  <c r="C2800" i="34"/>
  <c r="B2800" i="34"/>
  <c r="O2800" i="34"/>
  <c r="P2800" i="34"/>
  <c r="Q2800" i="34"/>
  <c r="R2800" i="34"/>
  <c r="S2800" i="34"/>
  <c r="T2800" i="34"/>
  <c r="U2800" i="34"/>
  <c r="V2800" i="34"/>
  <c r="W2800" i="34"/>
  <c r="X2800" i="34"/>
  <c r="Y2800" i="34"/>
  <c r="N2801" i="34"/>
  <c r="C2801" i="34"/>
  <c r="B2801" i="34"/>
  <c r="O2801" i="34"/>
  <c r="P2801" i="34"/>
  <c r="Q2801" i="34"/>
  <c r="R2801" i="34"/>
  <c r="S2801" i="34"/>
  <c r="T2801" i="34"/>
  <c r="U2801" i="34"/>
  <c r="V2801" i="34"/>
  <c r="W2801" i="34"/>
  <c r="X2801" i="34"/>
  <c r="Y2801" i="34"/>
  <c r="N2802" i="34"/>
  <c r="C2802" i="34"/>
  <c r="B2802" i="34"/>
  <c r="O2802" i="34"/>
  <c r="P2802" i="34"/>
  <c r="Q2802" i="34"/>
  <c r="R2802" i="34"/>
  <c r="S2802" i="34"/>
  <c r="T2802" i="34"/>
  <c r="U2802" i="34"/>
  <c r="V2802" i="34"/>
  <c r="W2802" i="34"/>
  <c r="X2802" i="34"/>
  <c r="Y2802" i="34"/>
  <c r="N2803" i="34"/>
  <c r="C2803" i="34"/>
  <c r="B2803" i="34"/>
  <c r="O2803" i="34"/>
  <c r="P2803" i="34"/>
  <c r="Q2803" i="34"/>
  <c r="R2803" i="34"/>
  <c r="S2803" i="34"/>
  <c r="T2803" i="34"/>
  <c r="U2803" i="34"/>
  <c r="V2803" i="34"/>
  <c r="W2803" i="34"/>
  <c r="X2803" i="34"/>
  <c r="Y2803" i="34"/>
  <c r="N2804" i="34"/>
  <c r="C2804" i="34"/>
  <c r="B2804" i="34"/>
  <c r="O2804" i="34"/>
  <c r="P2804" i="34"/>
  <c r="Q2804" i="34"/>
  <c r="R2804" i="34"/>
  <c r="S2804" i="34"/>
  <c r="T2804" i="34"/>
  <c r="U2804" i="34"/>
  <c r="V2804" i="34"/>
  <c r="W2804" i="34"/>
  <c r="X2804" i="34"/>
  <c r="Y2804" i="34"/>
  <c r="N2805" i="34"/>
  <c r="C2805" i="34"/>
  <c r="B2805" i="34"/>
  <c r="O2805" i="34"/>
  <c r="P2805" i="34"/>
  <c r="Q2805" i="34"/>
  <c r="R2805" i="34"/>
  <c r="S2805" i="34"/>
  <c r="T2805" i="34"/>
  <c r="U2805" i="34"/>
  <c r="V2805" i="34"/>
  <c r="W2805" i="34"/>
  <c r="X2805" i="34"/>
  <c r="Y2805" i="34"/>
  <c r="N2806" i="34"/>
  <c r="C2806" i="34"/>
  <c r="B2806" i="34"/>
  <c r="O2806" i="34"/>
  <c r="P2806" i="34"/>
  <c r="Q2806" i="34"/>
  <c r="R2806" i="34"/>
  <c r="S2806" i="34"/>
  <c r="T2806" i="34"/>
  <c r="U2806" i="34"/>
  <c r="V2806" i="34"/>
  <c r="W2806" i="34"/>
  <c r="X2806" i="34"/>
  <c r="Y2806" i="34"/>
  <c r="N2807" i="34"/>
  <c r="C2807" i="34"/>
  <c r="B2807" i="34"/>
  <c r="O2807" i="34"/>
  <c r="P2807" i="34"/>
  <c r="Q2807" i="34"/>
  <c r="R2807" i="34"/>
  <c r="S2807" i="34"/>
  <c r="T2807" i="34"/>
  <c r="U2807" i="34"/>
  <c r="V2807" i="34"/>
  <c r="W2807" i="34"/>
  <c r="X2807" i="34"/>
  <c r="Y2807" i="34"/>
  <c r="N2808" i="34"/>
  <c r="C2808" i="34"/>
  <c r="B2808" i="34"/>
  <c r="O2808" i="34"/>
  <c r="P2808" i="34"/>
  <c r="Q2808" i="34"/>
  <c r="R2808" i="34"/>
  <c r="S2808" i="34"/>
  <c r="T2808" i="34"/>
  <c r="U2808" i="34"/>
  <c r="V2808" i="34"/>
  <c r="W2808" i="34"/>
  <c r="X2808" i="34"/>
  <c r="Y2808" i="34"/>
  <c r="N2809" i="34"/>
  <c r="C2809" i="34"/>
  <c r="B2809" i="34"/>
  <c r="O2809" i="34"/>
  <c r="P2809" i="34"/>
  <c r="Q2809" i="34"/>
  <c r="R2809" i="34"/>
  <c r="S2809" i="34"/>
  <c r="T2809" i="34"/>
  <c r="U2809" i="34"/>
  <c r="V2809" i="34"/>
  <c r="W2809" i="34"/>
  <c r="X2809" i="34"/>
  <c r="Y2809" i="34"/>
  <c r="N2810" i="34"/>
  <c r="C2810" i="34"/>
  <c r="B2810" i="34"/>
  <c r="O2810" i="34"/>
  <c r="P2810" i="34"/>
  <c r="Q2810" i="34"/>
  <c r="R2810" i="34"/>
  <c r="S2810" i="34"/>
  <c r="T2810" i="34"/>
  <c r="U2810" i="34"/>
  <c r="V2810" i="34"/>
  <c r="W2810" i="34"/>
  <c r="X2810" i="34"/>
  <c r="Y2810" i="34"/>
  <c r="N2811" i="34"/>
  <c r="C2811" i="34"/>
  <c r="B2811" i="34"/>
  <c r="O2811" i="34"/>
  <c r="P2811" i="34"/>
  <c r="Q2811" i="34"/>
  <c r="R2811" i="34"/>
  <c r="S2811" i="34"/>
  <c r="T2811" i="34"/>
  <c r="U2811" i="34"/>
  <c r="V2811" i="34"/>
  <c r="W2811" i="34"/>
  <c r="X2811" i="34"/>
  <c r="Y2811" i="34"/>
  <c r="N2812" i="34"/>
  <c r="C2812" i="34"/>
  <c r="B2812" i="34"/>
  <c r="O2812" i="34"/>
  <c r="P2812" i="34"/>
  <c r="Q2812" i="34"/>
  <c r="R2812" i="34"/>
  <c r="S2812" i="34"/>
  <c r="T2812" i="34"/>
  <c r="U2812" i="34"/>
  <c r="V2812" i="34"/>
  <c r="W2812" i="34"/>
  <c r="X2812" i="34"/>
  <c r="Y2812" i="34"/>
  <c r="N2813" i="34"/>
  <c r="C2813" i="34"/>
  <c r="B2813" i="34"/>
  <c r="O2813" i="34"/>
  <c r="P2813" i="34"/>
  <c r="Q2813" i="34"/>
  <c r="R2813" i="34"/>
  <c r="S2813" i="34"/>
  <c r="T2813" i="34"/>
  <c r="U2813" i="34"/>
  <c r="V2813" i="34"/>
  <c r="W2813" i="34"/>
  <c r="X2813" i="34"/>
  <c r="Y2813" i="34"/>
  <c r="N2814" i="34"/>
  <c r="C2814" i="34"/>
  <c r="B2814" i="34"/>
  <c r="O2814" i="34"/>
  <c r="P2814" i="34"/>
  <c r="Q2814" i="34"/>
  <c r="R2814" i="34"/>
  <c r="S2814" i="34"/>
  <c r="T2814" i="34"/>
  <c r="U2814" i="34"/>
  <c r="V2814" i="34"/>
  <c r="W2814" i="34"/>
  <c r="X2814" i="34"/>
  <c r="Y2814" i="34"/>
  <c r="N2815" i="34"/>
  <c r="C2815" i="34"/>
  <c r="B2815" i="34"/>
  <c r="O2815" i="34"/>
  <c r="P2815" i="34"/>
  <c r="Q2815" i="34"/>
  <c r="R2815" i="34"/>
  <c r="S2815" i="34"/>
  <c r="T2815" i="34"/>
  <c r="U2815" i="34"/>
  <c r="V2815" i="34"/>
  <c r="W2815" i="34"/>
  <c r="X2815" i="34"/>
  <c r="Y2815" i="34"/>
  <c r="N2816" i="34"/>
  <c r="C2816" i="34"/>
  <c r="B2816" i="34"/>
  <c r="O2816" i="34"/>
  <c r="P2816" i="34"/>
  <c r="Q2816" i="34"/>
  <c r="R2816" i="34"/>
  <c r="S2816" i="34"/>
  <c r="T2816" i="34"/>
  <c r="U2816" i="34"/>
  <c r="V2816" i="34"/>
  <c r="W2816" i="34"/>
  <c r="X2816" i="34"/>
  <c r="Y2816" i="34"/>
  <c r="N2817" i="34"/>
  <c r="C2817" i="34"/>
  <c r="B2817" i="34"/>
  <c r="O2817" i="34"/>
  <c r="P2817" i="34"/>
  <c r="Q2817" i="34"/>
  <c r="R2817" i="34"/>
  <c r="S2817" i="34"/>
  <c r="T2817" i="34"/>
  <c r="U2817" i="34"/>
  <c r="V2817" i="34"/>
  <c r="W2817" i="34"/>
  <c r="X2817" i="34"/>
  <c r="Y2817" i="34"/>
  <c r="N2818" i="34"/>
  <c r="C2818" i="34"/>
  <c r="B2818" i="34"/>
  <c r="O2818" i="34"/>
  <c r="P2818" i="34"/>
  <c r="Q2818" i="34"/>
  <c r="R2818" i="34"/>
  <c r="S2818" i="34"/>
  <c r="T2818" i="34"/>
  <c r="U2818" i="34"/>
  <c r="V2818" i="34"/>
  <c r="W2818" i="34"/>
  <c r="X2818" i="34"/>
  <c r="Y2818" i="34"/>
  <c r="N2819" i="34"/>
  <c r="C2819" i="34"/>
  <c r="B2819" i="34"/>
  <c r="O2819" i="34"/>
  <c r="P2819" i="34"/>
  <c r="Q2819" i="34"/>
  <c r="R2819" i="34"/>
  <c r="S2819" i="34"/>
  <c r="T2819" i="34"/>
  <c r="U2819" i="34"/>
  <c r="V2819" i="34"/>
  <c r="W2819" i="34"/>
  <c r="X2819" i="34"/>
  <c r="Y2819" i="34"/>
  <c r="N2820" i="34"/>
  <c r="C2820" i="34"/>
  <c r="B2820" i="34"/>
  <c r="O2820" i="34"/>
  <c r="P2820" i="34"/>
  <c r="Q2820" i="34"/>
  <c r="R2820" i="34"/>
  <c r="S2820" i="34"/>
  <c r="T2820" i="34"/>
  <c r="U2820" i="34"/>
  <c r="V2820" i="34"/>
  <c r="W2820" i="34"/>
  <c r="X2820" i="34"/>
  <c r="Y2820" i="34"/>
  <c r="N2821" i="34"/>
  <c r="C2821" i="34"/>
  <c r="B2821" i="34"/>
  <c r="O2821" i="34"/>
  <c r="P2821" i="34"/>
  <c r="Q2821" i="34"/>
  <c r="R2821" i="34"/>
  <c r="S2821" i="34"/>
  <c r="T2821" i="34"/>
  <c r="U2821" i="34"/>
  <c r="V2821" i="34"/>
  <c r="W2821" i="34"/>
  <c r="X2821" i="34"/>
  <c r="Y2821" i="34"/>
  <c r="N2822" i="34"/>
  <c r="C2822" i="34"/>
  <c r="B2822" i="34"/>
  <c r="O2822" i="34"/>
  <c r="P2822" i="34"/>
  <c r="Q2822" i="34"/>
  <c r="R2822" i="34"/>
  <c r="S2822" i="34"/>
  <c r="T2822" i="34"/>
  <c r="U2822" i="34"/>
  <c r="V2822" i="34"/>
  <c r="W2822" i="34"/>
  <c r="X2822" i="34"/>
  <c r="Y2822" i="34"/>
  <c r="N2823" i="34"/>
  <c r="B2823" i="34"/>
  <c r="O2823" i="34"/>
  <c r="P2823" i="34"/>
  <c r="Q2823" i="34"/>
  <c r="R2823" i="34"/>
  <c r="S2823" i="34"/>
  <c r="T2823" i="34"/>
  <c r="U2823" i="34"/>
  <c r="V2823" i="34"/>
  <c r="W2823" i="34"/>
  <c r="X2823" i="34"/>
  <c r="Y2823" i="34"/>
  <c r="N2824" i="34"/>
  <c r="B2824" i="34"/>
  <c r="O2824" i="34"/>
  <c r="P2824" i="34"/>
  <c r="Q2824" i="34"/>
  <c r="R2824" i="34"/>
  <c r="S2824" i="34"/>
  <c r="T2824" i="34"/>
  <c r="U2824" i="34"/>
  <c r="V2824" i="34"/>
  <c r="W2824" i="34"/>
  <c r="X2824" i="34"/>
  <c r="Y2824" i="34"/>
  <c r="N2825" i="34"/>
  <c r="B2825" i="34"/>
  <c r="O2825" i="34"/>
  <c r="P2825" i="34"/>
  <c r="Q2825" i="34"/>
  <c r="R2825" i="34"/>
  <c r="S2825" i="34"/>
  <c r="T2825" i="34"/>
  <c r="U2825" i="34"/>
  <c r="V2825" i="34"/>
  <c r="W2825" i="34"/>
  <c r="X2825" i="34"/>
  <c r="Y2825" i="34"/>
  <c r="N2826" i="34"/>
  <c r="B2826" i="34"/>
  <c r="O2826" i="34"/>
  <c r="P2826" i="34"/>
  <c r="Q2826" i="34"/>
  <c r="R2826" i="34"/>
  <c r="S2826" i="34"/>
  <c r="T2826" i="34"/>
  <c r="U2826" i="34"/>
  <c r="V2826" i="34"/>
  <c r="W2826" i="34"/>
  <c r="X2826" i="34"/>
  <c r="Y2826" i="34"/>
  <c r="N2827" i="34"/>
  <c r="B2827" i="34"/>
  <c r="O2827" i="34"/>
  <c r="P2827" i="34"/>
  <c r="Q2827" i="34"/>
  <c r="R2827" i="34"/>
  <c r="S2827" i="34"/>
  <c r="T2827" i="34"/>
  <c r="U2827" i="34"/>
  <c r="V2827" i="34"/>
  <c r="W2827" i="34"/>
  <c r="X2827" i="34"/>
  <c r="Y2827" i="34"/>
  <c r="N2828" i="34"/>
  <c r="B2828" i="34"/>
  <c r="O2828" i="34"/>
  <c r="P2828" i="34"/>
  <c r="Q2828" i="34"/>
  <c r="R2828" i="34"/>
  <c r="S2828" i="34"/>
  <c r="T2828" i="34"/>
  <c r="U2828" i="34"/>
  <c r="V2828" i="34"/>
  <c r="W2828" i="34"/>
  <c r="X2828" i="34"/>
  <c r="Y2828" i="34"/>
  <c r="N2829" i="34"/>
  <c r="B2829" i="34"/>
  <c r="O2829" i="34"/>
  <c r="P2829" i="34"/>
  <c r="Q2829" i="34"/>
  <c r="R2829" i="34"/>
  <c r="S2829" i="34"/>
  <c r="T2829" i="34"/>
  <c r="U2829" i="34"/>
  <c r="V2829" i="34"/>
  <c r="W2829" i="34"/>
  <c r="X2829" i="34"/>
  <c r="Y2829" i="34"/>
  <c r="N2830" i="34"/>
  <c r="B2830" i="34"/>
  <c r="O2830" i="34"/>
  <c r="P2830" i="34"/>
  <c r="Q2830" i="34"/>
  <c r="R2830" i="34"/>
  <c r="S2830" i="34"/>
  <c r="T2830" i="34"/>
  <c r="U2830" i="34"/>
  <c r="V2830" i="34"/>
  <c r="W2830" i="34"/>
  <c r="X2830" i="34"/>
  <c r="Y2830" i="34"/>
  <c r="N2831" i="34"/>
  <c r="B2831" i="34"/>
  <c r="O2831" i="34"/>
  <c r="P2831" i="34"/>
  <c r="Q2831" i="34"/>
  <c r="R2831" i="34"/>
  <c r="S2831" i="34"/>
  <c r="T2831" i="34"/>
  <c r="U2831" i="34"/>
  <c r="V2831" i="34"/>
  <c r="W2831" i="34"/>
  <c r="X2831" i="34"/>
  <c r="Y2831" i="34"/>
  <c r="N2832" i="34"/>
  <c r="B2832" i="34"/>
  <c r="O2832" i="34"/>
  <c r="P2832" i="34"/>
  <c r="Q2832" i="34"/>
  <c r="R2832" i="34"/>
  <c r="S2832" i="34"/>
  <c r="T2832" i="34"/>
  <c r="U2832" i="34"/>
  <c r="V2832" i="34"/>
  <c r="W2832" i="34"/>
  <c r="X2832" i="34"/>
  <c r="Y2832" i="34"/>
  <c r="N2833" i="34"/>
  <c r="B2833" i="34"/>
  <c r="O2833" i="34"/>
  <c r="P2833" i="34"/>
  <c r="Q2833" i="34"/>
  <c r="R2833" i="34"/>
  <c r="S2833" i="34"/>
  <c r="T2833" i="34"/>
  <c r="U2833" i="34"/>
  <c r="V2833" i="34"/>
  <c r="W2833" i="34"/>
  <c r="X2833" i="34"/>
  <c r="Y2833" i="34"/>
  <c r="N2834" i="34"/>
  <c r="B2834" i="34"/>
  <c r="O2834" i="34"/>
  <c r="P2834" i="34"/>
  <c r="Q2834" i="34"/>
  <c r="R2834" i="34"/>
  <c r="S2834" i="34"/>
  <c r="T2834" i="34"/>
  <c r="U2834" i="34"/>
  <c r="V2834" i="34"/>
  <c r="W2834" i="34"/>
  <c r="X2834" i="34"/>
  <c r="Y2834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6" i="15"/>
  <c r="C26" i="15"/>
  <c r="A2405" i="34"/>
  <c r="A2426" i="34"/>
  <c r="A2410" i="34"/>
  <c r="A2397" i="34"/>
  <c r="A2389" i="34"/>
  <c r="A2364" i="34"/>
  <c r="A2355" i="34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X14" i="34"/>
  <c r="W14" i="34"/>
  <c r="T14" i="34"/>
  <c r="S14" i="34"/>
  <c r="R14" i="34"/>
  <c r="N14" i="34"/>
  <c r="C14" i="34"/>
  <c r="B14" i="34"/>
  <c r="A14" i="34"/>
  <c r="V14" i="34"/>
  <c r="E23" i="54"/>
  <c r="C11" i="34"/>
  <c r="C12" i="34"/>
  <c r="C13" i="34"/>
  <c r="C10" i="34"/>
  <c r="E36" i="68"/>
  <c r="B5" i="55"/>
  <c r="F24" i="70"/>
  <c r="B6" i="57"/>
  <c r="A6" i="64"/>
  <c r="F18" i="12"/>
  <c r="L22" i="64"/>
  <c r="L2" i="64"/>
  <c r="J3" i="54"/>
  <c r="L3" i="39"/>
  <c r="L2" i="39"/>
  <c r="K2738" i="34"/>
  <c r="K2705" i="34"/>
  <c r="K2456" i="34"/>
  <c r="K1965" i="34"/>
  <c r="K2015" i="34"/>
  <c r="K2430" i="34"/>
  <c r="K1947" i="34"/>
  <c r="K1928" i="34"/>
  <c r="K1899" i="34"/>
  <c r="K1858" i="34"/>
  <c r="K1798" i="34"/>
  <c r="K1767" i="34"/>
  <c r="K1738" i="34"/>
  <c r="K1609" i="34"/>
  <c r="K1696" i="34"/>
  <c r="K1480" i="34"/>
  <c r="K1162" i="34"/>
  <c r="K996" i="34"/>
  <c r="K404" i="34"/>
  <c r="K399" i="34"/>
  <c r="K390" i="34"/>
  <c r="K381" i="34"/>
  <c r="K267" i="34"/>
  <c r="K263" i="34"/>
  <c r="A2357" i="34"/>
  <c r="A2359" i="34"/>
  <c r="A1836" i="34"/>
  <c r="A1533" i="34"/>
  <c r="A991" i="34"/>
  <c r="A1727" i="34"/>
  <c r="A1333" i="34"/>
  <c r="A1531" i="34"/>
  <c r="A1838" i="34"/>
  <c r="A21" i="70"/>
  <c r="A1442" i="34"/>
  <c r="A1480" i="34"/>
  <c r="A1689" i="34"/>
  <c r="A1693" i="34"/>
  <c r="A1357" i="34"/>
  <c r="A1361" i="34"/>
  <c r="A1365" i="34"/>
  <c r="A1387" i="34"/>
  <c r="A1391" i="34"/>
  <c r="A1428" i="34"/>
  <c r="A1432" i="34"/>
  <c r="A1436" i="34"/>
  <c r="A1546" i="34"/>
  <c r="A1550" i="34"/>
  <c r="A1587" i="34"/>
  <c r="A1602" i="34"/>
  <c r="A1606" i="34"/>
  <c r="A1628" i="34"/>
  <c r="A1632" i="34"/>
  <c r="A1636" i="34"/>
  <c r="A1660" i="34"/>
  <c r="A1664" i="34"/>
  <c r="A1685" i="34"/>
  <c r="A1205" i="34"/>
  <c r="A1209" i="34"/>
  <c r="A1213" i="34"/>
  <c r="A1238" i="34"/>
  <c r="A1242" i="34"/>
  <c r="A1265" i="34"/>
  <c r="A1281" i="34"/>
  <c r="A1291" i="34"/>
  <c r="A1355" i="34"/>
  <c r="A1523" i="34"/>
  <c r="A1042" i="34"/>
  <c r="A1046" i="34"/>
  <c r="A1077" i="34"/>
  <c r="A1081" i="34"/>
  <c r="A1085" i="34"/>
  <c r="A1121" i="34"/>
  <c r="A1125" i="34"/>
  <c r="A1156" i="34"/>
  <c r="A1160" i="34"/>
  <c r="A1164" i="34"/>
  <c r="A1168" i="34"/>
  <c r="A2706" i="34"/>
  <c r="A1441" i="34"/>
  <c r="A1476" i="34"/>
  <c r="A1439" i="34"/>
  <c r="A1473" i="34"/>
  <c r="A1477" i="34"/>
  <c r="A1686" i="34"/>
  <c r="A1690" i="34"/>
  <c r="A1694" i="34"/>
  <c r="A1358" i="34"/>
  <c r="A1362" i="34"/>
  <c r="A1384" i="34"/>
  <c r="A1388" i="34"/>
  <c r="A1392" i="34"/>
  <c r="A1429" i="34"/>
  <c r="A1433" i="34"/>
  <c r="A1437" i="34"/>
  <c r="A1547" i="34"/>
  <c r="A1551" i="34"/>
  <c r="A1599" i="34"/>
  <c r="A1603" i="34"/>
  <c r="A1607" i="34"/>
  <c r="A1629" i="34"/>
  <c r="A1633" i="34"/>
  <c r="A1657" i="34"/>
  <c r="A1661" i="34"/>
  <c r="A1665" i="34"/>
  <c r="A1169" i="34"/>
  <c r="A1206" i="34"/>
  <c r="A1210" i="34"/>
  <c r="A1235" i="34"/>
  <c r="A1239" i="34"/>
  <c r="A1243" i="34"/>
  <c r="A1266" i="34"/>
  <c r="A1282" i="34"/>
  <c r="A1292" i="34"/>
  <c r="A1356" i="34"/>
  <c r="A1524" i="34"/>
  <c r="A1043" i="34"/>
  <c r="A1047" i="34"/>
  <c r="A1078" i="34"/>
  <c r="A1082" i="34"/>
  <c r="A1118" i="34"/>
  <c r="A1122" i="34"/>
  <c r="A1126" i="34"/>
  <c r="A1157" i="34"/>
  <c r="A1161" i="34"/>
  <c r="A1165" i="34"/>
  <c r="A1440" i="34"/>
  <c r="A1474" i="34"/>
  <c r="A1478" i="34"/>
  <c r="A1687" i="34"/>
  <c r="A1691" i="34"/>
  <c r="A1695" i="34"/>
  <c r="A1359" i="34"/>
  <c r="A1363" i="34"/>
  <c r="A1385" i="34"/>
  <c r="A1389" i="34"/>
  <c r="A1426" i="34"/>
  <c r="A1430" i="34"/>
  <c r="A1434" i="34"/>
  <c r="A1438" i="34"/>
  <c r="A1548" i="34"/>
  <c r="A1552" i="34"/>
  <c r="A1600" i="34"/>
  <c r="A1604" i="34"/>
  <c r="A1608" i="34"/>
  <c r="A1630" i="34"/>
  <c r="A1634" i="34"/>
  <c r="A1658" i="34"/>
  <c r="A1662" i="34"/>
  <c r="A1683" i="34"/>
  <c r="A1170" i="34"/>
  <c r="A1207" i="34"/>
  <c r="A1211" i="34"/>
  <c r="A1236" i="34"/>
  <c r="A1240" i="34"/>
  <c r="A1263" i="34"/>
  <c r="A1267" i="34"/>
  <c r="A1283" i="34"/>
  <c r="A1326" i="34"/>
  <c r="A1422" i="34"/>
  <c r="A1544" i="34"/>
  <c r="A1044" i="34"/>
  <c r="A1048" i="34"/>
  <c r="A1079" i="34"/>
  <c r="A1083" i="34"/>
  <c r="A1119" i="34"/>
  <c r="A1123" i="34"/>
  <c r="A1154" i="34"/>
  <c r="A1158" i="34"/>
  <c r="A1162" i="34"/>
  <c r="A1166" i="34"/>
  <c r="A506" i="34"/>
  <c r="A1475" i="34"/>
  <c r="A1479" i="34"/>
  <c r="A1688" i="34"/>
  <c r="A1692" i="34"/>
  <c r="A1696" i="34"/>
  <c r="A1360" i="34"/>
  <c r="A1364" i="34"/>
  <c r="A1386" i="34"/>
  <c r="A1390" i="34"/>
  <c r="A1427" i="34"/>
  <c r="A1431" i="34"/>
  <c r="A1435" i="34"/>
  <c r="A1545" i="34"/>
  <c r="A1549" i="34"/>
  <c r="A1586" i="34"/>
  <c r="A1601" i="34"/>
  <c r="A1605" i="34"/>
  <c r="A1609" i="34"/>
  <c r="A1631" i="34"/>
  <c r="A1635" i="34"/>
  <c r="A1659" i="34"/>
  <c r="A1663" i="34"/>
  <c r="A1684" i="34"/>
  <c r="A1171" i="34"/>
  <c r="A1208" i="34"/>
  <c r="A1212" i="34"/>
  <c r="A1237" i="34"/>
  <c r="A1241" i="34"/>
  <c r="A1264" i="34"/>
  <c r="A1268" i="34"/>
  <c r="A1284" i="34"/>
  <c r="A1327" i="34"/>
  <c r="A1423" i="34"/>
  <c r="A1041" i="34"/>
  <c r="A1045" i="34"/>
  <c r="A1049" i="34"/>
  <c r="A1080" i="34"/>
  <c r="A1084" i="34"/>
  <c r="A1120" i="34"/>
  <c r="A1124" i="34"/>
  <c r="A1155" i="34"/>
  <c r="A1159" i="34"/>
  <c r="A1163" i="34"/>
  <c r="A1167" i="34"/>
  <c r="A1966" i="34"/>
  <c r="A996" i="34"/>
  <c r="A794" i="34"/>
  <c r="A814" i="34"/>
  <c r="A508" i="34"/>
  <c r="A821" i="34"/>
  <c r="A775" i="34"/>
  <c r="A787" i="34"/>
  <c r="A826" i="34"/>
  <c r="A776" i="34"/>
  <c r="A780" i="34"/>
  <c r="A784" i="34"/>
  <c r="A788" i="34"/>
  <c r="A792" i="34"/>
  <c r="A796" i="34"/>
  <c r="A800" i="34"/>
  <c r="A804" i="34"/>
  <c r="A808" i="34"/>
  <c r="A812" i="34"/>
  <c r="A816" i="34"/>
  <c r="A400" i="34"/>
  <c r="A404" i="34"/>
  <c r="A510" i="34"/>
  <c r="A744" i="34"/>
  <c r="A748" i="34"/>
  <c r="A752" i="34"/>
  <c r="A756" i="34"/>
  <c r="A760" i="34"/>
  <c r="A764" i="34"/>
  <c r="A768" i="34"/>
  <c r="A772" i="34"/>
  <c r="A356" i="34"/>
  <c r="A360" i="34"/>
  <c r="A364" i="34"/>
  <c r="A368" i="34"/>
  <c r="A372" i="34"/>
  <c r="A376" i="34"/>
  <c r="A380" i="34"/>
  <c r="A384" i="34"/>
  <c r="A388" i="34"/>
  <c r="A392" i="34"/>
  <c r="A396" i="34"/>
  <c r="A520" i="34"/>
  <c r="A238" i="34"/>
  <c r="A242" i="34"/>
  <c r="A246" i="34"/>
  <c r="A250" i="34"/>
  <c r="A254" i="34"/>
  <c r="A258" i="34"/>
  <c r="A262" i="34"/>
  <c r="A266" i="34"/>
  <c r="A270" i="34"/>
  <c r="A274" i="34"/>
  <c r="A828" i="34"/>
  <c r="A782" i="34"/>
  <c r="A798" i="34"/>
  <c r="A810" i="34"/>
  <c r="A746" i="34"/>
  <c r="A825" i="34"/>
  <c r="A779" i="34"/>
  <c r="A822" i="34"/>
  <c r="A830" i="34"/>
  <c r="A819" i="34"/>
  <c r="A823" i="34"/>
  <c r="A827" i="34"/>
  <c r="A995" i="34"/>
  <c r="A777" i="34"/>
  <c r="A781" i="34"/>
  <c r="A785" i="34"/>
  <c r="A789" i="34"/>
  <c r="A793" i="34"/>
  <c r="A797" i="34"/>
  <c r="A801" i="34"/>
  <c r="A805" i="34"/>
  <c r="A809" i="34"/>
  <c r="A813" i="34"/>
  <c r="A817" i="34"/>
  <c r="A401" i="34"/>
  <c r="A507" i="34"/>
  <c r="A511" i="34"/>
  <c r="A745" i="34"/>
  <c r="A749" i="34"/>
  <c r="A753" i="34"/>
  <c r="A757" i="34"/>
  <c r="A761" i="34"/>
  <c r="A765" i="34"/>
  <c r="A769" i="34"/>
  <c r="A773" i="34"/>
  <c r="A357" i="34"/>
  <c r="A361" i="34"/>
  <c r="A365" i="34"/>
  <c r="A369" i="34"/>
  <c r="A373" i="34"/>
  <c r="A377" i="34"/>
  <c r="A381" i="34"/>
  <c r="A385" i="34"/>
  <c r="A389" i="34"/>
  <c r="A393" i="34"/>
  <c r="A397" i="34"/>
  <c r="A521" i="34"/>
  <c r="A239" i="34"/>
  <c r="A243" i="34"/>
  <c r="A247" i="34"/>
  <c r="A251" i="34"/>
  <c r="A255" i="34"/>
  <c r="A259" i="34"/>
  <c r="A263" i="34"/>
  <c r="A267" i="34"/>
  <c r="A271" i="34"/>
  <c r="A275" i="34"/>
  <c r="A824" i="34"/>
  <c r="A786" i="34"/>
  <c r="A806" i="34"/>
  <c r="A402" i="34"/>
  <c r="A750" i="34"/>
  <c r="A754" i="34"/>
  <c r="A758" i="34"/>
  <c r="A762" i="34"/>
  <c r="A766" i="34"/>
  <c r="A770" i="34"/>
  <c r="A774" i="34"/>
  <c r="A358" i="34"/>
  <c r="A362" i="34"/>
  <c r="A366" i="34"/>
  <c r="A370" i="34"/>
  <c r="A374" i="34"/>
  <c r="A378" i="34"/>
  <c r="A382" i="34"/>
  <c r="A386" i="34"/>
  <c r="A390" i="34"/>
  <c r="A394" i="34"/>
  <c r="A398" i="34"/>
  <c r="A236" i="34"/>
  <c r="A240" i="34"/>
  <c r="A244" i="34"/>
  <c r="A248" i="34"/>
  <c r="A252" i="34"/>
  <c r="A256" i="34"/>
  <c r="A260" i="34"/>
  <c r="A264" i="34"/>
  <c r="A268" i="34"/>
  <c r="A272" i="34"/>
  <c r="A276" i="34"/>
  <c r="A820" i="34"/>
  <c r="A778" i="34"/>
  <c r="A790" i="34"/>
  <c r="A802" i="34"/>
  <c r="A818" i="34"/>
  <c r="A742" i="34"/>
  <c r="A829" i="34"/>
  <c r="A783" i="34"/>
  <c r="A791" i="34"/>
  <c r="A795" i="34"/>
  <c r="A799" i="34"/>
  <c r="A803" i="34"/>
  <c r="A807" i="34"/>
  <c r="A811" i="34"/>
  <c r="A815" i="34"/>
  <c r="A399" i="34"/>
  <c r="A403" i="34"/>
  <c r="A509" i="34"/>
  <c r="A743" i="34"/>
  <c r="A747" i="34"/>
  <c r="A751" i="34"/>
  <c r="A755" i="34"/>
  <c r="A759" i="34"/>
  <c r="A763" i="34"/>
  <c r="A767" i="34"/>
  <c r="A771" i="34"/>
  <c r="A355" i="34"/>
  <c r="A359" i="34"/>
  <c r="A363" i="34"/>
  <c r="A367" i="34"/>
  <c r="A371" i="34"/>
  <c r="A375" i="34"/>
  <c r="A379" i="34"/>
  <c r="A383" i="34"/>
  <c r="A387" i="34"/>
  <c r="A391" i="34"/>
  <c r="A395" i="34"/>
  <c r="A519" i="34"/>
  <c r="A237" i="34"/>
  <c r="A241" i="34"/>
  <c r="A245" i="34"/>
  <c r="A249" i="34"/>
  <c r="A253" i="34"/>
  <c r="A257" i="34"/>
  <c r="A261" i="34"/>
  <c r="A265" i="34"/>
  <c r="A269" i="34"/>
  <c r="A273" i="34"/>
  <c r="K101" i="34"/>
  <c r="A101" i="34"/>
  <c r="A102" i="34"/>
  <c r="A1535" i="34"/>
  <c r="A2674" i="34"/>
  <c r="A2672" i="34"/>
  <c r="A2673" i="34"/>
  <c r="A43" i="34"/>
  <c r="K1730" i="34"/>
  <c r="K1962" i="34"/>
  <c r="K1746" i="34"/>
  <c r="K1731" i="34"/>
  <c r="K2458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22" i="34"/>
  <c r="K2623" i="34"/>
  <c r="K2624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499" i="34"/>
  <c r="K2457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619" i="34"/>
  <c r="K2620" i="34"/>
  <c r="K2621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498" i="34"/>
  <c r="T531" i="60"/>
  <c r="C531" i="60"/>
  <c r="R551" i="60"/>
  <c r="R501" i="60"/>
  <c r="R570" i="60"/>
  <c r="R565" i="60"/>
  <c r="R572" i="60"/>
  <c r="R504" i="60"/>
  <c r="T504" i="60"/>
  <c r="C504" i="60"/>
  <c r="R513" i="60"/>
  <c r="T513" i="60"/>
  <c r="C513" i="60"/>
  <c r="R498" i="60"/>
  <c r="T498" i="60"/>
  <c r="C498" i="60"/>
  <c r="R535" i="60"/>
  <c r="T535" i="60"/>
  <c r="C535" i="60"/>
  <c r="R561" i="60"/>
  <c r="R549" i="60"/>
  <c r="R532" i="60"/>
  <c r="T532" i="60"/>
  <c r="C532" i="60"/>
  <c r="R568" i="60"/>
  <c r="R567" i="60"/>
  <c r="R564" i="60"/>
  <c r="R512" i="60"/>
  <c r="T512" i="60"/>
  <c r="C512" i="60"/>
  <c r="R509" i="60"/>
  <c r="T509" i="60"/>
  <c r="C509" i="60"/>
  <c r="R506" i="60"/>
  <c r="T506" i="60"/>
  <c r="C506" i="60"/>
  <c r="R497" i="60"/>
  <c r="T497" i="60"/>
  <c r="C497" i="60"/>
  <c r="R569" i="60"/>
  <c r="R558" i="60"/>
  <c r="R514" i="60"/>
  <c r="T514" i="60"/>
  <c r="C514" i="60"/>
  <c r="R508" i="60"/>
  <c r="T508" i="60"/>
  <c r="C508" i="60"/>
  <c r="R547" i="60"/>
  <c r="T547" i="60"/>
  <c r="C547" i="60"/>
  <c r="R555" i="60"/>
  <c r="T555" i="60"/>
  <c r="C555" i="60"/>
  <c r="R566" i="60"/>
  <c r="R560" i="60"/>
  <c r="R577" i="60"/>
  <c r="R574" i="60"/>
  <c r="R492" i="60"/>
  <c r="T492" i="60"/>
  <c r="C492" i="60"/>
  <c r="R500" i="60"/>
  <c r="T500" i="60"/>
  <c r="C500" i="60"/>
  <c r="R503" i="60"/>
  <c r="T503" i="60"/>
  <c r="C503" i="60"/>
  <c r="R507" i="60"/>
  <c r="R510" i="60"/>
  <c r="T510" i="60"/>
  <c r="C510" i="60"/>
  <c r="R511" i="60"/>
  <c r="T511" i="60"/>
  <c r="C511" i="60"/>
  <c r="R515" i="60"/>
  <c r="T515" i="60"/>
  <c r="C515" i="60"/>
  <c r="R516" i="60"/>
  <c r="T516" i="60"/>
  <c r="C516" i="60"/>
  <c r="R528" i="60"/>
  <c r="T528" i="60"/>
  <c r="C528" i="60"/>
  <c r="R529" i="60"/>
  <c r="T529" i="60"/>
  <c r="C529" i="60"/>
  <c r="R530" i="60"/>
  <c r="T530" i="60"/>
  <c r="C530" i="60"/>
  <c r="R537" i="60"/>
  <c r="T537" i="60"/>
  <c r="C537" i="60"/>
  <c r="R544" i="60"/>
  <c r="T544" i="60"/>
  <c r="C544" i="60"/>
  <c r="R545" i="60"/>
  <c r="T545" i="60"/>
  <c r="C545" i="60"/>
  <c r="R546" i="60"/>
  <c r="R548" i="60"/>
  <c r="T548" i="60"/>
  <c r="C548" i="60"/>
  <c r="R554" i="60"/>
  <c r="T554" i="60"/>
  <c r="C554" i="60"/>
  <c r="R556" i="60"/>
  <c r="T556" i="60"/>
  <c r="C556" i="60"/>
  <c r="R557" i="60"/>
  <c r="R559" i="60"/>
  <c r="R571" i="60"/>
  <c r="R573" i="60"/>
  <c r="R575" i="60"/>
  <c r="R576" i="60"/>
  <c r="R578" i="60"/>
  <c r="R579" i="60"/>
  <c r="R580" i="60"/>
  <c r="T507" i="60"/>
  <c r="C507" i="60"/>
  <c r="K2447" i="34"/>
  <c r="K2448" i="34"/>
  <c r="K2449" i="34"/>
  <c r="K2450" i="34"/>
  <c r="K2451" i="34"/>
  <c r="K2452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94" i="34"/>
  <c r="K2495" i="34"/>
  <c r="K2496" i="34"/>
  <c r="K2497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638" i="34"/>
  <c r="K2639" i="34"/>
  <c r="K2640" i="34"/>
  <c r="K2641" i="34"/>
  <c r="K2642" i="34"/>
  <c r="K2643" i="34"/>
  <c r="K2644" i="34"/>
  <c r="K2645" i="34"/>
  <c r="K2646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445" i="34"/>
  <c r="K2446" i="34"/>
  <c r="T546" i="60"/>
  <c r="C546" i="60"/>
  <c r="Y525" i="60"/>
  <c r="T525" i="60"/>
  <c r="C525" i="60"/>
  <c r="Y524" i="60"/>
  <c r="T524" i="60"/>
  <c r="C524" i="60"/>
  <c r="Y523" i="60"/>
  <c r="T523" i="60"/>
  <c r="C523" i="60"/>
  <c r="Y522" i="60"/>
  <c r="T522" i="60"/>
  <c r="C522" i="60"/>
  <c r="Y521" i="60"/>
  <c r="T521" i="60"/>
  <c r="C521" i="60"/>
  <c r="Y520" i="60"/>
  <c r="T520" i="60"/>
  <c r="C520" i="60"/>
  <c r="Y519" i="60"/>
  <c r="T519" i="60"/>
  <c r="C519" i="60"/>
  <c r="Y518" i="60"/>
  <c r="T518" i="60"/>
  <c r="C518" i="60"/>
  <c r="Y517" i="60"/>
  <c r="T517" i="60"/>
  <c r="C517" i="60"/>
  <c r="Y516" i="60"/>
  <c r="Y515" i="60"/>
  <c r="Y514" i="60"/>
  <c r="Y513" i="60"/>
  <c r="Y512" i="60"/>
  <c r="Y511" i="60"/>
  <c r="Y510" i="60"/>
  <c r="Y509" i="60"/>
  <c r="Y508" i="60"/>
  <c r="Y507" i="60"/>
  <c r="Y506" i="60"/>
  <c r="Y505" i="60"/>
  <c r="T505" i="60"/>
  <c r="C505" i="60"/>
  <c r="Y504" i="60"/>
  <c r="Y503" i="60"/>
  <c r="Y502" i="60"/>
  <c r="T502" i="60"/>
  <c r="C502" i="60"/>
  <c r="Y501" i="60"/>
  <c r="T501" i="60"/>
  <c r="C501" i="60"/>
  <c r="Y500" i="60"/>
  <c r="Y499" i="60"/>
  <c r="T499" i="60"/>
  <c r="C499" i="60"/>
  <c r="Y498" i="60"/>
  <c r="Y497" i="60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1976" i="34"/>
  <c r="K2380" i="34"/>
  <c r="K2381" i="34"/>
  <c r="K2382" i="34"/>
  <c r="K2383" i="34"/>
  <c r="K2384" i="34"/>
  <c r="K2385" i="34"/>
  <c r="K2386" i="34"/>
  <c r="K2439" i="34"/>
  <c r="K2440" i="34"/>
  <c r="K2441" i="34"/>
  <c r="K2442" i="34"/>
  <c r="K2443" i="34"/>
  <c r="K2032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1975" i="34"/>
  <c r="K2373" i="34"/>
  <c r="K2374" i="34"/>
  <c r="K2375" i="34"/>
  <c r="K2376" i="34"/>
  <c r="K2377" i="34"/>
  <c r="K2378" i="34"/>
  <c r="K2379" i="34"/>
  <c r="K2434" i="34"/>
  <c r="K2435" i="34"/>
  <c r="K2436" i="34"/>
  <c r="K2437" i="34"/>
  <c r="K2438" i="34"/>
  <c r="K2016" i="34"/>
  <c r="S320" i="60"/>
  <c r="S318" i="60"/>
  <c r="S312" i="60"/>
  <c r="S311" i="60"/>
  <c r="S310" i="60"/>
  <c r="S307" i="60"/>
  <c r="S297" i="60"/>
  <c r="S290" i="60"/>
  <c r="S282" i="60"/>
  <c r="S266" i="60"/>
  <c r="S265" i="60"/>
  <c r="S261" i="60"/>
  <c r="S247" i="60"/>
  <c r="S235" i="60"/>
  <c r="S232" i="60"/>
  <c r="S231" i="60"/>
  <c r="S229" i="60"/>
  <c r="S200" i="60"/>
  <c r="S198" i="60"/>
  <c r="S197" i="60"/>
  <c r="S186" i="60"/>
  <c r="S183" i="60"/>
  <c r="S182" i="60"/>
  <c r="K647" i="34"/>
  <c r="R460" i="60"/>
  <c r="T460" i="60"/>
  <c r="C460" i="60"/>
  <c r="R459" i="60"/>
  <c r="T459" i="60"/>
  <c r="C459" i="60"/>
  <c r="T462" i="60"/>
  <c r="C462" i="60"/>
  <c r="R479" i="60"/>
  <c r="T479" i="60"/>
  <c r="C479" i="60"/>
  <c r="R435" i="60"/>
  <c r="T435" i="60"/>
  <c r="C435" i="60"/>
  <c r="R434" i="60"/>
  <c r="T434" i="60"/>
  <c r="C434" i="60"/>
  <c r="R432" i="60"/>
  <c r="T432" i="60"/>
  <c r="C432" i="60"/>
  <c r="R447" i="60"/>
  <c r="T447" i="60"/>
  <c r="C447" i="60"/>
  <c r="T420" i="60"/>
  <c r="C420" i="60"/>
  <c r="R445" i="60"/>
  <c r="T445" i="60"/>
  <c r="C445" i="60"/>
  <c r="R439" i="60"/>
  <c r="T439" i="60"/>
  <c r="C439" i="60"/>
  <c r="R422" i="60"/>
  <c r="T422" i="60"/>
  <c r="C422" i="60"/>
  <c r="R388" i="60"/>
  <c r="R431" i="60"/>
  <c r="T431" i="60"/>
  <c r="C431" i="60"/>
  <c r="R430" i="60"/>
  <c r="T430" i="60"/>
  <c r="C430" i="60"/>
  <c r="R396" i="60"/>
  <c r="T396" i="60"/>
  <c r="C396" i="60"/>
  <c r="R456" i="60"/>
  <c r="T456" i="60"/>
  <c r="C456" i="60"/>
  <c r="R455" i="60"/>
  <c r="T455" i="60"/>
  <c r="C455" i="60"/>
  <c r="R451" i="60"/>
  <c r="T451" i="60"/>
  <c r="C451" i="60"/>
  <c r="R425" i="60"/>
  <c r="T425" i="60"/>
  <c r="C425" i="60"/>
  <c r="R408" i="60"/>
  <c r="T408" i="60"/>
  <c r="C408" i="60"/>
  <c r="R407" i="60"/>
  <c r="T407" i="60"/>
  <c r="C407" i="60"/>
  <c r="R391" i="60"/>
  <c r="R389" i="60"/>
  <c r="R428" i="60"/>
  <c r="T428" i="60"/>
  <c r="C428" i="60"/>
  <c r="R414" i="60"/>
  <c r="T414" i="60"/>
  <c r="C414" i="60"/>
  <c r="R398" i="60"/>
  <c r="T398" i="60"/>
  <c r="C398" i="60"/>
  <c r="R475" i="60"/>
  <c r="R444" i="60"/>
  <c r="T444" i="60"/>
  <c r="C444" i="60"/>
  <c r="R427" i="60"/>
  <c r="T427" i="60"/>
  <c r="C427" i="60"/>
  <c r="R410" i="60"/>
  <c r="T410" i="60"/>
  <c r="C410" i="60"/>
  <c r="R392" i="60"/>
  <c r="R454" i="60"/>
  <c r="T454" i="60"/>
  <c r="C454" i="60"/>
  <c r="R401" i="60"/>
  <c r="T401" i="60"/>
  <c r="C401" i="60"/>
  <c r="R478" i="60"/>
  <c r="T478" i="60"/>
  <c r="C478" i="60"/>
  <c r="R409" i="60"/>
  <c r="T409" i="60"/>
  <c r="C409" i="60"/>
  <c r="R424" i="60"/>
  <c r="T424" i="60"/>
  <c r="C424" i="60"/>
  <c r="R440" i="60"/>
  <c r="T440" i="60"/>
  <c r="C440" i="60"/>
  <c r="R390" i="60"/>
  <c r="R477" i="60"/>
  <c r="T477" i="60"/>
  <c r="C477" i="60"/>
  <c r="R473" i="60"/>
  <c r="R442" i="60"/>
  <c r="T442" i="60"/>
  <c r="C442" i="60"/>
  <c r="R400" i="60"/>
  <c r="T400" i="60"/>
  <c r="C400" i="60"/>
  <c r="R476" i="60"/>
  <c r="T476" i="60"/>
  <c r="C476" i="60"/>
  <c r="R471" i="60"/>
  <c r="R441" i="60"/>
  <c r="T441" i="60"/>
  <c r="C441" i="60"/>
  <c r="R437" i="60"/>
  <c r="T437" i="60"/>
  <c r="C437" i="60"/>
  <c r="R416" i="60"/>
  <c r="T416" i="60"/>
  <c r="C416" i="60"/>
  <c r="R403" i="60"/>
  <c r="T403" i="60"/>
  <c r="C403" i="60"/>
  <c r="T399" i="60"/>
  <c r="C399" i="60"/>
  <c r="T417" i="60"/>
  <c r="C417" i="60"/>
  <c r="R415" i="60"/>
  <c r="T415" i="60"/>
  <c r="C415" i="60"/>
  <c r="R393" i="60"/>
  <c r="T393" i="60"/>
  <c r="C393" i="60"/>
  <c r="R452" i="60"/>
  <c r="T452" i="60"/>
  <c r="C452" i="60"/>
  <c r="R406" i="60"/>
  <c r="T406" i="60"/>
  <c r="C406" i="60"/>
  <c r="R450" i="60"/>
  <c r="T450" i="60"/>
  <c r="C450" i="60"/>
  <c r="R423" i="60"/>
  <c r="T423" i="60"/>
  <c r="C423" i="60"/>
  <c r="R490" i="60"/>
  <c r="T490" i="60"/>
  <c r="C490" i="60"/>
  <c r="R483" i="60"/>
  <c r="T483" i="60"/>
  <c r="C483" i="60"/>
  <c r="T419" i="60"/>
  <c r="C419" i="60"/>
  <c r="R485" i="60"/>
  <c r="T485" i="60"/>
  <c r="C485" i="60"/>
  <c r="R484" i="60"/>
  <c r="T484" i="60"/>
  <c r="C484" i="60"/>
  <c r="K1970" i="34"/>
  <c r="K1971" i="34"/>
  <c r="K1972" i="34"/>
  <c r="K1973" i="34"/>
  <c r="K1974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2048" i="34"/>
  <c r="K2049" i="34"/>
  <c r="K2050" i="34"/>
  <c r="K2051" i="34"/>
  <c r="K2052" i="34"/>
  <c r="K2053" i="34"/>
  <c r="K2054" i="34"/>
  <c r="K2055" i="34"/>
  <c r="K2056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71" i="34"/>
  <c r="K2172" i="34"/>
  <c r="K2173" i="34"/>
  <c r="K2174" i="34"/>
  <c r="K2175" i="34"/>
  <c r="K2176" i="34"/>
  <c r="K2177" i="34"/>
  <c r="K2178" i="34"/>
  <c r="K2179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1967" i="34"/>
  <c r="K2346" i="34"/>
  <c r="K2347" i="34"/>
  <c r="K2348" i="34"/>
  <c r="K2349" i="34"/>
  <c r="K2350" i="34"/>
  <c r="K2351" i="34"/>
  <c r="K2352" i="34"/>
  <c r="K2398" i="34"/>
  <c r="K2399" i="34"/>
  <c r="K2400" i="34"/>
  <c r="K2401" i="34"/>
  <c r="K2402" i="34"/>
  <c r="K1969" i="34"/>
  <c r="K1968" i="34"/>
  <c r="R482" i="60"/>
  <c r="T482" i="60"/>
  <c r="C482" i="60"/>
  <c r="R413" i="60"/>
  <c r="T413" i="60"/>
  <c r="C413" i="60"/>
  <c r="R411" i="60"/>
  <c r="T411" i="60"/>
  <c r="C411" i="60"/>
  <c r="R405" i="60"/>
  <c r="T405" i="60"/>
  <c r="C405" i="60"/>
  <c r="R394" i="60"/>
  <c r="T446" i="60"/>
  <c r="C446" i="60"/>
  <c r="T481" i="60"/>
  <c r="C481" i="60"/>
  <c r="R449" i="60"/>
  <c r="T449" i="60"/>
  <c r="C449" i="60"/>
  <c r="Y428" i="60"/>
  <c r="Y427" i="60"/>
  <c r="Y426" i="60"/>
  <c r="T426" i="60"/>
  <c r="C426" i="60"/>
  <c r="Y425" i="60"/>
  <c r="Y424" i="60"/>
  <c r="Y423" i="60"/>
  <c r="Y422" i="60"/>
  <c r="Y421" i="60"/>
  <c r="T421" i="60"/>
  <c r="C421" i="60"/>
  <c r="Y420" i="60"/>
  <c r="Y419" i="60"/>
  <c r="Y418" i="60"/>
  <c r="T418" i="60"/>
  <c r="C418" i="60"/>
  <c r="Y417" i="60"/>
  <c r="Y416" i="60"/>
  <c r="Y415" i="60"/>
  <c r="Y414" i="60"/>
  <c r="Y413" i="60"/>
  <c r="Y412" i="60"/>
  <c r="T412" i="60"/>
  <c r="C412" i="60"/>
  <c r="Y411" i="60"/>
  <c r="Y410" i="60"/>
  <c r="Y409" i="60"/>
  <c r="Y408" i="60"/>
  <c r="Y407" i="60"/>
  <c r="Y406" i="60"/>
  <c r="Y405" i="60"/>
  <c r="Y404" i="60"/>
  <c r="T404" i="60"/>
  <c r="C404" i="60"/>
  <c r="Y403" i="60"/>
  <c r="Y402" i="60"/>
  <c r="T402" i="60"/>
  <c r="C402" i="60"/>
  <c r="Y401" i="60"/>
  <c r="Y400" i="60"/>
  <c r="Y399" i="60"/>
  <c r="Y398" i="60"/>
  <c r="Y397" i="60"/>
  <c r="T397" i="60"/>
  <c r="C397" i="60"/>
  <c r="Y396" i="60"/>
  <c r="Y395" i="60"/>
  <c r="T395" i="60"/>
  <c r="C395" i="60"/>
  <c r="Y462" i="60"/>
  <c r="Y461" i="60"/>
  <c r="T461" i="60"/>
  <c r="C461" i="60"/>
  <c r="Y460" i="60"/>
  <c r="Y459" i="60"/>
  <c r="Y458" i="60"/>
  <c r="T458" i="60"/>
  <c r="C458" i="60"/>
  <c r="Y457" i="60"/>
  <c r="T457" i="60"/>
  <c r="C457" i="60"/>
  <c r="Y456" i="60"/>
  <c r="Y455" i="60"/>
  <c r="Y454" i="60"/>
  <c r="Y453" i="60"/>
  <c r="T453" i="60"/>
  <c r="C453" i="60"/>
  <c r="Y452" i="60"/>
  <c r="Y451" i="60"/>
  <c r="Y450" i="60"/>
  <c r="Y449" i="60"/>
  <c r="Y448" i="60"/>
  <c r="T448" i="60"/>
  <c r="C448" i="60"/>
  <c r="Y447" i="60"/>
  <c r="Y446" i="60"/>
  <c r="Y445" i="60"/>
  <c r="Y444" i="60"/>
  <c r="Y443" i="60"/>
  <c r="T443" i="60"/>
  <c r="C443" i="60"/>
  <c r="Y442" i="60"/>
  <c r="Y441" i="60"/>
  <c r="Y440" i="60"/>
  <c r="Y439" i="60"/>
  <c r="Y438" i="60"/>
  <c r="T438" i="60"/>
  <c r="C438" i="60"/>
  <c r="Y437" i="60"/>
  <c r="Y436" i="60"/>
  <c r="T436" i="60"/>
  <c r="C436" i="60"/>
  <c r="Y435" i="60"/>
  <c r="Y434" i="60"/>
  <c r="Y433" i="60"/>
  <c r="T433" i="60"/>
  <c r="C433" i="60"/>
  <c r="Y432" i="60"/>
  <c r="Y431" i="60"/>
  <c r="Y430" i="60"/>
  <c r="Y429" i="60"/>
  <c r="T429" i="60"/>
  <c r="C429" i="60"/>
  <c r="Y530" i="60"/>
  <c r="Y529" i="60"/>
  <c r="Y528" i="60"/>
  <c r="Y527" i="60"/>
  <c r="T527" i="60"/>
  <c r="C527" i="60"/>
  <c r="Y526" i="60"/>
  <c r="T526" i="60"/>
  <c r="C526" i="60"/>
  <c r="Y496" i="60"/>
  <c r="T496" i="60"/>
  <c r="C496" i="60"/>
  <c r="Y495" i="60"/>
  <c r="T495" i="60"/>
  <c r="C495" i="60"/>
  <c r="Y494" i="60"/>
  <c r="T494" i="60"/>
  <c r="C494" i="60"/>
  <c r="Y493" i="60"/>
  <c r="T493" i="60"/>
  <c r="C493" i="60"/>
  <c r="Y492" i="60"/>
  <c r="Y491" i="60"/>
  <c r="T491" i="60"/>
  <c r="C491" i="60"/>
  <c r="Y490" i="60"/>
  <c r="Y489" i="60"/>
  <c r="T489" i="60"/>
  <c r="C489" i="60"/>
  <c r="Y488" i="60"/>
  <c r="T488" i="60"/>
  <c r="C488" i="60"/>
  <c r="Y487" i="60"/>
  <c r="T487" i="60"/>
  <c r="C487" i="60"/>
  <c r="Y486" i="60"/>
  <c r="T486" i="60"/>
  <c r="C486" i="60"/>
  <c r="Y485" i="60"/>
  <c r="Y484" i="60"/>
  <c r="Y483" i="60"/>
  <c r="Y482" i="60"/>
  <c r="Y481" i="60"/>
  <c r="Y480" i="60"/>
  <c r="T480" i="60"/>
  <c r="C480" i="60"/>
  <c r="Y479" i="60"/>
  <c r="Y478" i="60"/>
  <c r="Y477" i="60"/>
  <c r="Y476" i="60"/>
  <c r="Y556" i="60"/>
  <c r="Y555" i="60"/>
  <c r="Y554" i="60"/>
  <c r="Y553" i="60"/>
  <c r="T553" i="60"/>
  <c r="C553" i="60"/>
  <c r="Y552" i="60"/>
  <c r="T552" i="60"/>
  <c r="C552" i="60"/>
  <c r="Y551" i="60"/>
  <c r="T551" i="60"/>
  <c r="C551" i="60"/>
  <c r="Y550" i="60"/>
  <c r="T550" i="60"/>
  <c r="C550" i="60"/>
  <c r="Y549" i="60"/>
  <c r="T549" i="60"/>
  <c r="C549" i="60"/>
  <c r="Y548" i="60"/>
  <c r="Y547" i="60"/>
  <c r="Y546" i="60"/>
  <c r="Y545" i="60"/>
  <c r="Y544" i="60"/>
  <c r="Y543" i="60"/>
  <c r="T543" i="60"/>
  <c r="C543" i="60"/>
  <c r="Y542" i="60"/>
  <c r="T542" i="60"/>
  <c r="C542" i="60"/>
  <c r="Y541" i="60"/>
  <c r="T541" i="60"/>
  <c r="C541" i="60"/>
  <c r="Y540" i="60"/>
  <c r="T540" i="60"/>
  <c r="C540" i="60"/>
  <c r="Y539" i="60"/>
  <c r="T539" i="60"/>
  <c r="C539" i="60"/>
  <c r="Y538" i="60"/>
  <c r="T538" i="60"/>
  <c r="C538" i="60"/>
  <c r="Y537" i="60"/>
  <c r="Y536" i="60"/>
  <c r="T536" i="60"/>
  <c r="C536" i="60"/>
  <c r="Y535" i="60"/>
  <c r="Y534" i="60"/>
  <c r="T534" i="60"/>
  <c r="C534" i="60"/>
  <c r="Y533" i="60"/>
  <c r="T533" i="60"/>
  <c r="C533" i="60"/>
  <c r="Y532" i="60"/>
  <c r="Y531" i="60"/>
  <c r="K1777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910" i="34"/>
  <c r="K1911" i="34"/>
  <c r="K1912" i="34"/>
  <c r="K1913" i="34"/>
  <c r="K1914" i="34"/>
  <c r="K1915" i="34"/>
  <c r="K1916" i="34"/>
  <c r="K1917" i="34"/>
  <c r="K1918" i="34"/>
  <c r="K1919" i="34"/>
  <c r="K1937" i="34"/>
  <c r="K1938" i="34"/>
  <c r="K1939" i="34"/>
  <c r="K1940" i="34"/>
  <c r="K1941" i="34"/>
  <c r="K1942" i="34"/>
  <c r="K1943" i="34"/>
  <c r="K1944" i="34"/>
  <c r="K1950" i="34"/>
  <c r="K1951" i="34"/>
  <c r="K1740" i="34"/>
  <c r="K1870" i="34"/>
  <c r="K1871" i="34"/>
  <c r="K1872" i="34"/>
  <c r="K1873" i="34"/>
  <c r="K1874" i="34"/>
  <c r="K1900" i="34"/>
  <c r="K1901" i="34"/>
  <c r="K1902" i="34"/>
  <c r="K1903" i="34"/>
  <c r="K1904" i="34"/>
  <c r="K1905" i="34"/>
  <c r="K1906" i="34"/>
  <c r="K1907" i="34"/>
  <c r="K1908" i="34"/>
  <c r="K1909" i="34"/>
  <c r="K1929" i="34"/>
  <c r="K1930" i="34"/>
  <c r="K1931" i="34"/>
  <c r="K1932" i="34"/>
  <c r="K1933" i="34"/>
  <c r="K1934" i="34"/>
  <c r="K1935" i="34"/>
  <c r="K1936" i="34"/>
  <c r="K1948" i="34"/>
  <c r="K1949" i="34"/>
  <c r="R371" i="60"/>
  <c r="R357" i="60"/>
  <c r="R368" i="60"/>
  <c r="R354" i="60"/>
  <c r="K1776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61" i="34"/>
  <c r="K1862" i="34"/>
  <c r="K1863" i="34"/>
  <c r="K1864" i="34"/>
  <c r="K1865" i="34"/>
  <c r="K1866" i="34"/>
  <c r="K1867" i="34"/>
  <c r="K1868" i="34"/>
  <c r="K1869" i="34"/>
  <c r="K1739" i="34"/>
  <c r="K1733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8" i="34"/>
  <c r="K1769" i="34"/>
  <c r="K1770" i="34"/>
  <c r="K1771" i="34"/>
  <c r="K1772" i="34"/>
  <c r="K1773" i="34"/>
  <c r="K1774" i="34"/>
  <c r="K1775" i="34"/>
  <c r="K1799" i="34"/>
  <c r="K1800" i="34"/>
  <c r="K1801" i="34"/>
  <c r="K1802" i="34"/>
  <c r="K1803" i="34"/>
  <c r="K1804" i="34"/>
  <c r="K1805" i="34"/>
  <c r="K1806" i="34"/>
  <c r="K1807" i="34"/>
  <c r="K1808" i="34"/>
  <c r="K1778" i="34"/>
  <c r="K1779" i="34"/>
  <c r="K1780" i="34"/>
  <c r="K1781" i="34"/>
  <c r="K1782" i="34"/>
  <c r="K1783" i="34"/>
  <c r="K1784" i="34"/>
  <c r="K1785" i="34"/>
  <c r="K1859" i="34"/>
  <c r="K1860" i="34"/>
  <c r="K1732" i="34"/>
  <c r="A341" i="60"/>
  <c r="A2326" i="34"/>
  <c r="A2322" i="34"/>
  <c r="A2318" i="34"/>
  <c r="A2232" i="34"/>
  <c r="A2228" i="34"/>
  <c r="A2224" i="34"/>
  <c r="A2220" i="34"/>
  <c r="A2216" i="34"/>
  <c r="A2212" i="34"/>
  <c r="A2208" i="34"/>
  <c r="A2109" i="34"/>
  <c r="A2105" i="34"/>
  <c r="A2101" i="34"/>
  <c r="A2097" i="34"/>
  <c r="A2047" i="34"/>
  <c r="A2043" i="34"/>
  <c r="A2039" i="34"/>
  <c r="A2035" i="34"/>
  <c r="A2438" i="34"/>
  <c r="A2434" i="34"/>
  <c r="A2376" i="34"/>
  <c r="A1975" i="34"/>
  <c r="A2312" i="34"/>
  <c r="A2308" i="34"/>
  <c r="A2304" i="34"/>
  <c r="A2300" i="34"/>
  <c r="A2296" i="34"/>
  <c r="A2292" i="34"/>
  <c r="A2288" i="34"/>
  <c r="A2205" i="34"/>
  <c r="A2201" i="34"/>
  <c r="A2197" i="34"/>
  <c r="A2193" i="34"/>
  <c r="A2189" i="34"/>
  <c r="A2185" i="34"/>
  <c r="A2181" i="34"/>
  <c r="A2091" i="34"/>
  <c r="A2087" i="34"/>
  <c r="A2083" i="34"/>
  <c r="A2079" i="34"/>
  <c r="A2031" i="34"/>
  <c r="A2027" i="34"/>
  <c r="A2023" i="34"/>
  <c r="A2019" i="34"/>
  <c r="A2775" i="34"/>
  <c r="A2779" i="34"/>
  <c r="A2783" i="34"/>
  <c r="A2581" i="34"/>
  <c r="A2585" i="34"/>
  <c r="A2589" i="34"/>
  <c r="A2593" i="34"/>
  <c r="A2597" i="34"/>
  <c r="A2601" i="34"/>
  <c r="A2605" i="34"/>
  <c r="A2609" i="34"/>
  <c r="A2613" i="34"/>
  <c r="A2624" i="34"/>
  <c r="A2662" i="34"/>
  <c r="A2666" i="34"/>
  <c r="A2670" i="34"/>
  <c r="A2558" i="34"/>
  <c r="A2562" i="34"/>
  <c r="A2566" i="34"/>
  <c r="A2570" i="34"/>
  <c r="A2574" i="34"/>
  <c r="A2578" i="34"/>
  <c r="A2620" i="34"/>
  <c r="A2649" i="34"/>
  <c r="A2653" i="34"/>
  <c r="A2657" i="34"/>
  <c r="A2749" i="34"/>
  <c r="A2638" i="34"/>
  <c r="A2707" i="34"/>
  <c r="A2711" i="34"/>
  <c r="A2715" i="34"/>
  <c r="A2719" i="34"/>
  <c r="A2723" i="34"/>
  <c r="A2727" i="34"/>
  <c r="A2731" i="34"/>
  <c r="A2735" i="34"/>
  <c r="A2739" i="34"/>
  <c r="A2743" i="34"/>
  <c r="A2446" i="34"/>
  <c r="A2476" i="34"/>
  <c r="A2454" i="34"/>
  <c r="A2489" i="34"/>
  <c r="A2826" i="34"/>
  <c r="A2493" i="34"/>
  <c r="A2501" i="34"/>
  <c r="A2505" i="34"/>
  <c r="A2509" i="34"/>
  <c r="A2513" i="34"/>
  <c r="A2517" i="34"/>
  <c r="A2521" i="34"/>
  <c r="A2525" i="34"/>
  <c r="A2529" i="34"/>
  <c r="A2533" i="34"/>
  <c r="A2617" i="34"/>
  <c r="A2627" i="34"/>
  <c r="A2631" i="34"/>
  <c r="A2635" i="34"/>
  <c r="A2554" i="34"/>
  <c r="A2550" i="34"/>
  <c r="A2457" i="34"/>
  <c r="A2701" i="34"/>
  <c r="A2697" i="34"/>
  <c r="A2693" i="34"/>
  <c r="A2689" i="34"/>
  <c r="A2685" i="34"/>
  <c r="A2681" i="34"/>
  <c r="A2677" i="34"/>
  <c r="A2645" i="34"/>
  <c r="A2641" i="34"/>
  <c r="A2546" i="34"/>
  <c r="A2542" i="34"/>
  <c r="A2538" i="34"/>
  <c r="A2497" i="34"/>
  <c r="A2488" i="34"/>
  <c r="A2484" i="34"/>
  <c r="A2480" i="34"/>
  <c r="A2472" i="34"/>
  <c r="A2468" i="34"/>
  <c r="A2464" i="34"/>
  <c r="A2451" i="34"/>
  <c r="A2773" i="34"/>
  <c r="A2769" i="34"/>
  <c r="A2765" i="34"/>
  <c r="A2761" i="34"/>
  <c r="A2757" i="34"/>
  <c r="A2753" i="34"/>
  <c r="A2096" i="34"/>
  <c r="A2325" i="34"/>
  <c r="A2321" i="34"/>
  <c r="A2317" i="34"/>
  <c r="A2231" i="34"/>
  <c r="A2227" i="34"/>
  <c r="A2223" i="34"/>
  <c r="A2219" i="34"/>
  <c r="A2215" i="34"/>
  <c r="A2211" i="34"/>
  <c r="A2207" i="34"/>
  <c r="A2108" i="34"/>
  <c r="A2104" i="34"/>
  <c r="A2100" i="34"/>
  <c r="A2046" i="34"/>
  <c r="A2042" i="34"/>
  <c r="A2038" i="34"/>
  <c r="A2034" i="34"/>
  <c r="A2437" i="34"/>
  <c r="A2379" i="34"/>
  <c r="A2375" i="34"/>
  <c r="A2315" i="34"/>
  <c r="A2311" i="34"/>
  <c r="A2307" i="34"/>
  <c r="A2303" i="34"/>
  <c r="A2299" i="34"/>
  <c r="A2295" i="34"/>
  <c r="A2291" i="34"/>
  <c r="A2287" i="34"/>
  <c r="A2204" i="34"/>
  <c r="A2200" i="34"/>
  <c r="A2196" i="34"/>
  <c r="A2192" i="34"/>
  <c r="A2188" i="34"/>
  <c r="A2184" i="34"/>
  <c r="A2180" i="34"/>
  <c r="A2090" i="34"/>
  <c r="A2086" i="34"/>
  <c r="A2082" i="34"/>
  <c r="A2078" i="34"/>
  <c r="A2030" i="34"/>
  <c r="A2026" i="34"/>
  <c r="A2022" i="34"/>
  <c r="A2018" i="34"/>
  <c r="A2776" i="34"/>
  <c r="A2780" i="34"/>
  <c r="A2784" i="34"/>
  <c r="A2582" i="34"/>
  <c r="A2586" i="34"/>
  <c r="A2590" i="34"/>
  <c r="A2594" i="34"/>
  <c r="A2598" i="34"/>
  <c r="A2602" i="34"/>
  <c r="A2606" i="34"/>
  <c r="A2610" i="34"/>
  <c r="A2614" i="34"/>
  <c r="A2659" i="34"/>
  <c r="A2663" i="34"/>
  <c r="A2667" i="34"/>
  <c r="A2785" i="34"/>
  <c r="A2559" i="34"/>
  <c r="A2563" i="34"/>
  <c r="A2567" i="34"/>
  <c r="A2571" i="34"/>
  <c r="A2575" i="34"/>
  <c r="A2579" i="34"/>
  <c r="A2621" i="34"/>
  <c r="A2650" i="34"/>
  <c r="A2654" i="34"/>
  <c r="A2658" i="34"/>
  <c r="A2750" i="34"/>
  <c r="A2690" i="34"/>
  <c r="A2708" i="34"/>
  <c r="A2712" i="34"/>
  <c r="A2716" i="34"/>
  <c r="A2720" i="34"/>
  <c r="A2724" i="34"/>
  <c r="A2728" i="34"/>
  <c r="A2732" i="34"/>
  <c r="A2736" i="34"/>
  <c r="A2740" i="34"/>
  <c r="A2744" i="34"/>
  <c r="A2445" i="34"/>
  <c r="A2477" i="34"/>
  <c r="A2459" i="34"/>
  <c r="A2490" i="34"/>
  <c r="A2827" i="34"/>
  <c r="A2455" i="34"/>
  <c r="A2502" i="34"/>
  <c r="A2506" i="34"/>
  <c r="A2510" i="34"/>
  <c r="A2514" i="34"/>
  <c r="A2518" i="34"/>
  <c r="A2522" i="34"/>
  <c r="A2526" i="34"/>
  <c r="A2530" i="34"/>
  <c r="A2534" i="34"/>
  <c r="A2618" i="34"/>
  <c r="A2628" i="34"/>
  <c r="A2632" i="34"/>
  <c r="A2636" i="34"/>
  <c r="A2553" i="34"/>
  <c r="A2549" i="34"/>
  <c r="A2498" i="34"/>
  <c r="A2700" i="34"/>
  <c r="A2696" i="34"/>
  <c r="A2692" i="34"/>
  <c r="A2688" i="34"/>
  <c r="A2684" i="34"/>
  <c r="A2680" i="34"/>
  <c r="A2676" i="34"/>
  <c r="A2644" i="34"/>
  <c r="A2640" i="34"/>
  <c r="A2545" i="34"/>
  <c r="A2541" i="34"/>
  <c r="A2537" i="34"/>
  <c r="A2496" i="34"/>
  <c r="A2487" i="34"/>
  <c r="A2483" i="34"/>
  <c r="A2479" i="34"/>
  <c r="A2475" i="34"/>
  <c r="A2471" i="34"/>
  <c r="A2467" i="34"/>
  <c r="A2463" i="34"/>
  <c r="A2450" i="34"/>
  <c r="A2772" i="34"/>
  <c r="A2768" i="34"/>
  <c r="A2764" i="34"/>
  <c r="A2760" i="34"/>
  <c r="A2756" i="34"/>
  <c r="A2752" i="34"/>
  <c r="A2195" i="34"/>
  <c r="A2324" i="34"/>
  <c r="A2320" i="34"/>
  <c r="A2316" i="34"/>
  <c r="A2230" i="34"/>
  <c r="A2226" i="34"/>
  <c r="A2222" i="34"/>
  <c r="A2218" i="34"/>
  <c r="A2214" i="34"/>
  <c r="A2210" i="34"/>
  <c r="A2111" i="34"/>
  <c r="A2107" i="34"/>
  <c r="A2103" i="34"/>
  <c r="A2099" i="34"/>
  <c r="A2095" i="34"/>
  <c r="A2045" i="34"/>
  <c r="A2041" i="34"/>
  <c r="A2037" i="34"/>
  <c r="A2033" i="34"/>
  <c r="A2436" i="34"/>
  <c r="A2378" i="34"/>
  <c r="A2374" i="34"/>
  <c r="A2314" i="34"/>
  <c r="A2310" i="34"/>
  <c r="A2306" i="34"/>
  <c r="A2302" i="34"/>
  <c r="A2298" i="34"/>
  <c r="A2294" i="34"/>
  <c r="A2290" i="34"/>
  <c r="A2286" i="34"/>
  <c r="A2203" i="34"/>
  <c r="A2199" i="34"/>
  <c r="A2191" i="34"/>
  <c r="A2187" i="34"/>
  <c r="A2183" i="34"/>
  <c r="A2093" i="34"/>
  <c r="A2089" i="34"/>
  <c r="A2085" i="34"/>
  <c r="A2081" i="34"/>
  <c r="A2077" i="34"/>
  <c r="A2029" i="34"/>
  <c r="A2025" i="34"/>
  <c r="A2021" i="34"/>
  <c r="A2017" i="34"/>
  <c r="A2777" i="34"/>
  <c r="A2781" i="34"/>
  <c r="A2499" i="34"/>
  <c r="A2583" i="34"/>
  <c r="A2587" i="34"/>
  <c r="A2591" i="34"/>
  <c r="A2595" i="34"/>
  <c r="A2599" i="34"/>
  <c r="A2603" i="34"/>
  <c r="A2607" i="34"/>
  <c r="A2611" i="34"/>
  <c r="A2622" i="34"/>
  <c r="A2660" i="34"/>
  <c r="A2664" i="34"/>
  <c r="A2668" i="34"/>
  <c r="A2556" i="34"/>
  <c r="A2560" i="34"/>
  <c r="A2564" i="34"/>
  <c r="A2568" i="34"/>
  <c r="A2572" i="34"/>
  <c r="A2576" i="34"/>
  <c r="A2580" i="34"/>
  <c r="A2647" i="34"/>
  <c r="A2651" i="34"/>
  <c r="A2655" i="34"/>
  <c r="A2747" i="34"/>
  <c r="A2751" i="34"/>
  <c r="A2704" i="34"/>
  <c r="A2709" i="34"/>
  <c r="A2713" i="34"/>
  <c r="A2717" i="34"/>
  <c r="A2721" i="34"/>
  <c r="A2725" i="34"/>
  <c r="A2729" i="34"/>
  <c r="A2733" i="34"/>
  <c r="A2737" i="34"/>
  <c r="A2741" i="34"/>
  <c r="A2745" i="34"/>
  <c r="A2447" i="34"/>
  <c r="A2478" i="34"/>
  <c r="A2460" i="34"/>
  <c r="A2491" i="34"/>
  <c r="A2828" i="34"/>
  <c r="A2456" i="34"/>
  <c r="A2503" i="34"/>
  <c r="A2507" i="34"/>
  <c r="A2511" i="34"/>
  <c r="A2515" i="34"/>
  <c r="A2519" i="34"/>
  <c r="A2523" i="34"/>
  <c r="A2527" i="34"/>
  <c r="A2531" i="34"/>
  <c r="A2615" i="34"/>
  <c r="A2625" i="34"/>
  <c r="A2629" i="34"/>
  <c r="A2633" i="34"/>
  <c r="A2637" i="34"/>
  <c r="A2552" i="34"/>
  <c r="A2548" i="34"/>
  <c r="A2703" i="34"/>
  <c r="A2699" i="34"/>
  <c r="A2695" i="34"/>
  <c r="A2691" i="34"/>
  <c r="A2687" i="34"/>
  <c r="A2683" i="34"/>
  <c r="A2679" i="34"/>
  <c r="A2675" i="34"/>
  <c r="A2643" i="34"/>
  <c r="A2639" i="34"/>
  <c r="A2544" i="34"/>
  <c r="A2540" i="34"/>
  <c r="A2536" i="34"/>
  <c r="A2495" i="34"/>
  <c r="A2486" i="34"/>
  <c r="A2482" i="34"/>
  <c r="A2474" i="34"/>
  <c r="A2470" i="34"/>
  <c r="A2466" i="34"/>
  <c r="A2462" i="34"/>
  <c r="A2449" i="34"/>
  <c r="A2771" i="34"/>
  <c r="A2767" i="34"/>
  <c r="A2763" i="34"/>
  <c r="A2759" i="34"/>
  <c r="A2755" i="34"/>
  <c r="A2016" i="34"/>
  <c r="A2323" i="34"/>
  <c r="A2319" i="34"/>
  <c r="A2233" i="34"/>
  <c r="A2229" i="34"/>
  <c r="A2225" i="34"/>
  <c r="A2221" i="34"/>
  <c r="A2217" i="34"/>
  <c r="A2213" i="34"/>
  <c r="A2209" i="34"/>
  <c r="A2110" i="34"/>
  <c r="A2106" i="34"/>
  <c r="A2102" i="34"/>
  <c r="A2098" i="34"/>
  <c r="A2094" i="34"/>
  <c r="A2044" i="34"/>
  <c r="A2040" i="34"/>
  <c r="A2036" i="34"/>
  <c r="A2032" i="34"/>
  <c r="A2435" i="34"/>
  <c r="A2377" i="34"/>
  <c r="A2373" i="34"/>
  <c r="A2313" i="34"/>
  <c r="A2309" i="34"/>
  <c r="A2305" i="34"/>
  <c r="A2301" i="34"/>
  <c r="A2297" i="34"/>
  <c r="A2293" i="34"/>
  <c r="A2289" i="34"/>
  <c r="A2206" i="34"/>
  <c r="A2202" i="34"/>
  <c r="A2198" i="34"/>
  <c r="A2194" i="34"/>
  <c r="A2190" i="34"/>
  <c r="A2186" i="34"/>
  <c r="A2182" i="34"/>
  <c r="A2092" i="34"/>
  <c r="A2088" i="34"/>
  <c r="A2084" i="34"/>
  <c r="A2080" i="34"/>
  <c r="A2076" i="34"/>
  <c r="A2028" i="34"/>
  <c r="A2024" i="34"/>
  <c r="A2020" i="34"/>
  <c r="A2770" i="34"/>
  <c r="A2778" i="34"/>
  <c r="A2782" i="34"/>
  <c r="A2458" i="34"/>
  <c r="A2584" i="34"/>
  <c r="A2588" i="34"/>
  <c r="A2592" i="34"/>
  <c r="A2596" i="34"/>
  <c r="A2600" i="34"/>
  <c r="A2604" i="34"/>
  <c r="A2608" i="34"/>
  <c r="A2612" i="34"/>
  <c r="A2623" i="34"/>
  <c r="A2661" i="34"/>
  <c r="A2665" i="34"/>
  <c r="A2669" i="34"/>
  <c r="A2557" i="34"/>
  <c r="A2561" i="34"/>
  <c r="A2565" i="34"/>
  <c r="A2569" i="34"/>
  <c r="A2573" i="34"/>
  <c r="A2577" i="34"/>
  <c r="A2619" i="34"/>
  <c r="A2648" i="34"/>
  <c r="A2652" i="34"/>
  <c r="A2656" i="34"/>
  <c r="A2748" i="34"/>
  <c r="A2762" i="34"/>
  <c r="A2705" i="34"/>
  <c r="A2710" i="34"/>
  <c r="A2714" i="34"/>
  <c r="A2718" i="34"/>
  <c r="A2722" i="34"/>
  <c r="A2726" i="34"/>
  <c r="A2730" i="34"/>
  <c r="A2734" i="34"/>
  <c r="A2738" i="34"/>
  <c r="A2742" i="34"/>
  <c r="A2746" i="34"/>
  <c r="A2469" i="34"/>
  <c r="A2453" i="34"/>
  <c r="A2461" i="34"/>
  <c r="A2671" i="34"/>
  <c r="A2492" i="34"/>
  <c r="A2500" i="34"/>
  <c r="A2504" i="34"/>
  <c r="A2508" i="34"/>
  <c r="A2512" i="34"/>
  <c r="A2516" i="34"/>
  <c r="A2520" i="34"/>
  <c r="A2524" i="34"/>
  <c r="A2528" i="34"/>
  <c r="A2532" i="34"/>
  <c r="A2616" i="34"/>
  <c r="A2626" i="34"/>
  <c r="A2630" i="34"/>
  <c r="A2634" i="34"/>
  <c r="A2555" i="34"/>
  <c r="A2551" i="34"/>
  <c r="A2547" i="34"/>
  <c r="A2702" i="34"/>
  <c r="A2698" i="34"/>
  <c r="A2694" i="34"/>
  <c r="A2686" i="34"/>
  <c r="A2682" i="34"/>
  <c r="A2678" i="34"/>
  <c r="A2646" i="34"/>
  <c r="A2642" i="34"/>
  <c r="A2543" i="34"/>
  <c r="A2539" i="34"/>
  <c r="A2535" i="34"/>
  <c r="A2494" i="34"/>
  <c r="A2485" i="34"/>
  <c r="A2481" i="34"/>
  <c r="A2473" i="34"/>
  <c r="A2465" i="34"/>
  <c r="A2452" i="34"/>
  <c r="A2448" i="34"/>
  <c r="A2774" i="34"/>
  <c r="A2766" i="34"/>
  <c r="A2758" i="34"/>
  <c r="A2754" i="34"/>
  <c r="Y374" i="60"/>
  <c r="T374" i="60"/>
  <c r="C374" i="60"/>
  <c r="Y373" i="60"/>
  <c r="T373" i="60"/>
  <c r="C373" i="60"/>
  <c r="Y372" i="60"/>
  <c r="T372" i="60"/>
  <c r="C372" i="60"/>
  <c r="Y371" i="60"/>
  <c r="T371" i="60"/>
  <c r="C371" i="60"/>
  <c r="Y370" i="60"/>
  <c r="T370" i="60"/>
  <c r="C370" i="60"/>
  <c r="Y369" i="60"/>
  <c r="T369" i="60"/>
  <c r="C369" i="60"/>
  <c r="Y368" i="60"/>
  <c r="T368" i="60"/>
  <c r="C368" i="60"/>
  <c r="Y367" i="60"/>
  <c r="T367" i="60"/>
  <c r="C367" i="60"/>
  <c r="Y366" i="60"/>
  <c r="T366" i="60"/>
  <c r="C366" i="60"/>
  <c r="Y365" i="60"/>
  <c r="T365" i="60"/>
  <c r="C365" i="60"/>
  <c r="Y364" i="60"/>
  <c r="T364" i="60"/>
  <c r="C364" i="60"/>
  <c r="Y363" i="60"/>
  <c r="T363" i="60"/>
  <c r="C363" i="60"/>
  <c r="Y362" i="60"/>
  <c r="T362" i="60"/>
  <c r="C362" i="60"/>
  <c r="Y361" i="60"/>
  <c r="T361" i="60"/>
  <c r="C361" i="60"/>
  <c r="Y360" i="60"/>
  <c r="T360" i="60"/>
  <c r="C360" i="60"/>
  <c r="Y359" i="60"/>
  <c r="T359" i="60"/>
  <c r="C359" i="60"/>
  <c r="Y358" i="60"/>
  <c r="T358" i="60"/>
  <c r="C358" i="60"/>
  <c r="Y357" i="60"/>
  <c r="T357" i="60"/>
  <c r="C357" i="60"/>
  <c r="Y356" i="60"/>
  <c r="T356" i="60"/>
  <c r="C356" i="60"/>
  <c r="Y355" i="60"/>
  <c r="T355" i="60"/>
  <c r="C355" i="60"/>
  <c r="Y354" i="60"/>
  <c r="T354" i="60"/>
  <c r="C354" i="60"/>
  <c r="Y353" i="60"/>
  <c r="T353" i="60"/>
  <c r="C353" i="60"/>
  <c r="Y352" i="60"/>
  <c r="T352" i="60"/>
  <c r="C352" i="60"/>
  <c r="Y351" i="60"/>
  <c r="T351" i="60"/>
  <c r="C351" i="60"/>
  <c r="Y350" i="60"/>
  <c r="T350" i="60"/>
  <c r="C350" i="60"/>
  <c r="Y349" i="60"/>
  <c r="T349" i="60"/>
  <c r="C349" i="60"/>
  <c r="Y348" i="60"/>
  <c r="T348" i="60"/>
  <c r="C348" i="60"/>
  <c r="Y347" i="60"/>
  <c r="T347" i="60"/>
  <c r="C347" i="60"/>
  <c r="Y346" i="60"/>
  <c r="T346" i="60"/>
  <c r="C346" i="60"/>
  <c r="Y471" i="60"/>
  <c r="T471" i="60"/>
  <c r="C471" i="60"/>
  <c r="Y470" i="60"/>
  <c r="T470" i="60"/>
  <c r="C470" i="60"/>
  <c r="Y469" i="60"/>
  <c r="T469" i="60"/>
  <c r="C469" i="60"/>
  <c r="Y468" i="60"/>
  <c r="T468" i="60"/>
  <c r="C468" i="60"/>
  <c r="Y467" i="60"/>
  <c r="T467" i="60"/>
  <c r="C467" i="60"/>
  <c r="Y466" i="60"/>
  <c r="T466" i="60"/>
  <c r="C466" i="60"/>
  <c r="Y465" i="60"/>
  <c r="T465" i="60"/>
  <c r="C465" i="60"/>
  <c r="Y464" i="60"/>
  <c r="T464" i="60"/>
  <c r="C464" i="60"/>
  <c r="Y463" i="60"/>
  <c r="T463" i="60"/>
  <c r="C463" i="60"/>
  <c r="Y394" i="60"/>
  <c r="T394" i="60"/>
  <c r="C394" i="60"/>
  <c r="Y393" i="60"/>
  <c r="Y392" i="60"/>
  <c r="T392" i="60"/>
  <c r="C392" i="60"/>
  <c r="Y391" i="60"/>
  <c r="T391" i="60"/>
  <c r="C391" i="60"/>
  <c r="Y390" i="60"/>
  <c r="T390" i="60"/>
  <c r="C390" i="60"/>
  <c r="Y389" i="60"/>
  <c r="T389" i="60"/>
  <c r="C389" i="60"/>
  <c r="Y388" i="60"/>
  <c r="T388" i="60"/>
  <c r="C388" i="60"/>
  <c r="Y387" i="60"/>
  <c r="T387" i="60"/>
  <c r="C387" i="60"/>
  <c r="Y386" i="60"/>
  <c r="T386" i="60"/>
  <c r="C386" i="60"/>
  <c r="Y385" i="60"/>
  <c r="T385" i="60"/>
  <c r="C385" i="60"/>
  <c r="Y384" i="60"/>
  <c r="T384" i="60"/>
  <c r="C384" i="60"/>
  <c r="Y383" i="60"/>
  <c r="T383" i="60"/>
  <c r="C383" i="60"/>
  <c r="Y382" i="60"/>
  <c r="T382" i="60"/>
  <c r="C382" i="60"/>
  <c r="Y381" i="60"/>
  <c r="T381" i="60"/>
  <c r="C381" i="60"/>
  <c r="Y380" i="60"/>
  <c r="T380" i="60"/>
  <c r="C380" i="60"/>
  <c r="Y379" i="60"/>
  <c r="T379" i="60"/>
  <c r="C379" i="60"/>
  <c r="Y378" i="60"/>
  <c r="T378" i="60"/>
  <c r="C378" i="60"/>
  <c r="Y377" i="60"/>
  <c r="T377" i="60"/>
  <c r="C377" i="60"/>
  <c r="Y376" i="60"/>
  <c r="T376" i="60"/>
  <c r="C376" i="60"/>
  <c r="Y375" i="60"/>
  <c r="T375" i="60"/>
  <c r="C375" i="60"/>
  <c r="Y567" i="60"/>
  <c r="T567" i="60"/>
  <c r="C567" i="60"/>
  <c r="Y566" i="60"/>
  <c r="T566" i="60"/>
  <c r="C566" i="60"/>
  <c r="Y565" i="60"/>
  <c r="T565" i="60"/>
  <c r="C565" i="60"/>
  <c r="Y564" i="60"/>
  <c r="T564" i="60"/>
  <c r="C564" i="60"/>
  <c r="Y563" i="60"/>
  <c r="T563" i="60"/>
  <c r="C563" i="60"/>
  <c r="Y562" i="60"/>
  <c r="T562" i="60"/>
  <c r="C562" i="60"/>
  <c r="Y561" i="60"/>
  <c r="T561" i="60"/>
  <c r="C561" i="60"/>
  <c r="Y560" i="60"/>
  <c r="T560" i="60"/>
  <c r="C560" i="60"/>
  <c r="Y559" i="60"/>
  <c r="T559" i="60"/>
  <c r="C559" i="60"/>
  <c r="Y558" i="60"/>
  <c r="T558" i="60"/>
  <c r="C558" i="60"/>
  <c r="Y557" i="60"/>
  <c r="T557" i="60"/>
  <c r="C557" i="60"/>
  <c r="Y475" i="60"/>
  <c r="T475" i="60"/>
  <c r="C475" i="60"/>
  <c r="Y474" i="60"/>
  <c r="T474" i="60"/>
  <c r="C474" i="60"/>
  <c r="Y473" i="60"/>
  <c r="T473" i="60"/>
  <c r="C473" i="60"/>
  <c r="Y472" i="60"/>
  <c r="T472" i="60"/>
  <c r="C472" i="60"/>
  <c r="A1857" i="34"/>
  <c r="A1889" i="34"/>
  <c r="A1897" i="34"/>
  <c r="A1921" i="34"/>
  <c r="A2412" i="34"/>
  <c r="A1855" i="34"/>
  <c r="A1895" i="34"/>
  <c r="A1893" i="34"/>
  <c r="A1922" i="34"/>
  <c r="A2824" i="34"/>
  <c r="A1856" i="34"/>
  <c r="A1896" i="34"/>
  <c r="A1894" i="34"/>
  <c r="A1899" i="34"/>
  <c r="A1858" i="34"/>
  <c r="A1891" i="34"/>
  <c r="A1925" i="34"/>
  <c r="A1920" i="34"/>
  <c r="A1923" i="34"/>
  <c r="A1957" i="34"/>
  <c r="A1892" i="34"/>
  <c r="A1924" i="34"/>
  <c r="K1718" i="34"/>
  <c r="K1717" i="34"/>
  <c r="K1716" i="34"/>
  <c r="K1715" i="34"/>
  <c r="K1714" i="34"/>
  <c r="K1713" i="34"/>
  <c r="K1712" i="34"/>
  <c r="K1711" i="34"/>
  <c r="K1710" i="34"/>
  <c r="K1709" i="34"/>
  <c r="K1708" i="34"/>
  <c r="K1681" i="34"/>
  <c r="K1680" i="34"/>
  <c r="K1679" i="34"/>
  <c r="K1678" i="34"/>
  <c r="K1677" i="34"/>
  <c r="K1676" i="34"/>
  <c r="K1675" i="34"/>
  <c r="K1674" i="34"/>
  <c r="K1656" i="34"/>
  <c r="K1655" i="34"/>
  <c r="K1654" i="34"/>
  <c r="K1653" i="34"/>
  <c r="K1652" i="34"/>
  <c r="K1651" i="34"/>
  <c r="K1650" i="34"/>
  <c r="K1649" i="34"/>
  <c r="K1627" i="34"/>
  <c r="K1626" i="34"/>
  <c r="K1625" i="34"/>
  <c r="K1624" i="34"/>
  <c r="K1623" i="34"/>
  <c r="K1622" i="34"/>
  <c r="K1621" i="34"/>
  <c r="K1620" i="34"/>
  <c r="K1619" i="34"/>
  <c r="K1596" i="34"/>
  <c r="K1568" i="34"/>
  <c r="K1567" i="34"/>
  <c r="K1566" i="34"/>
  <c r="K1565" i="34"/>
  <c r="K1564" i="34"/>
  <c r="K1563" i="34"/>
  <c r="K1562" i="34"/>
  <c r="K1561" i="34"/>
  <c r="K1526" i="34"/>
  <c r="K1494" i="34"/>
  <c r="K1493" i="34"/>
  <c r="K1492" i="34"/>
  <c r="K1491" i="34"/>
  <c r="K1490" i="34"/>
  <c r="K1489" i="34"/>
  <c r="K1488" i="34"/>
  <c r="K1472" i="34"/>
  <c r="K1471" i="34"/>
  <c r="K1470" i="34"/>
  <c r="K1469" i="34"/>
  <c r="K1468" i="34"/>
  <c r="K1467" i="34"/>
  <c r="K1466" i="34"/>
  <c r="K1465" i="34"/>
  <c r="K1464" i="34"/>
  <c r="K1463" i="34"/>
  <c r="K1462" i="34"/>
  <c r="K1461" i="34"/>
  <c r="K1460" i="34"/>
  <c r="K1459" i="34"/>
  <c r="K1458" i="34"/>
  <c r="K1425" i="34"/>
  <c r="K1408" i="34"/>
  <c r="K1407" i="34"/>
  <c r="K1406" i="34"/>
  <c r="K1405" i="34"/>
  <c r="K1404" i="34"/>
  <c r="K1403" i="34"/>
  <c r="K1402" i="34"/>
  <c r="K1401" i="34"/>
  <c r="K1383" i="34"/>
  <c r="K1382" i="34"/>
  <c r="K1381" i="34"/>
  <c r="K1380" i="34"/>
  <c r="K1379" i="34"/>
  <c r="K1378" i="34"/>
  <c r="K1377" i="34"/>
  <c r="K1376" i="34"/>
  <c r="K1375" i="34"/>
  <c r="K1329" i="34"/>
  <c r="K1294" i="34"/>
  <c r="K1290" i="34"/>
  <c r="K1289" i="34"/>
  <c r="K1288" i="34"/>
  <c r="K1279" i="34"/>
  <c r="K1278" i="34"/>
  <c r="K1277" i="34"/>
  <c r="K1276" i="34"/>
  <c r="K1275" i="34"/>
  <c r="K1262" i="34"/>
  <c r="K1261" i="34"/>
  <c r="K1260" i="34"/>
  <c r="K1259" i="34"/>
  <c r="K1258" i="34"/>
  <c r="K1257" i="34"/>
  <c r="K1256" i="34"/>
  <c r="K1255" i="34"/>
  <c r="K1234" i="34"/>
  <c r="K1233" i="34"/>
  <c r="K1232" i="34"/>
  <c r="K1231" i="34"/>
  <c r="K1230" i="34"/>
  <c r="K1229" i="34"/>
  <c r="K1228" i="34"/>
  <c r="K1227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50" i="34"/>
  <c r="K1149" i="34"/>
  <c r="K1148" i="34"/>
  <c r="K1147" i="34"/>
  <c r="K1146" i="34"/>
  <c r="K1145" i="34"/>
  <c r="K1144" i="34"/>
  <c r="K1143" i="34"/>
  <c r="K1107" i="34"/>
  <c r="K1106" i="34"/>
  <c r="K1105" i="34"/>
  <c r="K1104" i="34"/>
  <c r="K1103" i="34"/>
  <c r="K1102" i="34"/>
  <c r="K1101" i="34"/>
  <c r="K1100" i="34"/>
  <c r="K1075" i="34"/>
  <c r="K1074" i="34"/>
  <c r="K1073" i="34"/>
  <c r="K1072" i="34"/>
  <c r="K1071" i="34"/>
  <c r="K1070" i="34"/>
  <c r="K1069" i="34"/>
  <c r="K1068" i="34"/>
  <c r="A2075" i="34"/>
  <c r="A2143" i="34"/>
  <c r="A2155" i="34"/>
  <c r="A2069" i="34"/>
  <c r="A2144" i="34"/>
  <c r="A2152" i="34"/>
  <c r="A2160" i="34"/>
  <c r="A2168" i="34"/>
  <c r="A2256" i="34"/>
  <c r="A2260" i="34"/>
  <c r="A2264" i="34"/>
  <c r="A2268" i="34"/>
  <c r="A2272" i="34"/>
  <c r="A2276" i="34"/>
  <c r="A2280" i="34"/>
  <c r="A2284" i="34"/>
  <c r="A2365" i="34"/>
  <c r="A2369" i="34"/>
  <c r="A2427" i="34"/>
  <c r="A2431" i="34"/>
  <c r="A1969" i="34"/>
  <c r="A1973" i="34"/>
  <c r="A1981" i="34"/>
  <c r="A1985" i="34"/>
  <c r="A1989" i="34"/>
  <c r="A1993" i="34"/>
  <c r="A2048" i="34"/>
  <c r="A2052" i="34"/>
  <c r="A2056" i="34"/>
  <c r="A2118" i="34"/>
  <c r="A2122" i="34"/>
  <c r="A2126" i="34"/>
  <c r="A2130" i="34"/>
  <c r="A2134" i="34"/>
  <c r="A2138" i="34"/>
  <c r="A1872" i="34"/>
  <c r="A1901" i="34"/>
  <c r="A1905" i="34"/>
  <c r="A1909" i="34"/>
  <c r="A1932" i="34"/>
  <c r="A1936" i="34"/>
  <c r="A1777" i="34"/>
  <c r="A1824" i="34"/>
  <c r="A1828" i="34"/>
  <c r="A1832" i="34"/>
  <c r="A1878" i="34"/>
  <c r="A1882" i="34"/>
  <c r="A1886" i="34"/>
  <c r="A1911" i="34"/>
  <c r="A1915" i="34"/>
  <c r="A1919" i="34"/>
  <c r="A1940" i="34"/>
  <c r="A1944" i="34"/>
  <c r="A1977" i="34"/>
  <c r="A2112" i="34"/>
  <c r="A2353" i="34"/>
  <c r="A2360" i="34"/>
  <c r="A2387" i="34"/>
  <c r="A2392" i="34"/>
  <c r="A2396" i="34"/>
  <c r="A2407" i="34"/>
  <c r="A2415" i="34"/>
  <c r="A2419" i="34"/>
  <c r="A2423" i="34"/>
  <c r="A2000" i="34"/>
  <c r="A2004" i="34"/>
  <c r="A2008" i="34"/>
  <c r="A2012" i="34"/>
  <c r="A2057" i="34"/>
  <c r="A2061" i="34"/>
  <c r="A2065" i="34"/>
  <c r="A1728" i="34"/>
  <c r="A2411" i="34"/>
  <c r="A1734" i="34"/>
  <c r="A1742" i="34"/>
  <c r="A1765" i="34"/>
  <c r="A1837" i="34"/>
  <c r="A1842" i="34"/>
  <c r="A1954" i="34"/>
  <c r="A1961" i="34"/>
  <c r="A1789" i="34"/>
  <c r="A1793" i="34"/>
  <c r="A1797" i="34"/>
  <c r="A1846" i="34"/>
  <c r="A1850" i="34"/>
  <c r="A1854" i="34"/>
  <c r="A1927" i="34"/>
  <c r="A1947" i="34"/>
  <c r="A1748" i="34"/>
  <c r="A1766" i="34"/>
  <c r="A1752" i="34"/>
  <c r="A1756" i="34"/>
  <c r="A1760" i="34"/>
  <c r="A1764" i="34"/>
  <c r="A1771" i="34"/>
  <c r="A1775" i="34"/>
  <c r="A1802" i="34"/>
  <c r="A1806" i="34"/>
  <c r="A1779" i="34"/>
  <c r="A1783" i="34"/>
  <c r="A1860" i="34"/>
  <c r="A1810" i="34"/>
  <c r="A1814" i="34"/>
  <c r="A1818" i="34"/>
  <c r="A1862" i="34"/>
  <c r="A1866" i="34"/>
  <c r="A1870" i="34"/>
  <c r="A1075" i="34"/>
  <c r="A1101" i="34"/>
  <c r="A1103" i="34"/>
  <c r="A1105" i="34"/>
  <c r="A1107" i="34"/>
  <c r="A1144" i="34"/>
  <c r="A1146" i="34"/>
  <c r="A1148" i="34"/>
  <c r="A1150" i="34"/>
  <c r="A1190" i="34"/>
  <c r="A1192" i="34"/>
  <c r="A1194" i="34"/>
  <c r="A1196" i="34"/>
  <c r="A1198" i="34"/>
  <c r="A1200" i="34"/>
  <c r="A1202" i="34"/>
  <c r="A1204" i="34"/>
  <c r="A1228" i="34"/>
  <c r="A1230" i="34"/>
  <c r="A1232" i="34"/>
  <c r="A1234" i="34"/>
  <c r="A1256" i="34"/>
  <c r="A1258" i="34"/>
  <c r="A1260" i="34"/>
  <c r="A1262" i="34"/>
  <c r="A1276" i="34"/>
  <c r="A1278" i="34"/>
  <c r="A1288" i="34"/>
  <c r="A1290" i="34"/>
  <c r="A1329" i="34"/>
  <c r="A1376" i="34"/>
  <c r="A1378" i="34"/>
  <c r="A1380" i="34"/>
  <c r="A1382" i="34"/>
  <c r="A1401" i="34"/>
  <c r="A1403" i="34"/>
  <c r="A1405" i="34"/>
  <c r="A1407" i="34"/>
  <c r="A1425" i="34"/>
  <c r="A1459" i="34"/>
  <c r="A1461" i="34"/>
  <c r="A1463" i="34"/>
  <c r="A1465" i="34"/>
  <c r="A1467" i="34"/>
  <c r="A1469" i="34"/>
  <c r="A1471" i="34"/>
  <c r="A1488" i="34"/>
  <c r="A1490" i="34"/>
  <c r="A1492" i="34"/>
  <c r="A1494" i="34"/>
  <c r="A1561" i="34"/>
  <c r="A1563" i="34"/>
  <c r="A1565" i="34"/>
  <c r="A1567" i="34"/>
  <c r="A1596" i="34"/>
  <c r="A1620" i="34"/>
  <c r="A1622" i="34"/>
  <c r="A1624" i="34"/>
  <c r="A1626" i="34"/>
  <c r="A1649" i="34"/>
  <c r="A1651" i="34"/>
  <c r="A1653" i="34"/>
  <c r="A1655" i="34"/>
  <c r="A1674" i="34"/>
  <c r="A1676" i="34"/>
  <c r="A1678" i="34"/>
  <c r="A1680" i="34"/>
  <c r="A1708" i="34"/>
  <c r="A1710" i="34"/>
  <c r="A1712" i="34"/>
  <c r="A1714" i="34"/>
  <c r="A1716" i="34"/>
  <c r="A1718" i="34"/>
  <c r="A2150" i="34"/>
  <c r="A2147" i="34"/>
  <c r="A2159" i="34"/>
  <c r="A2167" i="34"/>
  <c r="A2073" i="34"/>
  <c r="A2148" i="34"/>
  <c r="A2156" i="34"/>
  <c r="A2164" i="34"/>
  <c r="A2070" i="34"/>
  <c r="A2074" i="34"/>
  <c r="A2145" i="34"/>
  <c r="A2149" i="34"/>
  <c r="A2153" i="34"/>
  <c r="A2157" i="34"/>
  <c r="A2161" i="34"/>
  <c r="A2165" i="34"/>
  <c r="A2169" i="34"/>
  <c r="A2257" i="34"/>
  <c r="A2261" i="34"/>
  <c r="A2265" i="34"/>
  <c r="A2269" i="34"/>
  <c r="A2273" i="34"/>
  <c r="A2277" i="34"/>
  <c r="A2281" i="34"/>
  <c r="A2285" i="34"/>
  <c r="A2366" i="34"/>
  <c r="A2370" i="34"/>
  <c r="A2428" i="34"/>
  <c r="A2432" i="34"/>
  <c r="A1970" i="34"/>
  <c r="A1974" i="34"/>
  <c r="A1982" i="34"/>
  <c r="A1986" i="34"/>
  <c r="A1990" i="34"/>
  <c r="A1994" i="34"/>
  <c r="A2049" i="34"/>
  <c r="A2053" i="34"/>
  <c r="A2115" i="34"/>
  <c r="A2119" i="34"/>
  <c r="A2123" i="34"/>
  <c r="A2127" i="34"/>
  <c r="A2131" i="34"/>
  <c r="A2135" i="34"/>
  <c r="A2139" i="34"/>
  <c r="A1873" i="34"/>
  <c r="A1902" i="34"/>
  <c r="A1906" i="34"/>
  <c r="A1929" i="34"/>
  <c r="A1933" i="34"/>
  <c r="A1948" i="34"/>
  <c r="A1821" i="34"/>
  <c r="A1825" i="34"/>
  <c r="A1829" i="34"/>
  <c r="A1875" i="34"/>
  <c r="A1879" i="34"/>
  <c r="A1883" i="34"/>
  <c r="A1887" i="34"/>
  <c r="A1912" i="34"/>
  <c r="A1916" i="34"/>
  <c r="A1937" i="34"/>
  <c r="A1941" i="34"/>
  <c r="A1950" i="34"/>
  <c r="A1978" i="34"/>
  <c r="A2113" i="34"/>
  <c r="A2354" i="34"/>
  <c r="A2361" i="34"/>
  <c r="A2388" i="34"/>
  <c r="A2393" i="34"/>
  <c r="A2403" i="34"/>
  <c r="A2408" i="34"/>
  <c r="A2416" i="34"/>
  <c r="A2420" i="34"/>
  <c r="A2424" i="34"/>
  <c r="A2001" i="34"/>
  <c r="A2005" i="34"/>
  <c r="A2009" i="34"/>
  <c r="A2013" i="34"/>
  <c r="A2058" i="34"/>
  <c r="A2062" i="34"/>
  <c r="A2066" i="34"/>
  <c r="A1729" i="34"/>
  <c r="A2413" i="34"/>
  <c r="A1735" i="34"/>
  <c r="A1743" i="34"/>
  <c r="A1833" i="34"/>
  <c r="A1839" i="34"/>
  <c r="A1843" i="34"/>
  <c r="A1955" i="34"/>
  <c r="A1786" i="34"/>
  <c r="A1790" i="34"/>
  <c r="A1794" i="34"/>
  <c r="A1798" i="34"/>
  <c r="A1847" i="34"/>
  <c r="A1851" i="34"/>
  <c r="A1890" i="34"/>
  <c r="A1928" i="34"/>
  <c r="A1732" i="34"/>
  <c r="A1749" i="34"/>
  <c r="A1767" i="34"/>
  <c r="A1753" i="34"/>
  <c r="A1757" i="34"/>
  <c r="A1761" i="34"/>
  <c r="A1768" i="34"/>
  <c r="A1772" i="34"/>
  <c r="A1799" i="34"/>
  <c r="A1803" i="34"/>
  <c r="A1807" i="34"/>
  <c r="A1780" i="34"/>
  <c r="A1784" i="34"/>
  <c r="A1739" i="34"/>
  <c r="A1811" i="34"/>
  <c r="A1815" i="34"/>
  <c r="A1819" i="34"/>
  <c r="A1863" i="34"/>
  <c r="A1867" i="34"/>
  <c r="A1871" i="34"/>
  <c r="A2146" i="34"/>
  <c r="A2154" i="34"/>
  <c r="A2158" i="34"/>
  <c r="A2162" i="34"/>
  <c r="A2166" i="34"/>
  <c r="A2170" i="34"/>
  <c r="A2258" i="34"/>
  <c r="A2262" i="34"/>
  <c r="A2266" i="34"/>
  <c r="A2270" i="34"/>
  <c r="A2274" i="34"/>
  <c r="A2278" i="34"/>
  <c r="A2282" i="34"/>
  <c r="A1964" i="34"/>
  <c r="A2367" i="34"/>
  <c r="A2371" i="34"/>
  <c r="A2429" i="34"/>
  <c r="A2433" i="34"/>
  <c r="A1971" i="34"/>
  <c r="A1979" i="34"/>
  <c r="A1983" i="34"/>
  <c r="A1987" i="34"/>
  <c r="A1991" i="34"/>
  <c r="A1995" i="34"/>
  <c r="A2050" i="34"/>
  <c r="A2054" i="34"/>
  <c r="A2116" i="34"/>
  <c r="A2120" i="34"/>
  <c r="A2124" i="34"/>
  <c r="A2128" i="34"/>
  <c r="A2132" i="34"/>
  <c r="A2136" i="34"/>
  <c r="A2140" i="34"/>
  <c r="A1874" i="34"/>
  <c r="A1903" i="34"/>
  <c r="A1907" i="34"/>
  <c r="A1930" i="34"/>
  <c r="A1934" i="34"/>
  <c r="A1949" i="34"/>
  <c r="A1822" i="34"/>
  <c r="A1826" i="34"/>
  <c r="A1830" i="34"/>
  <c r="A1876" i="34"/>
  <c r="A1880" i="34"/>
  <c r="A1884" i="34"/>
  <c r="A1888" i="34"/>
  <c r="A1913" i="34"/>
  <c r="A1917" i="34"/>
  <c r="A1938" i="34"/>
  <c r="A1942" i="34"/>
  <c r="A1951" i="34"/>
  <c r="A1997" i="34"/>
  <c r="A2114" i="34"/>
  <c r="A2356" i="34"/>
  <c r="A2362" i="34"/>
  <c r="A2390" i="34"/>
  <c r="A2394" i="34"/>
  <c r="A2404" i="34"/>
  <c r="A2409" i="34"/>
  <c r="A2417" i="34"/>
  <c r="A2421" i="34"/>
  <c r="A2425" i="34"/>
  <c r="A2002" i="34"/>
  <c r="A2006" i="34"/>
  <c r="A2010" i="34"/>
  <c r="A2014" i="34"/>
  <c r="A2059" i="34"/>
  <c r="A2063" i="34"/>
  <c r="A2067" i="34"/>
  <c r="A1956" i="34"/>
  <c r="A2823" i="34"/>
  <c r="A1736" i="34"/>
  <c r="A1744" i="34"/>
  <c r="A1834" i="34"/>
  <c r="A1840" i="34"/>
  <c r="A1952" i="34"/>
  <c r="A1959" i="34"/>
  <c r="A1787" i="34"/>
  <c r="A1791" i="34"/>
  <c r="A1795" i="34"/>
  <c r="A1844" i="34"/>
  <c r="A1848" i="34"/>
  <c r="A1852" i="34"/>
  <c r="A1898" i="34"/>
  <c r="A1945" i="34"/>
  <c r="A1733" i="34"/>
  <c r="A1737" i="34"/>
  <c r="A1750" i="34"/>
  <c r="A1754" i="34"/>
  <c r="A1758" i="34"/>
  <c r="A1762" i="34"/>
  <c r="A1769" i="34"/>
  <c r="A1773" i="34"/>
  <c r="A1800" i="34"/>
  <c r="A1804" i="34"/>
  <c r="A1808" i="34"/>
  <c r="A1781" i="34"/>
  <c r="A1785" i="34"/>
  <c r="A1776" i="34"/>
  <c r="A1812" i="34"/>
  <c r="A1816" i="34"/>
  <c r="A1820" i="34"/>
  <c r="A1864" i="34"/>
  <c r="A1868" i="34"/>
  <c r="A1074" i="34"/>
  <c r="A1100" i="34"/>
  <c r="A1102" i="34"/>
  <c r="A1104" i="34"/>
  <c r="A1106" i="34"/>
  <c r="A1143" i="34"/>
  <c r="A1145" i="34"/>
  <c r="A1147" i="34"/>
  <c r="A1149" i="34"/>
  <c r="A1189" i="34"/>
  <c r="A1191" i="34"/>
  <c r="A1193" i="34"/>
  <c r="A1195" i="34"/>
  <c r="A1197" i="34"/>
  <c r="A1199" i="34"/>
  <c r="A1201" i="34"/>
  <c r="A1203" i="34"/>
  <c r="A1227" i="34"/>
  <c r="A1229" i="34"/>
  <c r="A1231" i="34"/>
  <c r="A1233" i="34"/>
  <c r="A1255" i="34"/>
  <c r="A1257" i="34"/>
  <c r="A1259" i="34"/>
  <c r="A1261" i="34"/>
  <c r="A1275" i="34"/>
  <c r="A1277" i="34"/>
  <c r="A1279" i="34"/>
  <c r="A1289" i="34"/>
  <c r="A1294" i="34"/>
  <c r="A1375" i="34"/>
  <c r="A1377" i="34"/>
  <c r="A1379" i="34"/>
  <c r="A1381" i="34"/>
  <c r="A1383" i="34"/>
  <c r="A1402" i="34"/>
  <c r="A1404" i="34"/>
  <c r="A1406" i="34"/>
  <c r="A1408" i="34"/>
  <c r="A1458" i="34"/>
  <c r="A1460" i="34"/>
  <c r="A1462" i="34"/>
  <c r="A1464" i="34"/>
  <c r="A1466" i="34"/>
  <c r="A1468" i="34"/>
  <c r="A1470" i="34"/>
  <c r="A1472" i="34"/>
  <c r="A1489" i="34"/>
  <c r="A1491" i="34"/>
  <c r="A1493" i="34"/>
  <c r="A1526" i="34"/>
  <c r="A1562" i="34"/>
  <c r="A1564" i="34"/>
  <c r="A1566" i="34"/>
  <c r="A1568" i="34"/>
  <c r="A1619" i="34"/>
  <c r="A1621" i="34"/>
  <c r="A1623" i="34"/>
  <c r="A1625" i="34"/>
  <c r="A1627" i="34"/>
  <c r="A1650" i="34"/>
  <c r="A1652" i="34"/>
  <c r="A1654" i="34"/>
  <c r="A1656" i="34"/>
  <c r="A1675" i="34"/>
  <c r="A1677" i="34"/>
  <c r="A1679" i="34"/>
  <c r="A1681" i="34"/>
  <c r="A1709" i="34"/>
  <c r="A1711" i="34"/>
  <c r="A1713" i="34"/>
  <c r="A1715" i="34"/>
  <c r="A1717" i="34"/>
  <c r="A2071" i="34"/>
  <c r="A2072" i="34"/>
  <c r="A2151" i="34"/>
  <c r="A2163" i="34"/>
  <c r="A2255" i="34"/>
  <c r="A2259" i="34"/>
  <c r="A2263" i="34"/>
  <c r="A2267" i="34"/>
  <c r="A2271" i="34"/>
  <c r="A2275" i="34"/>
  <c r="A2279" i="34"/>
  <c r="A2283" i="34"/>
  <c r="A1965" i="34"/>
  <c r="A2368" i="34"/>
  <c r="A2372" i="34"/>
  <c r="A2430" i="34"/>
  <c r="A1968" i="34"/>
  <c r="A1972" i="34"/>
  <c r="A1980" i="34"/>
  <c r="A1984" i="34"/>
  <c r="A1988" i="34"/>
  <c r="A1992" i="34"/>
  <c r="A1996" i="34"/>
  <c r="A2051" i="34"/>
  <c r="A2055" i="34"/>
  <c r="A2117" i="34"/>
  <c r="A2121" i="34"/>
  <c r="A2125" i="34"/>
  <c r="A2129" i="34"/>
  <c r="A2133" i="34"/>
  <c r="A2137" i="34"/>
  <c r="A2141" i="34"/>
  <c r="A1900" i="34"/>
  <c r="A1904" i="34"/>
  <c r="A1908" i="34"/>
  <c r="A1931" i="34"/>
  <c r="A1935" i="34"/>
  <c r="A1740" i="34"/>
  <c r="A1823" i="34"/>
  <c r="A1827" i="34"/>
  <c r="A1831" i="34"/>
  <c r="A1877" i="34"/>
  <c r="A1881" i="34"/>
  <c r="A1885" i="34"/>
  <c r="A1910" i="34"/>
  <c r="A1914" i="34"/>
  <c r="A1918" i="34"/>
  <c r="A1939" i="34"/>
  <c r="A1943" i="34"/>
  <c r="A1963" i="34"/>
  <c r="A1998" i="34"/>
  <c r="A2142" i="34"/>
  <c r="A2358" i="34"/>
  <c r="A2363" i="34"/>
  <c r="A2391" i="34"/>
  <c r="A2395" i="34"/>
  <c r="A2406" i="34"/>
  <c r="A2414" i="34"/>
  <c r="A2418" i="34"/>
  <c r="A2422" i="34"/>
  <c r="A1999" i="34"/>
  <c r="A2003" i="34"/>
  <c r="A2007" i="34"/>
  <c r="A2011" i="34"/>
  <c r="A2015" i="34"/>
  <c r="A2060" i="34"/>
  <c r="A2064" i="34"/>
  <c r="A2068" i="34"/>
  <c r="A1958" i="34"/>
  <c r="A2825" i="34"/>
  <c r="A1741" i="34"/>
  <c r="A1745" i="34"/>
  <c r="A1835" i="34"/>
  <c r="A1841" i="34"/>
  <c r="A1953" i="34"/>
  <c r="A1960" i="34"/>
  <c r="A1788" i="34"/>
  <c r="A1792" i="34"/>
  <c r="A1796" i="34"/>
  <c r="A1845" i="34"/>
  <c r="A1849" i="34"/>
  <c r="A1853" i="34"/>
  <c r="A1926" i="34"/>
  <c r="A1946" i="34"/>
  <c r="A1747" i="34"/>
  <c r="A1738" i="34"/>
  <c r="A1751" i="34"/>
  <c r="A1755" i="34"/>
  <c r="A1759" i="34"/>
  <c r="A1763" i="34"/>
  <c r="A1770" i="34"/>
  <c r="A1774" i="34"/>
  <c r="A1801" i="34"/>
  <c r="A1805" i="34"/>
  <c r="A1778" i="34"/>
  <c r="A1782" i="34"/>
  <c r="A1859" i="34"/>
  <c r="A1809" i="34"/>
  <c r="A1813" i="34"/>
  <c r="A1817" i="34"/>
  <c r="A1861" i="34"/>
  <c r="A1865" i="34"/>
  <c r="A1869" i="34"/>
  <c r="K1001" i="34"/>
  <c r="K1172" i="34"/>
  <c r="K1002" i="34"/>
  <c r="K1003" i="34"/>
  <c r="K1140" i="34"/>
  <c r="K1141" i="34"/>
  <c r="K114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219" i="34"/>
  <c r="K1220" i="34"/>
  <c r="K1221" i="34"/>
  <c r="K1222" i="34"/>
  <c r="K1223" i="34"/>
  <c r="K1224" i="34"/>
  <c r="K1225" i="34"/>
  <c r="K1226" i="34"/>
  <c r="K1247" i="34"/>
  <c r="K1248" i="34"/>
  <c r="K1249" i="34"/>
  <c r="K1250" i="34"/>
  <c r="K1251" i="34"/>
  <c r="K1252" i="34"/>
  <c r="K1253" i="34"/>
  <c r="K1254" i="34"/>
  <c r="K1270" i="34"/>
  <c r="K1271" i="34"/>
  <c r="K1272" i="34"/>
  <c r="K1273" i="34"/>
  <c r="K1274" i="34"/>
  <c r="K1285" i="34"/>
  <c r="K1286" i="34"/>
  <c r="K1287" i="34"/>
  <c r="K1293" i="34"/>
  <c r="K1328" i="34"/>
  <c r="K1366" i="34"/>
  <c r="K1367" i="34"/>
  <c r="K1368" i="34"/>
  <c r="K1369" i="34"/>
  <c r="K1370" i="34"/>
  <c r="K1371" i="34"/>
  <c r="K1372" i="34"/>
  <c r="K1373" i="34"/>
  <c r="K1374" i="34"/>
  <c r="K1393" i="34"/>
  <c r="K1394" i="34"/>
  <c r="K1395" i="34"/>
  <c r="K1396" i="34"/>
  <c r="K1397" i="34"/>
  <c r="K1398" i="34"/>
  <c r="K1399" i="34"/>
  <c r="K1400" i="34"/>
  <c r="K1424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81" i="34"/>
  <c r="K1482" i="34"/>
  <c r="K1483" i="34"/>
  <c r="K1484" i="34"/>
  <c r="K1485" i="34"/>
  <c r="K1486" i="34"/>
  <c r="K1487" i="34"/>
  <c r="K1525" i="34"/>
  <c r="K1553" i="34"/>
  <c r="K1554" i="34"/>
  <c r="K1555" i="34"/>
  <c r="K1556" i="34"/>
  <c r="K1557" i="34"/>
  <c r="K1558" i="34"/>
  <c r="K1559" i="34"/>
  <c r="K1560" i="34"/>
  <c r="K1595" i="34"/>
  <c r="K1610" i="34"/>
  <c r="K1611" i="34"/>
  <c r="K1612" i="34"/>
  <c r="K1613" i="34"/>
  <c r="K1614" i="34"/>
  <c r="K1615" i="34"/>
  <c r="K1616" i="34"/>
  <c r="K1617" i="34"/>
  <c r="K1618" i="34"/>
  <c r="K1641" i="34"/>
  <c r="K1642" i="34"/>
  <c r="K1643" i="34"/>
  <c r="K1644" i="34"/>
  <c r="K1645" i="34"/>
  <c r="K1646" i="34"/>
  <c r="K1647" i="34"/>
  <c r="K1648" i="34"/>
  <c r="K1666" i="34"/>
  <c r="K1667" i="34"/>
  <c r="K1668" i="34"/>
  <c r="K1669" i="34"/>
  <c r="K1670" i="34"/>
  <c r="K1671" i="34"/>
  <c r="K1672" i="34"/>
  <c r="K1673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061" i="34"/>
  <c r="K1062" i="34"/>
  <c r="K1063" i="34"/>
  <c r="K1064" i="34"/>
  <c r="K1065" i="34"/>
  <c r="K1066" i="34"/>
  <c r="K1067" i="34"/>
  <c r="K1092" i="34"/>
  <c r="K1093" i="34"/>
  <c r="K1094" i="34"/>
  <c r="K1095" i="34"/>
  <c r="K1096" i="34"/>
  <c r="K1097" i="34"/>
  <c r="K1098" i="34"/>
  <c r="K1099" i="34"/>
  <c r="K1135" i="34"/>
  <c r="K1136" i="34"/>
  <c r="K1137" i="34"/>
  <c r="K1138" i="34"/>
  <c r="K1139" i="34"/>
  <c r="K1060" i="34"/>
  <c r="K1640" i="34"/>
  <c r="T300" i="60"/>
  <c r="R329" i="60"/>
  <c r="R218" i="60"/>
  <c r="R179" i="60"/>
  <c r="R327" i="60"/>
  <c r="R304" i="60"/>
  <c r="R221" i="60"/>
  <c r="R289" i="60"/>
  <c r="R208" i="60"/>
  <c r="K1591" i="34"/>
  <c r="R331" i="60"/>
  <c r="R325" i="60"/>
  <c r="R322" i="60"/>
  <c r="R287" i="60"/>
  <c r="R253" i="60"/>
  <c r="R301" i="60"/>
  <c r="R273" i="60"/>
  <c r="K1504" i="34"/>
  <c r="K1499" i="34"/>
  <c r="K1218" i="34"/>
  <c r="K1134" i="34"/>
  <c r="K1130" i="34"/>
  <c r="K1116" i="34"/>
  <c r="K1114" i="34"/>
  <c r="K1594" i="34"/>
  <c r="K1593" i="34"/>
  <c r="K1592" i="34"/>
  <c r="K1590" i="34"/>
  <c r="K1589" i="34"/>
  <c r="K1588" i="34"/>
  <c r="K1580" i="34"/>
  <c r="K1579" i="34"/>
  <c r="K1578" i="34"/>
  <c r="K1577" i="34"/>
  <c r="K1576" i="34"/>
  <c r="K1575" i="34"/>
  <c r="K1574" i="34"/>
  <c r="K1573" i="34"/>
  <c r="K1543" i="34"/>
  <c r="K1542" i="34"/>
  <c r="K1541" i="34"/>
  <c r="K1540" i="34"/>
  <c r="K1539" i="34"/>
  <c r="K1538" i="34"/>
  <c r="K1537" i="34"/>
  <c r="K1536" i="34"/>
  <c r="K1518" i="34"/>
  <c r="K1517" i="34"/>
  <c r="K1516" i="34"/>
  <c r="K1515" i="34"/>
  <c r="K1514" i="34"/>
  <c r="K1513" i="34"/>
  <c r="K1512" i="34"/>
  <c r="K1511" i="34"/>
  <c r="K1510" i="34"/>
  <c r="K1509" i="34"/>
  <c r="K1508" i="34"/>
  <c r="K1506" i="34"/>
  <c r="K1505" i="34"/>
  <c r="K1503" i="34"/>
  <c r="K1502" i="34"/>
  <c r="K1501" i="34"/>
  <c r="K1500" i="34"/>
  <c r="K1498" i="34"/>
  <c r="K1419" i="34"/>
  <c r="K1418" i="34"/>
  <c r="K1417" i="34"/>
  <c r="K1416" i="34"/>
  <c r="K1415" i="34"/>
  <c r="K1414" i="34"/>
  <c r="K1413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24" i="34"/>
  <c r="K1323" i="34"/>
  <c r="K1322" i="34"/>
  <c r="K1321" i="34"/>
  <c r="K1320" i="34"/>
  <c r="K1319" i="34"/>
  <c r="K1318" i="34"/>
  <c r="K1317" i="34"/>
  <c r="K1314" i="34"/>
  <c r="K1313" i="34"/>
  <c r="K1312" i="34"/>
  <c r="K1311" i="34"/>
  <c r="K1310" i="34"/>
  <c r="K1309" i="34"/>
  <c r="K1308" i="34"/>
  <c r="K1307" i="34"/>
  <c r="K1306" i="34"/>
  <c r="K1300" i="34"/>
  <c r="K1269" i="34"/>
  <c r="K1246" i="34"/>
  <c r="K1245" i="34"/>
  <c r="K1244" i="34"/>
  <c r="K1217" i="34"/>
  <c r="K1216" i="34"/>
  <c r="K1215" i="34"/>
  <c r="K1214" i="34"/>
  <c r="K1133" i="34"/>
  <c r="K1132" i="34"/>
  <c r="K1131" i="34"/>
  <c r="K1129" i="34"/>
  <c r="K1128" i="34"/>
  <c r="K1127" i="34"/>
  <c r="K1117" i="34"/>
  <c r="K1115" i="34"/>
  <c r="K1113" i="34"/>
  <c r="K1112" i="34"/>
  <c r="K1111" i="34"/>
  <c r="K1110" i="34"/>
  <c r="K1091" i="34"/>
  <c r="K1090" i="34"/>
  <c r="K1089" i="34"/>
  <c r="K1088" i="34"/>
  <c r="K1087" i="34"/>
  <c r="K1086" i="34"/>
  <c r="K1059" i="34"/>
  <c r="K1058" i="34"/>
  <c r="K1057" i="34"/>
  <c r="K1056" i="34"/>
  <c r="K1055" i="34"/>
  <c r="K1054" i="34"/>
  <c r="K1053" i="34"/>
  <c r="K1052" i="34"/>
  <c r="K1051" i="34"/>
  <c r="K1050" i="34"/>
  <c r="K1036" i="34"/>
  <c r="K1035" i="34"/>
  <c r="K1034" i="34"/>
  <c r="K1033" i="34"/>
  <c r="K1032" i="34"/>
  <c r="K1031" i="34"/>
  <c r="K1030" i="34"/>
  <c r="K1029" i="34"/>
  <c r="K1021" i="34"/>
  <c r="K1020" i="34"/>
  <c r="K1019" i="34"/>
  <c r="K1018" i="34"/>
  <c r="K1017" i="34"/>
  <c r="K1016" i="34"/>
  <c r="K1015" i="34"/>
  <c r="K1014" i="34"/>
  <c r="K1013" i="34"/>
  <c r="K1011" i="34"/>
  <c r="K1010" i="34"/>
  <c r="K1009" i="34"/>
  <c r="K1008" i="34"/>
  <c r="K1007" i="34"/>
  <c r="K1006" i="34"/>
  <c r="K723" i="34"/>
  <c r="K722" i="34"/>
  <c r="K721" i="34"/>
  <c r="K720" i="34"/>
  <c r="K719" i="34"/>
  <c r="K718" i="34"/>
  <c r="K717" i="34"/>
  <c r="K706" i="34"/>
  <c r="K705" i="34"/>
  <c r="K704" i="34"/>
  <c r="K703" i="34"/>
  <c r="K702" i="34"/>
  <c r="K679" i="34"/>
  <c r="K678" i="34"/>
  <c r="K677" i="34"/>
  <c r="K676" i="34"/>
  <c r="K675" i="34"/>
  <c r="K674" i="34"/>
  <c r="K673" i="34"/>
  <c r="K672" i="34"/>
  <c r="K671" i="34"/>
  <c r="K660" i="34"/>
  <c r="K659" i="34"/>
  <c r="K658" i="34"/>
  <c r="K657" i="34"/>
  <c r="K656" i="34"/>
  <c r="K655" i="34"/>
  <c r="K654" i="34"/>
  <c r="K653" i="34"/>
  <c r="K652" i="34"/>
  <c r="K649" i="34"/>
  <c r="K648" i="34"/>
  <c r="K646" i="34"/>
  <c r="K645" i="34"/>
  <c r="K644" i="34"/>
  <c r="K643" i="34"/>
  <c r="K642" i="34"/>
  <c r="K641" i="34"/>
  <c r="K629" i="34"/>
  <c r="K628" i="34"/>
  <c r="K627" i="34"/>
  <c r="K626" i="34"/>
  <c r="K625" i="34"/>
  <c r="K624" i="34"/>
  <c r="K623" i="34"/>
  <c r="K622" i="34"/>
  <c r="K621" i="34"/>
  <c r="K603" i="34"/>
  <c r="K602" i="34"/>
  <c r="K601" i="34"/>
  <c r="K600" i="34"/>
  <c r="K599" i="34"/>
  <c r="K598" i="34"/>
  <c r="K597" i="34"/>
  <c r="K596" i="34"/>
  <c r="K595" i="34"/>
  <c r="K569" i="34"/>
  <c r="K568" i="34"/>
  <c r="K567" i="34"/>
  <c r="K566" i="34"/>
  <c r="K565" i="34"/>
  <c r="K564" i="34"/>
  <c r="K563" i="34"/>
  <c r="K562" i="34"/>
  <c r="K561" i="34"/>
  <c r="K536" i="34"/>
  <c r="K535" i="34"/>
  <c r="K534" i="34"/>
  <c r="K533" i="34"/>
  <c r="K532" i="34"/>
  <c r="K531" i="34"/>
  <c r="K530" i="34"/>
  <c r="K529" i="34"/>
  <c r="K528" i="34"/>
  <c r="K501" i="34"/>
  <c r="K500" i="34"/>
  <c r="K499" i="34"/>
  <c r="K498" i="34"/>
  <c r="K497" i="34"/>
  <c r="K496" i="34"/>
  <c r="K495" i="34"/>
  <c r="K494" i="34"/>
  <c r="K493" i="34"/>
  <c r="K319" i="34"/>
  <c r="K318" i="34"/>
  <c r="K317" i="34"/>
  <c r="K316" i="34"/>
  <c r="K315" i="34"/>
  <c r="K314" i="34"/>
  <c r="K313" i="34"/>
  <c r="K312" i="34"/>
  <c r="K224" i="34"/>
  <c r="K223" i="34"/>
  <c r="K222" i="34"/>
  <c r="K221" i="34"/>
  <c r="K220" i="34"/>
  <c r="K219" i="34"/>
  <c r="K218" i="34"/>
  <c r="K217" i="34"/>
  <c r="K216" i="34"/>
  <c r="K201" i="34"/>
  <c r="K200" i="34"/>
  <c r="K199" i="34"/>
  <c r="K198" i="34"/>
  <c r="K197" i="34"/>
  <c r="K196" i="34"/>
  <c r="K195" i="34"/>
  <c r="K194" i="34"/>
  <c r="K193" i="34"/>
  <c r="K189" i="34"/>
  <c r="K188" i="34"/>
  <c r="K187" i="34"/>
  <c r="K186" i="34"/>
  <c r="K185" i="34"/>
  <c r="K184" i="34"/>
  <c r="K183" i="34"/>
  <c r="K182" i="34"/>
  <c r="K181" i="34"/>
  <c r="K175" i="34"/>
  <c r="K174" i="34"/>
  <c r="K173" i="34"/>
  <c r="K172" i="34"/>
  <c r="K171" i="34"/>
  <c r="K170" i="34"/>
  <c r="K169" i="34"/>
  <c r="K168" i="34"/>
  <c r="K167" i="34"/>
  <c r="K159" i="34"/>
  <c r="K158" i="34"/>
  <c r="K157" i="34"/>
  <c r="K156" i="34"/>
  <c r="K155" i="34"/>
  <c r="K154" i="34"/>
  <c r="K153" i="34"/>
  <c r="K152" i="34"/>
  <c r="K148" i="34"/>
  <c r="K147" i="34"/>
  <c r="K146" i="34"/>
  <c r="K145" i="34"/>
  <c r="K144" i="34"/>
  <c r="K143" i="34"/>
  <c r="K142" i="34"/>
  <c r="K141" i="34"/>
  <c r="K140" i="34"/>
  <c r="K122" i="34"/>
  <c r="K121" i="34"/>
  <c r="K120" i="34"/>
  <c r="K119" i="34"/>
  <c r="K118" i="34"/>
  <c r="K117" i="34"/>
  <c r="K116" i="34"/>
  <c r="K115" i="34"/>
  <c r="K114" i="34"/>
  <c r="K111" i="34"/>
  <c r="K110" i="34"/>
  <c r="K109" i="34"/>
  <c r="K108" i="34"/>
  <c r="K107" i="34"/>
  <c r="K106" i="34"/>
  <c r="K105" i="34"/>
  <c r="R226" i="60"/>
  <c r="R309" i="60"/>
  <c r="R271" i="60"/>
  <c r="R251" i="60"/>
  <c r="R238" i="60"/>
  <c r="R315" i="60"/>
  <c r="R280" i="60"/>
  <c r="R210" i="60"/>
  <c r="R326" i="60"/>
  <c r="R279" i="60"/>
  <c r="R277" i="60"/>
  <c r="R227" i="60"/>
  <c r="R222" i="60"/>
  <c r="R207" i="60"/>
  <c r="R236" i="60"/>
  <c r="R224" i="60"/>
  <c r="R212" i="60"/>
  <c r="R211" i="60"/>
  <c r="R209" i="60"/>
  <c r="R314" i="60"/>
  <c r="R270" i="60"/>
  <c r="R234" i="60"/>
  <c r="R230" i="60"/>
  <c r="R225" i="60"/>
  <c r="R223" i="60"/>
  <c r="R203" i="60"/>
  <c r="R275" i="60"/>
  <c r="R239" i="60"/>
  <c r="R204" i="60"/>
  <c r="R202" i="60"/>
  <c r="R319" i="60"/>
  <c r="R313" i="60"/>
  <c r="R272" i="60"/>
  <c r="R252" i="60"/>
  <c r="R250" i="60"/>
  <c r="R249" i="60"/>
  <c r="R205" i="60"/>
  <c r="R191" i="60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512" i="34"/>
  <c r="K513" i="34"/>
  <c r="K514" i="34"/>
  <c r="K522" i="34"/>
  <c r="K523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97" i="34"/>
  <c r="K277" i="34"/>
  <c r="R187" i="60"/>
  <c r="R324" i="60"/>
  <c r="R291" i="60"/>
  <c r="R286" i="60"/>
  <c r="R241" i="60"/>
  <c r="R193" i="60"/>
  <c r="R242" i="60"/>
  <c r="R192" i="60"/>
  <c r="R189" i="60"/>
  <c r="R281" i="60"/>
  <c r="R263" i="60"/>
  <c r="R194" i="60"/>
  <c r="R317" i="60"/>
  <c r="R316" i="60"/>
  <c r="R306" i="60"/>
  <c r="R274" i="60"/>
  <c r="R268" i="60"/>
  <c r="R262" i="60"/>
  <c r="R256" i="60"/>
  <c r="R233" i="60"/>
  <c r="R219" i="60"/>
  <c r="R216" i="60"/>
  <c r="R201" i="60"/>
  <c r="R305" i="60"/>
  <c r="R292" i="60"/>
  <c r="R267" i="60"/>
  <c r="R264" i="60"/>
  <c r="R255" i="60"/>
  <c r="R243" i="60"/>
  <c r="R215" i="60"/>
  <c r="R196" i="60"/>
  <c r="R295" i="60"/>
  <c r="R195" i="60"/>
  <c r="R320" i="60"/>
  <c r="R318" i="60"/>
  <c r="R312" i="60"/>
  <c r="R310" i="60"/>
  <c r="R297" i="60"/>
  <c r="R282" i="60"/>
  <c r="R247" i="60"/>
  <c r="R235" i="60"/>
  <c r="R232" i="60"/>
  <c r="R200" i="60"/>
  <c r="K1637" i="34"/>
  <c r="K1638" i="34"/>
  <c r="K1639" i="34"/>
  <c r="R311" i="60"/>
  <c r="R198" i="60"/>
  <c r="R266" i="60"/>
  <c r="R231" i="60"/>
  <c r="R265" i="60"/>
  <c r="R261" i="60"/>
  <c r="R197" i="60"/>
  <c r="R182" i="60"/>
  <c r="R288" i="60"/>
  <c r="R283" i="60"/>
  <c r="R186" i="60"/>
  <c r="R184" i="60"/>
  <c r="R183" i="60"/>
  <c r="R185" i="60"/>
  <c r="A2802" i="34"/>
  <c r="A2806" i="34"/>
  <c r="A2810" i="34"/>
  <c r="A2814" i="34"/>
  <c r="A2818" i="34"/>
  <c r="A2822" i="34"/>
  <c r="A1731" i="34"/>
  <c r="A2384" i="34"/>
  <c r="A2440" i="34"/>
  <c r="A2444" i="34"/>
  <c r="A2789" i="34"/>
  <c r="A2793" i="34"/>
  <c r="A2797" i="34"/>
  <c r="A2352" i="34"/>
  <c r="A2401" i="34"/>
  <c r="A2329" i="34"/>
  <c r="A2333" i="34"/>
  <c r="A2337" i="34"/>
  <c r="A2341" i="34"/>
  <c r="A2345" i="34"/>
  <c r="A2236" i="34"/>
  <c r="A2240" i="34"/>
  <c r="A2244" i="34"/>
  <c r="A2248" i="34"/>
  <c r="A2252" i="34"/>
  <c r="A2346" i="34"/>
  <c r="A2350" i="34"/>
  <c r="A1703" i="34"/>
  <c r="A1707" i="34"/>
  <c r="A1003" i="34"/>
  <c r="A1071" i="34"/>
  <c r="A2172" i="34"/>
  <c r="A2176" i="34"/>
  <c r="A2234" i="34"/>
  <c r="A1615" i="34"/>
  <c r="A1641" i="34"/>
  <c r="A1645" i="34"/>
  <c r="A1666" i="34"/>
  <c r="A1670" i="34"/>
  <c r="A1697" i="34"/>
  <c r="A1450" i="34"/>
  <c r="A1454" i="34"/>
  <c r="A1481" i="34"/>
  <c r="A1485" i="34"/>
  <c r="A1553" i="34"/>
  <c r="A1557" i="34"/>
  <c r="A1595" i="34"/>
  <c r="A1328" i="34"/>
  <c r="A1369" i="34"/>
  <c r="A1373" i="34"/>
  <c r="A1395" i="34"/>
  <c r="A1399" i="34"/>
  <c r="A1444" i="34"/>
  <c r="A1448" i="34"/>
  <c r="A1188" i="34"/>
  <c r="A1222" i="34"/>
  <c r="A1226" i="34"/>
  <c r="A1250" i="34"/>
  <c r="A1254" i="34"/>
  <c r="A1273" i="34"/>
  <c r="A1287" i="34"/>
  <c r="A1097" i="34"/>
  <c r="A1136" i="34"/>
  <c r="A1140" i="34"/>
  <c r="A1174" i="34"/>
  <c r="A1178" i="34"/>
  <c r="A1182" i="34"/>
  <c r="A1640" i="34"/>
  <c r="A1063" i="34"/>
  <c r="A1067" i="34"/>
  <c r="A1594" i="34"/>
  <c r="A1590" i="34"/>
  <c r="A1579" i="34"/>
  <c r="A1575" i="34"/>
  <c r="A1542" i="34"/>
  <c r="A1538" i="34"/>
  <c r="A1517" i="34"/>
  <c r="A1513" i="34"/>
  <c r="A1509" i="34"/>
  <c r="A1504" i="34"/>
  <c r="A1500" i="34"/>
  <c r="A1418" i="34"/>
  <c r="A1414" i="34"/>
  <c r="A1348" i="34"/>
  <c r="A1344" i="34"/>
  <c r="A1340" i="34"/>
  <c r="A1336" i="34"/>
  <c r="A1322" i="34"/>
  <c r="A1318" i="34"/>
  <c r="A1312" i="34"/>
  <c r="A1308" i="34"/>
  <c r="A1269" i="34"/>
  <c r="A1218" i="34"/>
  <c r="A1214" i="34"/>
  <c r="A1131" i="34"/>
  <c r="A1127" i="34"/>
  <c r="A1114" i="34"/>
  <c r="A1110" i="34"/>
  <c r="A1088" i="34"/>
  <c r="A1058" i="34"/>
  <c r="A1054" i="34"/>
  <c r="A1050" i="34"/>
  <c r="A1033" i="34"/>
  <c r="A1029" i="34"/>
  <c r="A1018" i="34"/>
  <c r="A1014" i="34"/>
  <c r="A1010" i="34"/>
  <c r="A279" i="34"/>
  <c r="A283" i="34"/>
  <c r="A287" i="34"/>
  <c r="A291" i="34"/>
  <c r="A295" i="34"/>
  <c r="A299" i="34"/>
  <c r="A303" i="34"/>
  <c r="A307" i="34"/>
  <c r="A311" i="34"/>
  <c r="A408" i="34"/>
  <c r="A412" i="34"/>
  <c r="A416" i="34"/>
  <c r="A420" i="34"/>
  <c r="A424" i="34"/>
  <c r="A428" i="34"/>
  <c r="A432" i="34"/>
  <c r="A436" i="34"/>
  <c r="A440" i="34"/>
  <c r="A444" i="34"/>
  <c r="A448" i="34"/>
  <c r="A522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5" i="34"/>
  <c r="A997" i="34"/>
  <c r="A2803" i="34"/>
  <c r="A2807" i="34"/>
  <c r="A2811" i="34"/>
  <c r="A2815" i="34"/>
  <c r="A2819" i="34"/>
  <c r="A1730" i="34"/>
  <c r="A2381" i="34"/>
  <c r="A2385" i="34"/>
  <c r="A2441" i="34"/>
  <c r="A2786" i="34"/>
  <c r="A2790" i="34"/>
  <c r="A2794" i="34"/>
  <c r="A2798" i="34"/>
  <c r="A2398" i="34"/>
  <c r="A2402" i="34"/>
  <c r="A2330" i="34"/>
  <c r="A2334" i="34"/>
  <c r="A2338" i="34"/>
  <c r="A2342" i="34"/>
  <c r="A1976" i="34"/>
  <c r="A2237" i="34"/>
  <c r="A2241" i="34"/>
  <c r="A2245" i="34"/>
  <c r="A2249" i="34"/>
  <c r="A2253" i="34"/>
  <c r="A2347" i="34"/>
  <c r="A2351" i="34"/>
  <c r="A1704" i="34"/>
  <c r="A1001" i="34"/>
  <c r="A1068" i="34"/>
  <c r="A1072" i="34"/>
  <c r="A2173" i="34"/>
  <c r="A2177" i="34"/>
  <c r="A1612" i="34"/>
  <c r="A1616" i="34"/>
  <c r="A1642" i="34"/>
  <c r="A1646" i="34"/>
  <c r="A1667" i="34"/>
  <c r="A1671" i="34"/>
  <c r="A1698" i="34"/>
  <c r="A1451" i="34"/>
  <c r="A1455" i="34"/>
  <c r="A1482" i="34"/>
  <c r="A1486" i="34"/>
  <c r="A1554" i="34"/>
  <c r="A1558" i="34"/>
  <c r="A1610" i="34"/>
  <c r="A1366" i="34"/>
  <c r="A1370" i="34"/>
  <c r="A1374" i="34"/>
  <c r="A1396" i="34"/>
  <c r="A1400" i="34"/>
  <c r="A1445" i="34"/>
  <c r="A1449" i="34"/>
  <c r="A1219" i="34"/>
  <c r="A1223" i="34"/>
  <c r="A1247" i="34"/>
  <c r="A1251" i="34"/>
  <c r="A1270" i="34"/>
  <c r="A1274" i="34"/>
  <c r="A1094" i="34"/>
  <c r="A1098" i="34"/>
  <c r="A1137" i="34"/>
  <c r="A1141" i="34"/>
  <c r="A1175" i="34"/>
  <c r="A1179" i="34"/>
  <c r="A1183" i="34"/>
  <c r="A1060" i="34"/>
  <c r="A1064" i="34"/>
  <c r="A1092" i="34"/>
  <c r="A1639" i="34"/>
  <c r="A1593" i="34"/>
  <c r="A1589" i="34"/>
  <c r="A1578" i="34"/>
  <c r="A1574" i="34"/>
  <c r="A1541" i="34"/>
  <c r="A1537" i="34"/>
  <c r="A1516" i="34"/>
  <c r="A1512" i="34"/>
  <c r="A1508" i="34"/>
  <c r="A1503" i="34"/>
  <c r="A1499" i="34"/>
  <c r="A1417" i="34"/>
  <c r="A1413" i="34"/>
  <c r="A1347" i="34"/>
  <c r="A1343" i="34"/>
  <c r="A1339" i="34"/>
  <c r="A1335" i="34"/>
  <c r="A1321" i="34"/>
  <c r="A1317" i="34"/>
  <c r="A1311" i="34"/>
  <c r="A1307" i="34"/>
  <c r="A1246" i="34"/>
  <c r="A1217" i="34"/>
  <c r="A1134" i="34"/>
  <c r="A1130" i="34"/>
  <c r="A1117" i="34"/>
  <c r="A1113" i="34"/>
  <c r="A1091" i="34"/>
  <c r="A1087" i="34"/>
  <c r="A1057" i="34"/>
  <c r="A1053" i="34"/>
  <c r="A1036" i="34"/>
  <c r="A1032" i="34"/>
  <c r="A1021" i="34"/>
  <c r="A1017" i="34"/>
  <c r="A1013" i="34"/>
  <c r="A1009" i="34"/>
  <c r="A280" i="34"/>
  <c r="A284" i="34"/>
  <c r="A288" i="34"/>
  <c r="A292" i="34"/>
  <c r="A296" i="34"/>
  <c r="A300" i="34"/>
  <c r="A304" i="34"/>
  <c r="A308" i="34"/>
  <c r="A405" i="34"/>
  <c r="A409" i="34"/>
  <c r="A413" i="34"/>
  <c r="A417" i="34"/>
  <c r="A421" i="34"/>
  <c r="A425" i="34"/>
  <c r="A429" i="34"/>
  <c r="A433" i="34"/>
  <c r="A437" i="34"/>
  <c r="A441" i="34"/>
  <c r="A445" i="34"/>
  <c r="A512" i="34"/>
  <c r="A523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6" i="34"/>
  <c r="A2804" i="34"/>
  <c r="A2808" i="34"/>
  <c r="A2812" i="34"/>
  <c r="A2816" i="34"/>
  <c r="A2820" i="34"/>
  <c r="A1962" i="34"/>
  <c r="A2382" i="34"/>
  <c r="A2386" i="34"/>
  <c r="A2442" i="34"/>
  <c r="A2787" i="34"/>
  <c r="A2791" i="34"/>
  <c r="A2795" i="34"/>
  <c r="A2799" i="34"/>
  <c r="A2399" i="34"/>
  <c r="A2327" i="34"/>
  <c r="A2331" i="34"/>
  <c r="A2335" i="34"/>
  <c r="A2339" i="34"/>
  <c r="A2343" i="34"/>
  <c r="A2380" i="34"/>
  <c r="A2238" i="34"/>
  <c r="A2242" i="34"/>
  <c r="A2246" i="34"/>
  <c r="A2250" i="34"/>
  <c r="A2254" i="34"/>
  <c r="A2348" i="34"/>
  <c r="A1701" i="34"/>
  <c r="A1705" i="34"/>
  <c r="A1172" i="34"/>
  <c r="A1069" i="34"/>
  <c r="A1073" i="34"/>
  <c r="A2174" i="34"/>
  <c r="A2178" i="34"/>
  <c r="A1613" i="34"/>
  <c r="A1617" i="34"/>
  <c r="A1643" i="34"/>
  <c r="A1647" i="34"/>
  <c r="A1668" i="34"/>
  <c r="A1672" i="34"/>
  <c r="A1699" i="34"/>
  <c r="A1452" i="34"/>
  <c r="A1456" i="34"/>
  <c r="A1483" i="34"/>
  <c r="A1487" i="34"/>
  <c r="A1555" i="34"/>
  <c r="A1559" i="34"/>
  <c r="A1611" i="34"/>
  <c r="A1367" i="34"/>
  <c r="A1371" i="34"/>
  <c r="A1393" i="34"/>
  <c r="A1397" i="34"/>
  <c r="A1424" i="34"/>
  <c r="A1446" i="34"/>
  <c r="A1186" i="34"/>
  <c r="A1220" i="34"/>
  <c r="A1224" i="34"/>
  <c r="A1248" i="34"/>
  <c r="A1252" i="34"/>
  <c r="A1271" i="34"/>
  <c r="A1285" i="34"/>
  <c r="A1095" i="34"/>
  <c r="A1099" i="34"/>
  <c r="A1138" i="34"/>
  <c r="A1142" i="34"/>
  <c r="A1176" i="34"/>
  <c r="A1180" i="34"/>
  <c r="A1184" i="34"/>
  <c r="A1061" i="34"/>
  <c r="A1065" i="34"/>
  <c r="A1093" i="34"/>
  <c r="A1638" i="34"/>
  <c r="A1592" i="34"/>
  <c r="A1588" i="34"/>
  <c r="A1577" i="34"/>
  <c r="A1573" i="34"/>
  <c r="A1540" i="34"/>
  <c r="A1536" i="34"/>
  <c r="A1515" i="34"/>
  <c r="A1511" i="34"/>
  <c r="A1506" i="34"/>
  <c r="A1502" i="34"/>
  <c r="A1498" i="34"/>
  <c r="A1416" i="34"/>
  <c r="A1350" i="34"/>
  <c r="A1346" i="34"/>
  <c r="A1342" i="34"/>
  <c r="A1338" i="34"/>
  <c r="A1324" i="34"/>
  <c r="A1320" i="34"/>
  <c r="A1314" i="34"/>
  <c r="A1310" i="34"/>
  <c r="A1306" i="34"/>
  <c r="A1245" i="34"/>
  <c r="A1216" i="34"/>
  <c r="A1133" i="34"/>
  <c r="A1129" i="34"/>
  <c r="A1116" i="34"/>
  <c r="A1112" i="34"/>
  <c r="A1090" i="34"/>
  <c r="A1086" i="34"/>
  <c r="A1056" i="34"/>
  <c r="A1052" i="34"/>
  <c r="A1035" i="34"/>
  <c r="A1031" i="34"/>
  <c r="A1020" i="34"/>
  <c r="A1016" i="34"/>
  <c r="A1012" i="34"/>
  <c r="A1008" i="34"/>
  <c r="A277" i="34"/>
  <c r="A281" i="34"/>
  <c r="A285" i="34"/>
  <c r="A289" i="34"/>
  <c r="A293" i="34"/>
  <c r="A297" i="34"/>
  <c r="A301" i="34"/>
  <c r="A305" i="34"/>
  <c r="A309" i="34"/>
  <c r="A406" i="34"/>
  <c r="A410" i="34"/>
  <c r="A414" i="34"/>
  <c r="A418" i="34"/>
  <c r="A422" i="34"/>
  <c r="A426" i="34"/>
  <c r="A430" i="34"/>
  <c r="A434" i="34"/>
  <c r="A438" i="34"/>
  <c r="A442" i="34"/>
  <c r="A446" i="34"/>
  <c r="A513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3" i="34"/>
  <c r="A907" i="34"/>
  <c r="A2801" i="34"/>
  <c r="A2805" i="34"/>
  <c r="A2809" i="34"/>
  <c r="A2813" i="34"/>
  <c r="A2817" i="34"/>
  <c r="A2821" i="34"/>
  <c r="A1746" i="34"/>
  <c r="A2383" i="34"/>
  <c r="A2439" i="34"/>
  <c r="A2443" i="34"/>
  <c r="A2788" i="34"/>
  <c r="A2792" i="34"/>
  <c r="A2796" i="34"/>
  <c r="A2800" i="34"/>
  <c r="A2400" i="34"/>
  <c r="A2328" i="34"/>
  <c r="A2332" i="34"/>
  <c r="A2336" i="34"/>
  <c r="A2340" i="34"/>
  <c r="A2344" i="34"/>
  <c r="A2235" i="34"/>
  <c r="A2239" i="34"/>
  <c r="A2243" i="34"/>
  <c r="A2247" i="34"/>
  <c r="A2251" i="34"/>
  <c r="A1967" i="34"/>
  <c r="A2349" i="34"/>
  <c r="A1702" i="34"/>
  <c r="A1706" i="34"/>
  <c r="A1002" i="34"/>
  <c r="A1070" i="34"/>
  <c r="A2171" i="34"/>
  <c r="A2175" i="34"/>
  <c r="A2179" i="34"/>
  <c r="A1614" i="34"/>
  <c r="A1618" i="34"/>
  <c r="A1644" i="34"/>
  <c r="A1648" i="34"/>
  <c r="A1669" i="34"/>
  <c r="A1673" i="34"/>
  <c r="A1700" i="34"/>
  <c r="A1453" i="34"/>
  <c r="A1457" i="34"/>
  <c r="A1484" i="34"/>
  <c r="A1525" i="34"/>
  <c r="A1556" i="34"/>
  <c r="A1560" i="34"/>
  <c r="A1293" i="34"/>
  <c r="A1368" i="34"/>
  <c r="A1372" i="34"/>
  <c r="A1394" i="34"/>
  <c r="A1398" i="34"/>
  <c r="A1443" i="34"/>
  <c r="A1447" i="34"/>
  <c r="A1187" i="34"/>
  <c r="A1221" i="34"/>
  <c r="A1225" i="34"/>
  <c r="A1249" i="34"/>
  <c r="A1253" i="34"/>
  <c r="A1272" i="34"/>
  <c r="A1286" i="34"/>
  <c r="A1096" i="34"/>
  <c r="A1135" i="34"/>
  <c r="A1139" i="34"/>
  <c r="A1173" i="34"/>
  <c r="A1177" i="34"/>
  <c r="A1181" i="34"/>
  <c r="A1185" i="34"/>
  <c r="A1062" i="34"/>
  <c r="A1066" i="34"/>
  <c r="A1007" i="34"/>
  <c r="A1637" i="34"/>
  <c r="A1591" i="34"/>
  <c r="A1580" i="34"/>
  <c r="A1576" i="34"/>
  <c r="A1543" i="34"/>
  <c r="A1539" i="34"/>
  <c r="A1518" i="34"/>
  <c r="A1514" i="34"/>
  <c r="A1510" i="34"/>
  <c r="A1505" i="34"/>
  <c r="A1501" i="34"/>
  <c r="A1419" i="34"/>
  <c r="A1415" i="34"/>
  <c r="A1349" i="34"/>
  <c r="A1345" i="34"/>
  <c r="A1341" i="34"/>
  <c r="A1337" i="34"/>
  <c r="A1323" i="34"/>
  <c r="A1319" i="34"/>
  <c r="A1313" i="34"/>
  <c r="A1309" i="34"/>
  <c r="A1300" i="34"/>
  <c r="A1244" i="34"/>
  <c r="A1215" i="34"/>
  <c r="A1132" i="34"/>
  <c r="A1128" i="34"/>
  <c r="A1115" i="34"/>
  <c r="A1111" i="34"/>
  <c r="A1089" i="34"/>
  <c r="A1059" i="34"/>
  <c r="A1055" i="34"/>
  <c r="A1051" i="34"/>
  <c r="A1034" i="34"/>
  <c r="A1030" i="34"/>
  <c r="A1019" i="34"/>
  <c r="A1015" i="34"/>
  <c r="A1011" i="34"/>
  <c r="A278" i="34"/>
  <c r="A282" i="34"/>
  <c r="A286" i="34"/>
  <c r="A290" i="34"/>
  <c r="A294" i="34"/>
  <c r="A298" i="34"/>
  <c r="A302" i="34"/>
  <c r="A306" i="34"/>
  <c r="A310" i="34"/>
  <c r="A407" i="34"/>
  <c r="A411" i="34"/>
  <c r="A415" i="34"/>
  <c r="A419" i="34"/>
  <c r="A423" i="34"/>
  <c r="A427" i="34"/>
  <c r="A431" i="34"/>
  <c r="A435" i="34"/>
  <c r="A439" i="34"/>
  <c r="A443" i="34"/>
  <c r="A447" i="34"/>
  <c r="A514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98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515" i="34"/>
  <c r="K516" i="34"/>
  <c r="K517" i="34"/>
  <c r="K524" i="34"/>
  <c r="K525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R161" i="60"/>
  <c r="R153" i="60"/>
  <c r="R146" i="60"/>
  <c r="R132" i="60"/>
  <c r="R116" i="60"/>
  <c r="R112" i="60"/>
  <c r="R95" i="60"/>
  <c r="R94" i="60"/>
  <c r="R131" i="60"/>
  <c r="R128" i="60"/>
  <c r="R133" i="60"/>
  <c r="R97" i="60"/>
  <c r="R129" i="60"/>
  <c r="R127" i="60"/>
  <c r="R124" i="60"/>
  <c r="R121" i="60"/>
  <c r="R119" i="60"/>
  <c r="R105" i="60"/>
  <c r="R96" i="60"/>
  <c r="R117" i="60"/>
  <c r="R113" i="60"/>
  <c r="R154" i="60"/>
  <c r="R147" i="60"/>
  <c r="R101" i="60"/>
  <c r="R162" i="60"/>
  <c r="R126" i="60"/>
  <c r="R120" i="60"/>
  <c r="R110" i="60"/>
  <c r="R109" i="60"/>
  <c r="R164" i="60"/>
  <c r="R135" i="60"/>
  <c r="R125" i="60"/>
  <c r="R103" i="60"/>
  <c r="R168" i="60"/>
  <c r="R165" i="60"/>
  <c r="R163" i="60"/>
  <c r="R160" i="60"/>
  <c r="R118" i="60"/>
  <c r="R106" i="60"/>
  <c r="R86" i="60"/>
  <c r="R85" i="60"/>
  <c r="R74" i="60"/>
  <c r="R68" i="60"/>
  <c r="R50" i="60"/>
  <c r="R27" i="60"/>
  <c r="R142" i="60"/>
  <c r="R130" i="60"/>
  <c r="R122" i="60"/>
  <c r="R104" i="60"/>
  <c r="R143" i="60"/>
  <c r="R157" i="60"/>
  <c r="R140" i="60"/>
  <c r="R139" i="60"/>
  <c r="R136" i="60"/>
  <c r="R114" i="60"/>
  <c r="R108" i="60"/>
  <c r="R107" i="60"/>
  <c r="R151" i="60"/>
  <c r="R123" i="60"/>
  <c r="R102" i="60"/>
  <c r="R99" i="60"/>
  <c r="R98" i="60"/>
  <c r="T98" i="60"/>
  <c r="K739" i="34"/>
  <c r="K738" i="34"/>
  <c r="K736" i="34"/>
  <c r="K735" i="34"/>
  <c r="K734" i="34"/>
  <c r="K733" i="34"/>
  <c r="K731" i="34"/>
  <c r="K730" i="34"/>
  <c r="K729" i="34"/>
  <c r="K728" i="34"/>
  <c r="K727" i="34"/>
  <c r="K726" i="34"/>
  <c r="K725" i="34"/>
  <c r="K724" i="34"/>
  <c r="K715" i="34"/>
  <c r="K714" i="34"/>
  <c r="K713" i="34"/>
  <c r="K712" i="34"/>
  <c r="K711" i="34"/>
  <c r="K710" i="34"/>
  <c r="K709" i="34"/>
  <c r="K708" i="34"/>
  <c r="K707" i="34"/>
  <c r="K700" i="34"/>
  <c r="K699" i="34"/>
  <c r="K698" i="34"/>
  <c r="K697" i="34"/>
  <c r="K696" i="34"/>
  <c r="K695" i="34"/>
  <c r="K694" i="34"/>
  <c r="K693" i="34"/>
  <c r="K692" i="34"/>
  <c r="K689" i="34"/>
  <c r="K688" i="34"/>
  <c r="K687" i="34"/>
  <c r="K686" i="34"/>
  <c r="K685" i="34"/>
  <c r="K683" i="34"/>
  <c r="K682" i="34"/>
  <c r="K681" i="34"/>
  <c r="K669" i="34"/>
  <c r="K668" i="34"/>
  <c r="K667" i="34"/>
  <c r="K666" i="34"/>
  <c r="K665" i="34"/>
  <c r="K664" i="34"/>
  <c r="K663" i="34"/>
  <c r="K662" i="34"/>
  <c r="K639" i="34"/>
  <c r="K638" i="34"/>
  <c r="K637" i="34"/>
  <c r="K636" i="34"/>
  <c r="K635" i="34"/>
  <c r="K634" i="34"/>
  <c r="K612" i="34"/>
  <c r="K611" i="34"/>
  <c r="K610" i="34"/>
  <c r="K593" i="34"/>
  <c r="K592" i="34"/>
  <c r="K591" i="34"/>
  <c r="K590" i="34"/>
  <c r="K586" i="34"/>
  <c r="K585" i="34"/>
  <c r="K584" i="34"/>
  <c r="K583" i="34"/>
  <c r="K582" i="34"/>
  <c r="K581" i="34"/>
  <c r="K576" i="34"/>
  <c r="K575" i="34"/>
  <c r="K574" i="34"/>
  <c r="K573" i="34"/>
  <c r="K570" i="34"/>
  <c r="K559" i="34"/>
  <c r="K558" i="34"/>
  <c r="K555" i="34"/>
  <c r="K554" i="34"/>
  <c r="K553" i="34"/>
  <c r="K552" i="34"/>
  <c r="K551" i="34"/>
  <c r="K550" i="34"/>
  <c r="K549" i="34"/>
  <c r="K546" i="34"/>
  <c r="K545" i="34"/>
  <c r="K544" i="34"/>
  <c r="K543" i="34"/>
  <c r="K542" i="34"/>
  <c r="R77" i="60"/>
  <c r="R76" i="60"/>
  <c r="R75" i="60"/>
  <c r="R16" i="60"/>
  <c r="R79" i="60"/>
  <c r="R78" i="60"/>
  <c r="R69" i="60"/>
  <c r="R28" i="60"/>
  <c r="R21" i="60"/>
  <c r="R23" i="60"/>
  <c r="R31" i="60"/>
  <c r="R30" i="60"/>
  <c r="R26" i="60"/>
  <c r="R11" i="60"/>
  <c r="R53" i="60"/>
  <c r="R22" i="60"/>
  <c r="R9" i="60"/>
  <c r="R29" i="60"/>
  <c r="R48" i="60"/>
  <c r="R59" i="60"/>
  <c r="R82" i="60"/>
  <c r="R55" i="60"/>
  <c r="R54" i="60"/>
  <c r="R80" i="60"/>
  <c r="R66" i="60"/>
  <c r="R51" i="60"/>
  <c r="R46" i="60"/>
  <c r="R45" i="60"/>
  <c r="R44" i="60"/>
  <c r="R36" i="60"/>
  <c r="R57" i="60"/>
  <c r="R56" i="60"/>
  <c r="R87" i="60"/>
  <c r="R83" i="60"/>
  <c r="R19" i="60"/>
  <c r="R20" i="60"/>
  <c r="R65" i="60"/>
  <c r="R64" i="60"/>
  <c r="R63" i="60"/>
  <c r="R34" i="60"/>
  <c r="R33" i="60"/>
  <c r="R14" i="60"/>
  <c r="R47" i="60"/>
  <c r="R25" i="60"/>
  <c r="R39" i="60"/>
  <c r="R62" i="60"/>
  <c r="R61" i="60"/>
  <c r="R49" i="60"/>
  <c r="K104" i="34"/>
  <c r="K320" i="34"/>
  <c r="K103" i="34"/>
  <c r="R52" i="60"/>
  <c r="R41" i="60"/>
  <c r="R32" i="60"/>
  <c r="R18" i="60"/>
  <c r="R17" i="60"/>
  <c r="A994" i="34"/>
  <c r="A505" i="34"/>
  <c r="A741" i="34"/>
  <c r="A518" i="34"/>
  <c r="F148" i="55"/>
  <c r="E148" i="55"/>
  <c r="T269" i="60"/>
  <c r="C269" i="60"/>
  <c r="T238" i="60"/>
  <c r="C238" i="60"/>
  <c r="T293" i="60"/>
  <c r="C293" i="60"/>
  <c r="T257" i="60"/>
  <c r="C257" i="60"/>
  <c r="T244" i="60"/>
  <c r="C244" i="60"/>
  <c r="T328" i="60"/>
  <c r="C328" i="60"/>
  <c r="T304" i="60"/>
  <c r="C304" i="60"/>
  <c r="T272" i="60"/>
  <c r="C272" i="60"/>
  <c r="T313" i="60"/>
  <c r="C313" i="60"/>
  <c r="T325" i="60"/>
  <c r="C325" i="60"/>
  <c r="T315" i="60"/>
  <c r="C315" i="60"/>
  <c r="T224" i="60"/>
  <c r="C224" i="60"/>
  <c r="T294" i="60"/>
  <c r="C294" i="60"/>
  <c r="T191" i="60"/>
  <c r="C191" i="60"/>
  <c r="T301" i="60"/>
  <c r="C301" i="60"/>
  <c r="T323" i="60"/>
  <c r="C323" i="60"/>
  <c r="T246" i="60"/>
  <c r="C246" i="60"/>
  <c r="T280" i="60"/>
  <c r="C280" i="60"/>
  <c r="T273" i="60"/>
  <c r="C273" i="60"/>
  <c r="T253" i="60"/>
  <c r="C253" i="60"/>
  <c r="T220" i="60"/>
  <c r="C220" i="60"/>
  <c r="T279" i="60"/>
  <c r="C279" i="60"/>
  <c r="T252" i="60"/>
  <c r="C252" i="60"/>
  <c r="T227" i="60"/>
  <c r="C227" i="60"/>
  <c r="T207" i="60"/>
  <c r="C207" i="60"/>
  <c r="T278" i="60"/>
  <c r="C278" i="60"/>
  <c r="T190" i="60"/>
  <c r="C190" i="60"/>
  <c r="T291" i="60"/>
  <c r="C291" i="60"/>
  <c r="T286" i="60"/>
  <c r="C286" i="60"/>
  <c r="T271" i="60"/>
  <c r="C271" i="60"/>
  <c r="T201" i="60"/>
  <c r="C201" i="60"/>
  <c r="T228" i="60"/>
  <c r="C228" i="60"/>
  <c r="T192" i="60"/>
  <c r="C192" i="60"/>
  <c r="T305" i="60"/>
  <c r="C305" i="60"/>
  <c r="T282" i="60"/>
  <c r="C282" i="60"/>
  <c r="T264" i="60"/>
  <c r="C264" i="60"/>
  <c r="T215" i="60"/>
  <c r="C215" i="60"/>
  <c r="T196" i="60"/>
  <c r="C196" i="60"/>
  <c r="K614" i="34"/>
  <c r="K214" i="34"/>
  <c r="K213" i="34"/>
  <c r="K212" i="34"/>
  <c r="K211" i="34"/>
  <c r="K210" i="34"/>
  <c r="K209" i="34"/>
  <c r="K208" i="34"/>
  <c r="K206" i="34"/>
  <c r="K205" i="34"/>
  <c r="K204" i="34"/>
  <c r="K203" i="34"/>
  <c r="K179" i="34"/>
  <c r="K165" i="34"/>
  <c r="K164" i="34"/>
  <c r="K163" i="34"/>
  <c r="K136" i="34"/>
  <c r="K135" i="34"/>
  <c r="K134" i="34"/>
  <c r="K132" i="34"/>
  <c r="K131" i="34"/>
  <c r="K130" i="34"/>
  <c r="K129" i="34"/>
  <c r="K128" i="34"/>
  <c r="K99" i="34"/>
  <c r="K94" i="34"/>
  <c r="K93" i="34"/>
  <c r="K92" i="34"/>
  <c r="K91" i="34"/>
  <c r="K90" i="34"/>
  <c r="K88" i="34"/>
  <c r="K87" i="34"/>
  <c r="K84" i="34"/>
  <c r="K83" i="34"/>
  <c r="K82" i="34"/>
  <c r="K81" i="34"/>
  <c r="K80" i="34"/>
  <c r="K79" i="34"/>
  <c r="K69" i="34"/>
  <c r="K68" i="34"/>
  <c r="K67" i="34"/>
  <c r="K60" i="34"/>
  <c r="K55" i="34"/>
  <c r="K53" i="34"/>
  <c r="K47" i="34"/>
  <c r="K46" i="34"/>
  <c r="K45" i="34"/>
  <c r="T320" i="60"/>
  <c r="C320" i="60"/>
  <c r="T318" i="60"/>
  <c r="C318" i="60"/>
  <c r="T312" i="60"/>
  <c r="C312" i="60"/>
  <c r="T310" i="60"/>
  <c r="C310" i="60"/>
  <c r="T297" i="60"/>
  <c r="C297" i="60"/>
  <c r="T296" i="60"/>
  <c r="C296" i="60"/>
  <c r="T247" i="60"/>
  <c r="C247" i="60"/>
  <c r="T235" i="60"/>
  <c r="C235" i="60"/>
  <c r="T232" i="60"/>
  <c r="C232" i="60"/>
  <c r="T200" i="60"/>
  <c r="C200" i="60"/>
  <c r="T311" i="60"/>
  <c r="C311" i="60"/>
  <c r="T198" i="60"/>
  <c r="C198" i="60"/>
  <c r="T185" i="60"/>
  <c r="C185" i="60"/>
  <c r="T266" i="60"/>
  <c r="C266" i="60"/>
  <c r="T231" i="60"/>
  <c r="C231" i="60"/>
  <c r="T265" i="60"/>
  <c r="C265" i="60"/>
  <c r="T261" i="60"/>
  <c r="C261" i="60"/>
  <c r="T229" i="60"/>
  <c r="C229" i="60"/>
  <c r="T197" i="60"/>
  <c r="C197" i="60"/>
  <c r="T183" i="60"/>
  <c r="C183" i="60"/>
  <c r="T283" i="60"/>
  <c r="C283" i="60"/>
  <c r="T288" i="60"/>
  <c r="C288" i="60"/>
  <c r="T284" i="60"/>
  <c r="C284" i="60"/>
  <c r="T186" i="60"/>
  <c r="C186" i="60"/>
  <c r="T184" i="60"/>
  <c r="C184" i="60"/>
  <c r="T290" i="60"/>
  <c r="C290" i="60"/>
  <c r="T187" i="60"/>
  <c r="C187" i="60"/>
  <c r="T188" i="60"/>
  <c r="C188" i="60"/>
  <c r="T189" i="60"/>
  <c r="C189" i="60"/>
  <c r="T193" i="60"/>
  <c r="C193" i="60"/>
  <c r="T194" i="60"/>
  <c r="C194" i="60"/>
  <c r="T195" i="60"/>
  <c r="C195" i="60"/>
  <c r="T199" i="60"/>
  <c r="C199" i="60"/>
  <c r="T202" i="60"/>
  <c r="C202" i="60"/>
  <c r="T203" i="60"/>
  <c r="C203" i="60"/>
  <c r="T204" i="60"/>
  <c r="C204" i="60"/>
  <c r="T205" i="60"/>
  <c r="C205" i="60"/>
  <c r="T206" i="60"/>
  <c r="C206" i="60"/>
  <c r="T208" i="60"/>
  <c r="C208" i="60"/>
  <c r="T209" i="60"/>
  <c r="C209" i="60"/>
  <c r="T210" i="60"/>
  <c r="C210" i="60"/>
  <c r="T211" i="60"/>
  <c r="C211" i="60"/>
  <c r="T212" i="60"/>
  <c r="C212" i="60"/>
  <c r="T213" i="60"/>
  <c r="C213" i="60"/>
  <c r="T214" i="60"/>
  <c r="C214" i="60"/>
  <c r="T216" i="60"/>
  <c r="C216" i="60"/>
  <c r="T217" i="60"/>
  <c r="C217" i="60"/>
  <c r="T218" i="60"/>
  <c r="C218" i="60"/>
  <c r="T219" i="60"/>
  <c r="C219" i="60"/>
  <c r="T221" i="60"/>
  <c r="C221" i="60"/>
  <c r="T222" i="60"/>
  <c r="C222" i="60"/>
  <c r="T223" i="60"/>
  <c r="C223" i="60"/>
  <c r="T225" i="60"/>
  <c r="C225" i="60"/>
  <c r="T226" i="60"/>
  <c r="C226" i="60"/>
  <c r="T230" i="60"/>
  <c r="C230" i="60"/>
  <c r="T233" i="60"/>
  <c r="C233" i="60"/>
  <c r="T234" i="60"/>
  <c r="C234" i="60"/>
  <c r="T236" i="60"/>
  <c r="C236" i="60"/>
  <c r="T237" i="60"/>
  <c r="C237" i="60"/>
  <c r="T239" i="60"/>
  <c r="C239" i="60"/>
  <c r="T240" i="60"/>
  <c r="C240" i="60"/>
  <c r="T241" i="60"/>
  <c r="C241" i="60"/>
  <c r="T242" i="60"/>
  <c r="C242" i="60"/>
  <c r="T243" i="60"/>
  <c r="C243" i="60"/>
  <c r="T245" i="60"/>
  <c r="C245" i="60"/>
  <c r="T248" i="60"/>
  <c r="C248" i="60"/>
  <c r="T249" i="60"/>
  <c r="C249" i="60"/>
  <c r="T250" i="60"/>
  <c r="C250" i="60"/>
  <c r="T251" i="60"/>
  <c r="C251" i="60"/>
  <c r="T254" i="60"/>
  <c r="C254" i="60"/>
  <c r="T255" i="60"/>
  <c r="C255" i="60"/>
  <c r="T256" i="60"/>
  <c r="C256" i="60"/>
  <c r="T258" i="60"/>
  <c r="C258" i="60"/>
  <c r="T259" i="60"/>
  <c r="C259" i="60"/>
  <c r="T260" i="60"/>
  <c r="C260" i="60"/>
  <c r="T262" i="60"/>
  <c r="C262" i="60"/>
  <c r="T263" i="60"/>
  <c r="C263" i="60"/>
  <c r="T267" i="60"/>
  <c r="C267" i="60"/>
  <c r="T268" i="60"/>
  <c r="C268" i="60"/>
  <c r="T270" i="60"/>
  <c r="C270" i="60"/>
  <c r="T274" i="60"/>
  <c r="C274" i="60"/>
  <c r="T275" i="60"/>
  <c r="C275" i="60"/>
  <c r="T276" i="60"/>
  <c r="C276" i="60"/>
  <c r="T277" i="60"/>
  <c r="C277" i="60"/>
  <c r="T281" i="60"/>
  <c r="C281" i="60"/>
  <c r="T285" i="60"/>
  <c r="C285" i="60"/>
  <c r="T287" i="60"/>
  <c r="C287" i="60"/>
  <c r="T289" i="60"/>
  <c r="C289" i="60"/>
  <c r="T292" i="60"/>
  <c r="C292" i="60"/>
  <c r="T295" i="60"/>
  <c r="C295" i="60"/>
  <c r="T298" i="60"/>
  <c r="C298" i="60"/>
  <c r="T299" i="60"/>
  <c r="C299" i="60"/>
  <c r="T302" i="60"/>
  <c r="C302" i="60"/>
  <c r="T303" i="60"/>
  <c r="C303" i="60"/>
  <c r="T306" i="60"/>
  <c r="C306" i="60"/>
  <c r="T307" i="60"/>
  <c r="C307" i="60"/>
  <c r="T308" i="60"/>
  <c r="C308" i="60"/>
  <c r="T309" i="60"/>
  <c r="C309" i="60"/>
  <c r="T314" i="60"/>
  <c r="C314" i="60"/>
  <c r="T316" i="60"/>
  <c r="C316" i="60"/>
  <c r="T317" i="60"/>
  <c r="C317" i="60"/>
  <c r="T319" i="60"/>
  <c r="C319" i="60"/>
  <c r="T321" i="60"/>
  <c r="C321" i="60"/>
  <c r="T322" i="60"/>
  <c r="C322" i="60"/>
  <c r="T324" i="60"/>
  <c r="C324" i="60"/>
  <c r="T326" i="60"/>
  <c r="C326" i="60"/>
  <c r="T327" i="60"/>
  <c r="C327" i="60"/>
  <c r="T329" i="60"/>
  <c r="C329" i="60"/>
  <c r="T330" i="60"/>
  <c r="C330" i="60"/>
  <c r="T331" i="60"/>
  <c r="C331" i="60"/>
  <c r="A921" i="34"/>
  <c r="A469" i="34"/>
  <c r="A474" i="34"/>
  <c r="A457" i="34"/>
  <c r="A927" i="34"/>
  <c r="A915" i="34"/>
  <c r="A705" i="34"/>
  <c r="A718" i="34"/>
  <c r="A335" i="34"/>
  <c r="A580" i="34"/>
  <c r="A123" i="34"/>
  <c r="A548" i="34"/>
  <c r="A162" i="34"/>
  <c r="A680" i="34"/>
  <c r="A59" i="34"/>
  <c r="A572" i="34"/>
  <c r="A63" i="34"/>
  <c r="A66" i="34"/>
  <c r="A114" i="34"/>
  <c r="A106" i="34"/>
  <c r="A109" i="34"/>
  <c r="A1572" i="34"/>
  <c r="A1569" i="34"/>
  <c r="A1721" i="34"/>
  <c r="A946" i="34"/>
  <c r="A962" i="34"/>
  <c r="A1570" i="34"/>
  <c r="A1584" i="34"/>
  <c r="A1720" i="34"/>
  <c r="A1722" i="34"/>
  <c r="A939" i="34"/>
  <c r="A943" i="34"/>
  <c r="A947" i="34"/>
  <c r="A951" i="34"/>
  <c r="A955" i="34"/>
  <c r="A959" i="34"/>
  <c r="A963" i="34"/>
  <c r="A967" i="34"/>
  <c r="A971" i="34"/>
  <c r="A975" i="34"/>
  <c r="A979" i="34"/>
  <c r="A983" i="34"/>
  <c r="A998" i="34"/>
  <c r="A1299" i="34"/>
  <c r="A1495" i="34"/>
  <c r="A1004" i="34"/>
  <c r="A1024" i="34"/>
  <c r="A1028" i="34"/>
  <c r="A1040" i="34"/>
  <c r="A1152" i="34"/>
  <c r="A1296" i="34"/>
  <c r="A1303" i="34"/>
  <c r="A1316" i="34"/>
  <c r="A1334" i="34"/>
  <c r="A1409" i="34"/>
  <c r="A1420" i="34"/>
  <c r="A1521" i="34"/>
  <c r="A1530" i="34"/>
  <c r="A717" i="34"/>
  <c r="A456" i="34"/>
  <c r="A461" i="34"/>
  <c r="A465" i="34"/>
  <c r="A470" i="34"/>
  <c r="A475" i="34"/>
  <c r="A479" i="34"/>
  <c r="A483" i="34"/>
  <c r="A487" i="34"/>
  <c r="A491" i="34"/>
  <c r="A517" i="34"/>
  <c r="A910" i="34"/>
  <c r="A914" i="34"/>
  <c r="A919" i="34"/>
  <c r="A924" i="34"/>
  <c r="A720" i="34"/>
  <c r="A320" i="34"/>
  <c r="A324" i="34"/>
  <c r="A328" i="34"/>
  <c r="A332" i="34"/>
  <c r="A339" i="34"/>
  <c r="A343" i="34"/>
  <c r="A347" i="34"/>
  <c r="A351" i="34"/>
  <c r="A449" i="34"/>
  <c r="A453" i="34"/>
  <c r="A930" i="34"/>
  <c r="A934" i="34"/>
  <c r="A173" i="34"/>
  <c r="A182" i="34"/>
  <c r="A186" i="34"/>
  <c r="A193" i="34"/>
  <c r="A197" i="34"/>
  <c r="A201" i="34"/>
  <c r="A219" i="34"/>
  <c r="A223" i="34"/>
  <c r="A314" i="34"/>
  <c r="A318" i="34"/>
  <c r="A495" i="34"/>
  <c r="A499" i="34"/>
  <c r="A529" i="34"/>
  <c r="A533" i="34"/>
  <c r="A561" i="34"/>
  <c r="A565" i="34"/>
  <c r="A569" i="34"/>
  <c r="A598" i="34"/>
  <c r="A602" i="34"/>
  <c r="A623" i="34"/>
  <c r="A627" i="34"/>
  <c r="A642" i="34"/>
  <c r="A646" i="34"/>
  <c r="A652" i="34"/>
  <c r="A656" i="34"/>
  <c r="A660" i="34"/>
  <c r="A674" i="34"/>
  <c r="A678" i="34"/>
  <c r="A704" i="34"/>
  <c r="A107" i="34"/>
  <c r="A115" i="34"/>
  <c r="A119" i="34"/>
  <c r="A140" i="34"/>
  <c r="A144" i="34"/>
  <c r="A148" i="34"/>
  <c r="A155" i="34"/>
  <c r="A159" i="34"/>
  <c r="A170" i="34"/>
  <c r="A1726" i="34"/>
  <c r="A1583" i="34"/>
  <c r="A938" i="34"/>
  <c r="A950" i="34"/>
  <c r="A958" i="34"/>
  <c r="A1571" i="34"/>
  <c r="A1581" i="34"/>
  <c r="A1725" i="34"/>
  <c r="A1325" i="34"/>
  <c r="A940" i="34"/>
  <c r="A944" i="34"/>
  <c r="A948" i="34"/>
  <c r="A952" i="34"/>
  <c r="A956" i="34"/>
  <c r="A960" i="34"/>
  <c r="A964" i="34"/>
  <c r="A968" i="34"/>
  <c r="A972" i="34"/>
  <c r="A976" i="34"/>
  <c r="A980" i="34"/>
  <c r="A984" i="34"/>
  <c r="A999" i="34"/>
  <c r="A1295" i="34"/>
  <c r="A1723" i="34"/>
  <c r="A1005" i="34"/>
  <c r="A1025" i="34"/>
  <c r="A1037" i="34"/>
  <c r="A1076" i="34"/>
  <c r="A1153" i="34"/>
  <c r="A1297" i="34"/>
  <c r="A1304" i="34"/>
  <c r="A1330" i="34"/>
  <c r="A1353" i="34"/>
  <c r="A1410" i="34"/>
  <c r="A1507" i="34"/>
  <c r="A1527" i="34"/>
  <c r="A1532" i="34"/>
  <c r="A333" i="34"/>
  <c r="A458" i="34"/>
  <c r="A462" i="34"/>
  <c r="A466" i="34"/>
  <c r="A471" i="34"/>
  <c r="A476" i="34"/>
  <c r="A480" i="34"/>
  <c r="A484" i="34"/>
  <c r="A488" i="34"/>
  <c r="A492" i="34"/>
  <c r="A524" i="34"/>
  <c r="A911" i="34"/>
  <c r="A916" i="34"/>
  <c r="A920" i="34"/>
  <c r="A925" i="34"/>
  <c r="A721" i="34"/>
  <c r="A321" i="34"/>
  <c r="A325" i="34"/>
  <c r="A329" i="34"/>
  <c r="A336" i="34"/>
  <c r="A340" i="34"/>
  <c r="A344" i="34"/>
  <c r="A348" i="34"/>
  <c r="A352" i="34"/>
  <c r="A450" i="34"/>
  <c r="A454" i="34"/>
  <c r="A931" i="34"/>
  <c r="A935" i="34"/>
  <c r="A174" i="34"/>
  <c r="A183" i="34"/>
  <c r="A187" i="34"/>
  <c r="A194" i="34"/>
  <c r="A198" i="34"/>
  <c r="A216" i="34"/>
  <c r="A220" i="34"/>
  <c r="A224" i="34"/>
  <c r="A315" i="34"/>
  <c r="A319" i="34"/>
  <c r="A496" i="34"/>
  <c r="A500" i="34"/>
  <c r="A530" i="34"/>
  <c r="A534" i="34"/>
  <c r="A562" i="34"/>
  <c r="A566" i="34"/>
  <c r="A595" i="34"/>
  <c r="A599" i="34"/>
  <c r="A603" i="34"/>
  <c r="A624" i="34"/>
  <c r="A628" i="34"/>
  <c r="A643" i="34"/>
  <c r="A647" i="34"/>
  <c r="A653" i="34"/>
  <c r="A657" i="34"/>
  <c r="A671" i="34"/>
  <c r="A675" i="34"/>
  <c r="A679" i="34"/>
  <c r="A103" i="34"/>
  <c r="A108" i="34"/>
  <c r="A116" i="34"/>
  <c r="A120" i="34"/>
  <c r="A141" i="34"/>
  <c r="A145" i="34"/>
  <c r="A152" i="34"/>
  <c r="A156" i="34"/>
  <c r="A167" i="34"/>
  <c r="A171" i="34"/>
  <c r="A1354" i="34"/>
  <c r="A941" i="34"/>
  <c r="A945" i="34"/>
  <c r="A949" i="34"/>
  <c r="A953" i="34"/>
  <c r="A957" i="34"/>
  <c r="A961" i="34"/>
  <c r="A965" i="34"/>
  <c r="A969" i="34"/>
  <c r="A973" i="34"/>
  <c r="A977" i="34"/>
  <c r="A981" i="34"/>
  <c r="A985" i="34"/>
  <c r="A1000" i="34"/>
  <c r="A1496" i="34"/>
  <c r="A1724" i="34"/>
  <c r="A1022" i="34"/>
  <c r="A1026" i="34"/>
  <c r="A1038" i="34"/>
  <c r="A1108" i="34"/>
  <c r="A1151" i="34"/>
  <c r="A1301" i="34"/>
  <c r="A1305" i="34"/>
  <c r="A1331" i="34"/>
  <c r="A1351" i="34"/>
  <c r="A1411" i="34"/>
  <c r="A1519" i="34"/>
  <c r="A1528" i="34"/>
  <c r="A1534" i="34"/>
  <c r="A334" i="34"/>
  <c r="A459" i="34"/>
  <c r="A463" i="34"/>
  <c r="A467" i="34"/>
  <c r="A472" i="34"/>
  <c r="A477" i="34"/>
  <c r="A481" i="34"/>
  <c r="A485" i="34"/>
  <c r="A489" i="34"/>
  <c r="A515" i="34"/>
  <c r="A525" i="34"/>
  <c r="A912" i="34"/>
  <c r="A917" i="34"/>
  <c r="A922" i="34"/>
  <c r="A926" i="34"/>
  <c r="A722" i="34"/>
  <c r="A322" i="34"/>
  <c r="A326" i="34"/>
  <c r="A330" i="34"/>
  <c r="A337" i="34"/>
  <c r="A341" i="34"/>
  <c r="A345" i="34"/>
  <c r="A349" i="34"/>
  <c r="A353" i="34"/>
  <c r="A451" i="34"/>
  <c r="A928" i="34"/>
  <c r="A932" i="34"/>
  <c r="A936" i="34"/>
  <c r="A175" i="34"/>
  <c r="A184" i="34"/>
  <c r="A188" i="34"/>
  <c r="A195" i="34"/>
  <c r="A199" i="34"/>
  <c r="A217" i="34"/>
  <c r="A221" i="34"/>
  <c r="A312" i="34"/>
  <c r="A316" i="34"/>
  <c r="A493" i="34"/>
  <c r="A497" i="34"/>
  <c r="A501" i="34"/>
  <c r="A531" i="34"/>
  <c r="A535" i="34"/>
  <c r="A563" i="34"/>
  <c r="A567" i="34"/>
  <c r="A596" i="34"/>
  <c r="A600" i="34"/>
  <c r="A621" i="34"/>
  <c r="A625" i="34"/>
  <c r="A629" i="34"/>
  <c r="A644" i="34"/>
  <c r="A648" i="34"/>
  <c r="A654" i="34"/>
  <c r="A658" i="34"/>
  <c r="A672" i="34"/>
  <c r="A676" i="34"/>
  <c r="A702" i="34"/>
  <c r="A104" i="34"/>
  <c r="A110" i="34"/>
  <c r="A117" i="34"/>
  <c r="A121" i="34"/>
  <c r="A142" i="34"/>
  <c r="A146" i="34"/>
  <c r="A153" i="34"/>
  <c r="A157" i="34"/>
  <c r="A168" i="34"/>
  <c r="A172" i="34"/>
  <c r="A1582" i="34"/>
  <c r="A1597" i="34"/>
  <c r="A942" i="34"/>
  <c r="A954" i="34"/>
  <c r="A966" i="34"/>
  <c r="A970" i="34"/>
  <c r="A974" i="34"/>
  <c r="A978" i="34"/>
  <c r="A982" i="34"/>
  <c r="A986" i="34"/>
  <c r="A1298" i="34"/>
  <c r="A1497" i="34"/>
  <c r="A1719" i="34"/>
  <c r="A1023" i="34"/>
  <c r="A1027" i="34"/>
  <c r="A1039" i="34"/>
  <c r="A1109" i="34"/>
  <c r="A1280" i="34"/>
  <c r="A1302" i="34"/>
  <c r="A1315" i="34"/>
  <c r="A1332" i="34"/>
  <c r="A1352" i="34"/>
  <c r="A1412" i="34"/>
  <c r="A1520" i="34"/>
  <c r="A1529" i="34"/>
  <c r="A706" i="34"/>
  <c r="A455" i="34"/>
  <c r="A460" i="34"/>
  <c r="A464" i="34"/>
  <c r="A468" i="34"/>
  <c r="A473" i="34"/>
  <c r="A478" i="34"/>
  <c r="A482" i="34"/>
  <c r="A486" i="34"/>
  <c r="A490" i="34"/>
  <c r="A516" i="34"/>
  <c r="A909" i="34"/>
  <c r="A913" i="34"/>
  <c r="A918" i="34"/>
  <c r="A923" i="34"/>
  <c r="A719" i="34"/>
  <c r="A723" i="34"/>
  <c r="A323" i="34"/>
  <c r="A327" i="34"/>
  <c r="A331" i="34"/>
  <c r="A338" i="34"/>
  <c r="A342" i="34"/>
  <c r="A346" i="34"/>
  <c r="A350" i="34"/>
  <c r="A354" i="34"/>
  <c r="A452" i="34"/>
  <c r="A929" i="34"/>
  <c r="A933" i="34"/>
  <c r="A937" i="34"/>
  <c r="A181" i="34"/>
  <c r="A185" i="34"/>
  <c r="A189" i="34"/>
  <c r="A196" i="34"/>
  <c r="A200" i="34"/>
  <c r="A218" i="34"/>
  <c r="A222" i="34"/>
  <c r="A313" i="34"/>
  <c r="A317" i="34"/>
  <c r="A494" i="34"/>
  <c r="A498" i="34"/>
  <c r="A528" i="34"/>
  <c r="A532" i="34"/>
  <c r="A536" i="34"/>
  <c r="A564" i="34"/>
  <c r="A568" i="34"/>
  <c r="A597" i="34"/>
  <c r="A601" i="34"/>
  <c r="A622" i="34"/>
  <c r="A626" i="34"/>
  <c r="A641" i="34"/>
  <c r="A645" i="34"/>
  <c r="A649" i="34"/>
  <c r="A655" i="34"/>
  <c r="A659" i="34"/>
  <c r="A673" i="34"/>
  <c r="A677" i="34"/>
  <c r="A703" i="34"/>
  <c r="A105" i="34"/>
  <c r="A111" i="34"/>
  <c r="A118" i="34"/>
  <c r="A122" i="34"/>
  <c r="A143" i="34"/>
  <c r="A147" i="34"/>
  <c r="A154" i="34"/>
  <c r="A158" i="34"/>
  <c r="A169" i="34"/>
  <c r="K57" i="34"/>
  <c r="K58" i="34"/>
  <c r="K86" i="34"/>
  <c r="Y9" i="60"/>
  <c r="Y8" i="60"/>
  <c r="A993" i="34"/>
  <c r="A58" i="34"/>
  <c r="A57" i="34"/>
  <c r="A86" i="34"/>
  <c r="A504" i="34"/>
  <c r="T93" i="60"/>
  <c r="C93" i="60"/>
  <c r="T92" i="60"/>
  <c r="C92" i="60"/>
  <c r="T91" i="60"/>
  <c r="C91" i="60"/>
  <c r="T90" i="60"/>
  <c r="C90" i="60"/>
  <c r="T7" i="60"/>
  <c r="C7" i="60"/>
  <c r="K617" i="34"/>
  <c r="K604" i="34"/>
  <c r="A1522" i="34"/>
  <c r="A1585" i="34"/>
  <c r="A1682" i="34"/>
  <c r="A1598" i="34"/>
  <c r="A1006" i="34"/>
  <c r="A1421" i="34"/>
  <c r="T42" i="60"/>
  <c r="C42" i="60"/>
  <c r="T37" i="60"/>
  <c r="C37" i="60"/>
  <c r="T38" i="60"/>
  <c r="C38" i="60"/>
  <c r="T39" i="60"/>
  <c r="C39" i="60"/>
  <c r="T40" i="60"/>
  <c r="C40" i="60"/>
  <c r="T41" i="60"/>
  <c r="C41" i="60"/>
  <c r="T43" i="60"/>
  <c r="C43" i="60"/>
  <c r="T45" i="60"/>
  <c r="C45" i="60"/>
  <c r="T46" i="60"/>
  <c r="C46" i="60"/>
  <c r="T47" i="60"/>
  <c r="C47" i="60"/>
  <c r="T48" i="60"/>
  <c r="C48" i="60"/>
  <c r="T49" i="60"/>
  <c r="C49" i="60"/>
  <c r="T44" i="60"/>
  <c r="C44" i="60"/>
  <c r="Y155" i="60"/>
  <c r="T155" i="60"/>
  <c r="C155" i="60"/>
  <c r="Y154" i="60"/>
  <c r="T154" i="60"/>
  <c r="C154" i="60"/>
  <c r="Y153" i="60"/>
  <c r="T153" i="60"/>
  <c r="C153" i="60"/>
  <c r="Y152" i="60"/>
  <c r="T152" i="60"/>
  <c r="C152" i="60"/>
  <c r="Y151" i="60"/>
  <c r="T151" i="60"/>
  <c r="C151" i="60"/>
  <c r="Y150" i="60"/>
  <c r="T150" i="60"/>
  <c r="C150" i="60"/>
  <c r="Y149" i="60"/>
  <c r="T149" i="60"/>
  <c r="C149" i="60"/>
  <c r="Y148" i="60"/>
  <c r="T148" i="60"/>
  <c r="C148" i="60"/>
  <c r="Y147" i="60"/>
  <c r="T147" i="60"/>
  <c r="C147" i="60"/>
  <c r="Y146" i="60"/>
  <c r="T146" i="60"/>
  <c r="C146" i="60"/>
  <c r="Y145" i="60"/>
  <c r="T145" i="60"/>
  <c r="C145" i="60"/>
  <c r="Y144" i="60"/>
  <c r="T144" i="60"/>
  <c r="C144" i="60"/>
  <c r="Y143" i="60"/>
  <c r="T143" i="60"/>
  <c r="C143" i="60"/>
  <c r="Y142" i="60"/>
  <c r="T142" i="60"/>
  <c r="C142" i="60"/>
  <c r="Y141" i="60"/>
  <c r="T141" i="60"/>
  <c r="C141" i="60"/>
  <c r="Y140" i="60"/>
  <c r="T140" i="60"/>
  <c r="C140" i="60"/>
  <c r="Y139" i="60"/>
  <c r="T139" i="60"/>
  <c r="C139" i="60"/>
  <c r="Y138" i="60"/>
  <c r="T138" i="60"/>
  <c r="C138" i="60"/>
  <c r="Y137" i="60"/>
  <c r="T137" i="60"/>
  <c r="C137" i="60"/>
  <c r="Y136" i="60"/>
  <c r="T136" i="60"/>
  <c r="C136" i="60"/>
  <c r="Y135" i="60"/>
  <c r="T135" i="60"/>
  <c r="C135" i="60"/>
  <c r="Y134" i="60"/>
  <c r="T134" i="60"/>
  <c r="C134" i="60"/>
  <c r="Y133" i="60"/>
  <c r="T133" i="60"/>
  <c r="C133" i="60"/>
  <c r="Y132" i="60"/>
  <c r="T132" i="60"/>
  <c r="C132" i="60"/>
  <c r="Y131" i="60"/>
  <c r="T131" i="60"/>
  <c r="C131" i="60"/>
  <c r="Y130" i="60"/>
  <c r="T130" i="60"/>
  <c r="C130" i="60"/>
  <c r="Y129" i="60"/>
  <c r="T129" i="60"/>
  <c r="C129" i="60"/>
  <c r="Y128" i="60"/>
  <c r="T128" i="60"/>
  <c r="C128" i="60"/>
  <c r="Y127" i="60"/>
  <c r="T127" i="60"/>
  <c r="C127" i="60"/>
  <c r="Y126" i="60"/>
  <c r="T126" i="60"/>
  <c r="C126" i="60"/>
  <c r="Y125" i="60"/>
  <c r="T125" i="60"/>
  <c r="C125" i="60"/>
  <c r="Y124" i="60"/>
  <c r="T124" i="60"/>
  <c r="C124" i="60"/>
  <c r="Y123" i="60"/>
  <c r="T123" i="60"/>
  <c r="C123" i="60"/>
  <c r="Y122" i="60"/>
  <c r="T122" i="60"/>
  <c r="C122" i="60"/>
  <c r="Y121" i="60"/>
  <c r="T121" i="60"/>
  <c r="C121" i="60"/>
  <c r="Y120" i="60"/>
  <c r="T120" i="60"/>
  <c r="C120" i="60"/>
  <c r="Y119" i="60"/>
  <c r="T119" i="60"/>
  <c r="C119" i="60"/>
  <c r="Y118" i="60"/>
  <c r="T118" i="60"/>
  <c r="C118" i="60"/>
  <c r="Y117" i="60"/>
  <c r="T117" i="60"/>
  <c r="C117" i="60"/>
  <c r="Y116" i="60"/>
  <c r="T116" i="60"/>
  <c r="C116" i="60"/>
  <c r="Y115" i="60"/>
  <c r="T115" i="60"/>
  <c r="C115" i="60"/>
  <c r="Y114" i="60"/>
  <c r="T114" i="60"/>
  <c r="C114" i="60"/>
  <c r="Y113" i="60"/>
  <c r="T113" i="60"/>
  <c r="C113" i="60"/>
  <c r="Y112" i="60"/>
  <c r="T112" i="60"/>
  <c r="C112" i="60"/>
  <c r="Y111" i="60"/>
  <c r="T111" i="60"/>
  <c r="C111" i="60"/>
  <c r="Y110" i="60"/>
  <c r="T110" i="60"/>
  <c r="C110" i="60"/>
  <c r="Y109" i="60"/>
  <c r="T109" i="60"/>
  <c r="C109" i="60"/>
  <c r="Y108" i="60"/>
  <c r="T108" i="60"/>
  <c r="C108" i="60"/>
  <c r="Y107" i="60"/>
  <c r="T107" i="60"/>
  <c r="C107" i="60"/>
  <c r="Y106" i="60"/>
  <c r="T106" i="60"/>
  <c r="C106" i="60"/>
  <c r="Y105" i="60"/>
  <c r="T105" i="60"/>
  <c r="C105" i="60"/>
  <c r="Y104" i="60"/>
  <c r="T104" i="60"/>
  <c r="C104" i="60"/>
  <c r="Y103" i="60"/>
  <c r="T103" i="60"/>
  <c r="C103" i="60"/>
  <c r="Y102" i="60"/>
  <c r="T102" i="60"/>
  <c r="C102" i="60"/>
  <c r="Y101" i="60"/>
  <c r="T101" i="60"/>
  <c r="C101" i="60"/>
  <c r="Y100" i="60"/>
  <c r="T100" i="60"/>
  <c r="C100" i="60"/>
  <c r="Y99" i="60"/>
  <c r="T99" i="60"/>
  <c r="C99" i="60"/>
  <c r="Y98" i="60"/>
  <c r="C98" i="60"/>
  <c r="Y97" i="60"/>
  <c r="T97" i="60"/>
  <c r="C97" i="60"/>
  <c r="Y96" i="60"/>
  <c r="T96" i="60"/>
  <c r="C96" i="60"/>
  <c r="Y95" i="60"/>
  <c r="T95" i="60"/>
  <c r="C95" i="60"/>
  <c r="Y94" i="60"/>
  <c r="T94" i="60"/>
  <c r="C94" i="60"/>
  <c r="Y93" i="60"/>
  <c r="Y92" i="60"/>
  <c r="Y91" i="60"/>
  <c r="Y90" i="60"/>
  <c r="Y89" i="60"/>
  <c r="T89" i="60"/>
  <c r="C89" i="60"/>
  <c r="Y88" i="60"/>
  <c r="T88" i="60"/>
  <c r="C88" i="60"/>
  <c r="Y168" i="60"/>
  <c r="T168" i="60"/>
  <c r="C168" i="60"/>
  <c r="Y167" i="60"/>
  <c r="T167" i="60"/>
  <c r="C167" i="60"/>
  <c r="Y166" i="60"/>
  <c r="T166" i="60"/>
  <c r="C166" i="60"/>
  <c r="Y165" i="60"/>
  <c r="T165" i="60"/>
  <c r="C165" i="60"/>
  <c r="Y164" i="60"/>
  <c r="T164" i="60"/>
  <c r="C164" i="60"/>
  <c r="Y163" i="60"/>
  <c r="T163" i="60"/>
  <c r="C163" i="60"/>
  <c r="Y162" i="60"/>
  <c r="T162" i="60"/>
  <c r="C162" i="60"/>
  <c r="Y161" i="60"/>
  <c r="T161" i="60"/>
  <c r="C161" i="60"/>
  <c r="Y160" i="60"/>
  <c r="T160" i="60"/>
  <c r="C160" i="60"/>
  <c r="Y159" i="60"/>
  <c r="T159" i="60"/>
  <c r="C159" i="60"/>
  <c r="Y158" i="60"/>
  <c r="T158" i="60"/>
  <c r="C158" i="60"/>
  <c r="Y157" i="60"/>
  <c r="T157" i="60"/>
  <c r="C157" i="60"/>
  <c r="Y156" i="60"/>
  <c r="T156" i="60"/>
  <c r="C156" i="60"/>
  <c r="Y56" i="60"/>
  <c r="T56" i="60"/>
  <c r="C56" i="60"/>
  <c r="Y55" i="60"/>
  <c r="T55" i="60"/>
  <c r="C55" i="60"/>
  <c r="Y54" i="60"/>
  <c r="T54" i="60"/>
  <c r="C54" i="60"/>
  <c r="Y53" i="60"/>
  <c r="T53" i="60"/>
  <c r="C53" i="60"/>
  <c r="Y52" i="60"/>
  <c r="T52" i="60"/>
  <c r="C52" i="60"/>
  <c r="Y51" i="60"/>
  <c r="T51" i="60"/>
  <c r="C51" i="60"/>
  <c r="Y50" i="60"/>
  <c r="T50" i="60"/>
  <c r="C50" i="60"/>
  <c r="Y49" i="60"/>
  <c r="Y48" i="60"/>
  <c r="Y47" i="60"/>
  <c r="Y46" i="60"/>
  <c r="Y45" i="60"/>
  <c r="Y44" i="60"/>
  <c r="Y43" i="60"/>
  <c r="Y42" i="60"/>
  <c r="Y41" i="60"/>
  <c r="Y40" i="60"/>
  <c r="Y39" i="60"/>
  <c r="Y38" i="60"/>
  <c r="Y37" i="60"/>
  <c r="Y36" i="60"/>
  <c r="T36" i="60"/>
  <c r="C36" i="60"/>
  <c r="Y35" i="60"/>
  <c r="T35" i="60"/>
  <c r="C35" i="60"/>
  <c r="Y34" i="60"/>
  <c r="T34" i="60"/>
  <c r="C34" i="60"/>
  <c r="Y33" i="60"/>
  <c r="T33" i="60"/>
  <c r="C33" i="60"/>
  <c r="Y80" i="60"/>
  <c r="T80" i="60"/>
  <c r="C80" i="60"/>
  <c r="Y79" i="60"/>
  <c r="T79" i="60"/>
  <c r="C79" i="60"/>
  <c r="Y78" i="60"/>
  <c r="T78" i="60"/>
  <c r="C78" i="60"/>
  <c r="Y77" i="60"/>
  <c r="T77" i="60"/>
  <c r="C77" i="60"/>
  <c r="Y76" i="60"/>
  <c r="T76" i="60"/>
  <c r="C76" i="60"/>
  <c r="Y75" i="60"/>
  <c r="T75" i="60"/>
  <c r="C75" i="60"/>
  <c r="Y74" i="60"/>
  <c r="T74" i="60"/>
  <c r="C74" i="60"/>
  <c r="Y73" i="60"/>
  <c r="T73" i="60"/>
  <c r="C73" i="60"/>
  <c r="Y72" i="60"/>
  <c r="T72" i="60"/>
  <c r="C72" i="60"/>
  <c r="Y71" i="60"/>
  <c r="T71" i="60"/>
  <c r="C71" i="60"/>
  <c r="Y70" i="60"/>
  <c r="T70" i="60"/>
  <c r="C70" i="60"/>
  <c r="Y69" i="60"/>
  <c r="T69" i="60"/>
  <c r="C69" i="60"/>
  <c r="Y68" i="60"/>
  <c r="T68" i="60"/>
  <c r="C68" i="60"/>
  <c r="Y67" i="60"/>
  <c r="T67" i="60"/>
  <c r="C67" i="60"/>
  <c r="Y66" i="60"/>
  <c r="T66" i="60"/>
  <c r="C66" i="60"/>
  <c r="Y65" i="60"/>
  <c r="T65" i="60"/>
  <c r="C65" i="60"/>
  <c r="Y64" i="60"/>
  <c r="T64" i="60"/>
  <c r="C64" i="60"/>
  <c r="Y63" i="60"/>
  <c r="T63" i="60"/>
  <c r="C63" i="60"/>
  <c r="Y62" i="60"/>
  <c r="T62" i="60"/>
  <c r="C62" i="60"/>
  <c r="Y61" i="60"/>
  <c r="T61" i="60"/>
  <c r="C61" i="60"/>
  <c r="Y60" i="60"/>
  <c r="T60" i="60"/>
  <c r="C60" i="60"/>
  <c r="Y59" i="60"/>
  <c r="T59" i="60"/>
  <c r="C59" i="60"/>
  <c r="Y58" i="60"/>
  <c r="T58" i="60"/>
  <c r="C58" i="60"/>
  <c r="Y57" i="60"/>
  <c r="T57" i="60"/>
  <c r="C57" i="60"/>
  <c r="Y32" i="60"/>
  <c r="T32" i="60"/>
  <c r="C32" i="60"/>
  <c r="Y31" i="60"/>
  <c r="T31" i="60"/>
  <c r="C31" i="60"/>
  <c r="Y30" i="60"/>
  <c r="T30" i="60"/>
  <c r="C30" i="60"/>
  <c r="Y29" i="60"/>
  <c r="T29" i="60"/>
  <c r="C29" i="60"/>
  <c r="Y28" i="60"/>
  <c r="T28" i="60"/>
  <c r="C28" i="60"/>
  <c r="Y27" i="60"/>
  <c r="T27" i="60"/>
  <c r="C27" i="60"/>
  <c r="Y26" i="60"/>
  <c r="T26" i="60"/>
  <c r="C26" i="60"/>
  <c r="Y25" i="60"/>
  <c r="T25" i="60"/>
  <c r="C25" i="60"/>
  <c r="Y24" i="60"/>
  <c r="T24" i="60"/>
  <c r="C24" i="60"/>
  <c r="Y23" i="60"/>
  <c r="T23" i="60"/>
  <c r="C23" i="60"/>
  <c r="Y22" i="60"/>
  <c r="T22" i="60"/>
  <c r="C22" i="60"/>
  <c r="Y21" i="60"/>
  <c r="T21" i="60"/>
  <c r="C21" i="60"/>
  <c r="Y20" i="60"/>
  <c r="T20" i="60"/>
  <c r="C20" i="60"/>
  <c r="Y19" i="60"/>
  <c r="T19" i="60"/>
  <c r="C19" i="60"/>
  <c r="Y18" i="60"/>
  <c r="T18" i="60"/>
  <c r="C18" i="60"/>
  <c r="Y17" i="60"/>
  <c r="T17" i="60"/>
  <c r="C17" i="60"/>
  <c r="Y16" i="60"/>
  <c r="T16" i="60"/>
  <c r="C16" i="60"/>
  <c r="Y15" i="60"/>
  <c r="T15" i="60"/>
  <c r="C15" i="60"/>
  <c r="Y14" i="60"/>
  <c r="T14" i="60"/>
  <c r="C14" i="60"/>
  <c r="Y13" i="60"/>
  <c r="T13" i="60"/>
  <c r="C13" i="60"/>
  <c r="Y12" i="60"/>
  <c r="T12" i="60"/>
  <c r="C12" i="60"/>
  <c r="Y11" i="60"/>
  <c r="T11" i="60"/>
  <c r="C11" i="60"/>
  <c r="Y10" i="60"/>
  <c r="T10" i="60"/>
  <c r="C10" i="60"/>
  <c r="T9" i="60"/>
  <c r="C9" i="60"/>
  <c r="Y87" i="60"/>
  <c r="T87" i="60"/>
  <c r="C87" i="60"/>
  <c r="B482" i="55"/>
  <c r="A7" i="60"/>
  <c r="A8" i="60"/>
  <c r="A9" i="60"/>
  <c r="A10" i="60"/>
  <c r="I18" i="54"/>
  <c r="A24" i="34"/>
  <c r="N11" i="34"/>
  <c r="N12" i="34"/>
  <c r="N13" i="34"/>
  <c r="N10" i="3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A92" i="14"/>
  <c r="E92" i="14"/>
  <c r="B93" i="14"/>
  <c r="F93" i="14"/>
  <c r="B92" i="14"/>
  <c r="C93" i="14"/>
  <c r="G93" i="14"/>
  <c r="G91" i="14"/>
  <c r="G92" i="14"/>
  <c r="D92" i="14"/>
  <c r="E93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F92" i="14"/>
  <c r="F90" i="14"/>
  <c r="C92" i="14"/>
  <c r="A93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C91" i="14"/>
  <c r="D93" i="14"/>
  <c r="D79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E65" i="14"/>
  <c r="B66" i="14"/>
  <c r="F66" i="14"/>
  <c r="C67" i="14"/>
  <c r="G67" i="14"/>
  <c r="D68" i="14"/>
  <c r="E69" i="14"/>
  <c r="B70" i="14"/>
  <c r="F70" i="14"/>
  <c r="C71" i="14"/>
  <c r="G71" i="14"/>
  <c r="D72" i="14"/>
  <c r="E73" i="14"/>
  <c r="B74" i="14"/>
  <c r="C75" i="14"/>
  <c r="D76" i="14"/>
  <c r="B78" i="14"/>
  <c r="G70" i="14"/>
  <c r="E72" i="14"/>
  <c r="B73" i="14"/>
  <c r="G74" i="14"/>
  <c r="E76" i="14"/>
  <c r="F77" i="14"/>
  <c r="G78" i="14"/>
  <c r="G73" i="14"/>
  <c r="F76" i="14"/>
  <c r="B65" i="14"/>
  <c r="F65" i="14"/>
  <c r="C66" i="14"/>
  <c r="G66" i="14"/>
  <c r="D67" i="14"/>
  <c r="E68" i="14"/>
  <c r="B69" i="14"/>
  <c r="F69" i="14"/>
  <c r="C70" i="14"/>
  <c r="D71" i="14"/>
  <c r="F73" i="14"/>
  <c r="C78" i="14"/>
  <c r="C73" i="14"/>
  <c r="B76" i="14"/>
  <c r="G77" i="14"/>
  <c r="C65" i="14"/>
  <c r="G65" i="14"/>
  <c r="D66" i="14"/>
  <c r="E67" i="14"/>
  <c r="B68" i="14"/>
  <c r="F68" i="14"/>
  <c r="C69" i="14"/>
  <c r="G69" i="14"/>
  <c r="D70" i="14"/>
  <c r="E71" i="14"/>
  <c r="B72" i="14"/>
  <c r="D74" i="14"/>
  <c r="D78" i="14"/>
  <c r="D65" i="14"/>
  <c r="E66" i="14"/>
  <c r="B67" i="14"/>
  <c r="F67" i="14"/>
  <c r="C68" i="14"/>
  <c r="G68" i="14"/>
  <c r="D69" i="14"/>
  <c r="E70" i="14"/>
  <c r="B71" i="14"/>
  <c r="F71" i="14"/>
  <c r="C72" i="14"/>
  <c r="G72" i="14"/>
  <c r="D73" i="14"/>
  <c r="E74" i="14"/>
  <c r="B75" i="14"/>
  <c r="F75" i="14"/>
  <c r="C76" i="14"/>
  <c r="G76" i="14"/>
  <c r="D77" i="14"/>
  <c r="E78" i="14"/>
  <c r="F74" i="14"/>
  <c r="G75" i="14"/>
  <c r="E77" i="14"/>
  <c r="F78" i="14"/>
  <c r="C74" i="14"/>
  <c r="D75" i="14"/>
  <c r="B77" i="14"/>
  <c r="F72" i="14"/>
  <c r="E75" i="14"/>
  <c r="C77" i="14"/>
  <c r="E50" i="14"/>
  <c r="B51" i="14"/>
  <c r="F51" i="14"/>
  <c r="C52" i="14"/>
  <c r="G52" i="14"/>
  <c r="D53" i="14"/>
  <c r="E54" i="14"/>
  <c r="B55" i="14"/>
  <c r="F55" i="14"/>
  <c r="C56" i="14"/>
  <c r="G56" i="14"/>
  <c r="D57" i="14"/>
  <c r="E58" i="14"/>
  <c r="B59" i="14"/>
  <c r="F59" i="14"/>
  <c r="G60" i="14"/>
  <c r="D61" i="14"/>
  <c r="E62" i="14"/>
  <c r="F63" i="14"/>
  <c r="C64" i="14"/>
  <c r="D56" i="14"/>
  <c r="B58" i="14"/>
  <c r="C59" i="14"/>
  <c r="D60" i="14"/>
  <c r="B62" i="14"/>
  <c r="F62" i="14"/>
  <c r="D64" i="14"/>
  <c r="G58" i="14"/>
  <c r="F61" i="14"/>
  <c r="G62" i="14"/>
  <c r="E64" i="14"/>
  <c r="B50" i="14"/>
  <c r="F50" i="14"/>
  <c r="C51" i="14"/>
  <c r="G51" i="14"/>
  <c r="D52" i="14"/>
  <c r="E53" i="14"/>
  <c r="B54" i="14"/>
  <c r="F54" i="14"/>
  <c r="C55" i="14"/>
  <c r="G55" i="14"/>
  <c r="F58" i="14"/>
  <c r="C63" i="14"/>
  <c r="F57" i="14"/>
  <c r="B61" i="14"/>
  <c r="C50" i="14"/>
  <c r="G50" i="14"/>
  <c r="D51" i="14"/>
  <c r="E52" i="14"/>
  <c r="B53" i="14"/>
  <c r="F53" i="14"/>
  <c r="C54" i="14"/>
  <c r="G54" i="14"/>
  <c r="D55" i="14"/>
  <c r="E56" i="14"/>
  <c r="B57" i="14"/>
  <c r="D59" i="14"/>
  <c r="C62" i="14"/>
  <c r="D50" i="14"/>
  <c r="E51" i="14"/>
  <c r="B52" i="14"/>
  <c r="F52" i="14"/>
  <c r="C53" i="14"/>
  <c r="G53" i="14"/>
  <c r="D54" i="14"/>
  <c r="E55" i="14"/>
  <c r="B56" i="14"/>
  <c r="F56" i="14"/>
  <c r="C57" i="14"/>
  <c r="G57" i="14"/>
  <c r="D58" i="14"/>
  <c r="E59" i="14"/>
  <c r="B60" i="14"/>
  <c r="F60" i="14"/>
  <c r="C61" i="14"/>
  <c r="G61" i="14"/>
  <c r="D62" i="14"/>
  <c r="E63" i="14"/>
  <c r="B64" i="14"/>
  <c r="F64" i="14"/>
  <c r="C60" i="14"/>
  <c r="A62" i="14"/>
  <c r="B63" i="14"/>
  <c r="G64" i="14"/>
  <c r="E57" i="14"/>
  <c r="G59" i="14"/>
  <c r="E61" i="14"/>
  <c r="G63" i="14"/>
  <c r="C58" i="14"/>
  <c r="E60" i="14"/>
  <c r="D63" i="14"/>
  <c r="A503" i="34"/>
  <c r="A987" i="34"/>
  <c r="A502" i="34"/>
  <c r="A992" i="34"/>
  <c r="A96" i="34"/>
  <c r="A97" i="34"/>
  <c r="Y7" i="60"/>
  <c r="T8" i="60"/>
  <c r="C8" i="60"/>
  <c r="T81" i="60"/>
  <c r="C81" i="60"/>
  <c r="Y81" i="60"/>
  <c r="T82" i="60"/>
  <c r="C82" i="60"/>
  <c r="Y82" i="60"/>
  <c r="T83" i="60"/>
  <c r="C83" i="60"/>
  <c r="Y83" i="60"/>
  <c r="T84" i="60"/>
  <c r="C84" i="60"/>
  <c r="Y84" i="60"/>
  <c r="T85" i="60"/>
  <c r="C85" i="60"/>
  <c r="Y85" i="60"/>
  <c r="T86" i="60"/>
  <c r="C86" i="60"/>
  <c r="Y86" i="60"/>
  <c r="Y6" i="60"/>
  <c r="T6" i="60"/>
  <c r="C6" i="60"/>
  <c r="Y180" i="60"/>
  <c r="Y181" i="60"/>
  <c r="Y182" i="60"/>
  <c r="Y183" i="60"/>
  <c r="Y332" i="60"/>
  <c r="Y179" i="60"/>
  <c r="T341" i="60"/>
  <c r="C341" i="60"/>
  <c r="T343" i="60"/>
  <c r="C343" i="60"/>
  <c r="T342" i="60"/>
  <c r="C342" i="60"/>
  <c r="T344" i="60"/>
  <c r="C344" i="60"/>
  <c r="T345" i="60"/>
  <c r="C345" i="60"/>
  <c r="T568" i="60"/>
  <c r="C568" i="60"/>
  <c r="T569" i="60"/>
  <c r="C569" i="60"/>
  <c r="T570" i="60"/>
  <c r="C570" i="60"/>
  <c r="T571" i="60"/>
  <c r="C571" i="60"/>
  <c r="T572" i="60"/>
  <c r="C572" i="60"/>
  <c r="T573" i="60"/>
  <c r="C573" i="60"/>
  <c r="T574" i="60"/>
  <c r="C574" i="60"/>
  <c r="T575" i="60"/>
  <c r="C575" i="60"/>
  <c r="T576" i="60"/>
  <c r="C576" i="60"/>
  <c r="T577" i="60"/>
  <c r="C577" i="60"/>
  <c r="T578" i="60"/>
  <c r="C578" i="60"/>
  <c r="T579" i="60"/>
  <c r="C579" i="60"/>
  <c r="T580" i="60"/>
  <c r="C580" i="60"/>
  <c r="T581" i="60"/>
  <c r="Y341" i="60"/>
  <c r="Y343" i="60"/>
  <c r="Y342" i="60"/>
  <c r="Y344" i="60"/>
  <c r="Y345" i="60"/>
  <c r="Y568" i="60"/>
  <c r="Y569" i="60"/>
  <c r="Y570" i="60"/>
  <c r="Y571" i="60"/>
  <c r="Y572" i="60"/>
  <c r="Y573" i="60"/>
  <c r="Y574" i="60"/>
  <c r="Y575" i="60"/>
  <c r="Y576" i="60"/>
  <c r="Y577" i="60"/>
  <c r="Y578" i="60"/>
  <c r="Y579" i="60"/>
  <c r="Y580" i="60"/>
  <c r="Y581" i="60"/>
  <c r="Y340" i="60"/>
  <c r="T181" i="60"/>
  <c r="C181" i="60"/>
  <c r="T182" i="60"/>
  <c r="C182" i="60"/>
  <c r="T332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T179" i="60"/>
  <c r="T180" i="60"/>
  <c r="C180" i="60"/>
  <c r="T340" i="60"/>
  <c r="C340" i="60"/>
  <c r="A178" i="34"/>
  <c r="A98" i="34"/>
  <c r="C582" i="60"/>
  <c r="T170" i="60"/>
  <c r="Y582" i="60"/>
  <c r="E582" i="60"/>
  <c r="Y333" i="60"/>
  <c r="E333" i="60"/>
  <c r="C179" i="60"/>
  <c r="T333" i="60"/>
  <c r="T582" i="60"/>
  <c r="Y170" i="60"/>
  <c r="E170" i="60"/>
  <c r="C333" i="60"/>
  <c r="C31" i="15"/>
  <c r="C32" i="15"/>
  <c r="P14" i="64"/>
  <c r="Q3" i="56"/>
  <c r="P3" i="56"/>
  <c r="K71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A51" i="14"/>
  <c r="A52" i="14"/>
  <c r="A53" i="14"/>
  <c r="A54" i="14"/>
  <c r="A55" i="14"/>
  <c r="K231" i="34"/>
  <c r="A75" i="14"/>
  <c r="A76" i="14"/>
  <c r="A77" i="14"/>
  <c r="A78" i="14"/>
  <c r="A79" i="14"/>
  <c r="A70" i="14"/>
  <c r="A71" i="14"/>
  <c r="A72" i="14"/>
  <c r="A73" i="14"/>
  <c r="A74" i="14"/>
  <c r="A64" i="14"/>
  <c r="A65" i="14"/>
  <c r="A66" i="14"/>
  <c r="A67" i="14"/>
  <c r="A68" i="14"/>
  <c r="A69" i="14"/>
  <c r="A63" i="14"/>
  <c r="K124" i="34"/>
  <c r="A56" i="14"/>
  <c r="A57" i="14"/>
  <c r="A58" i="14"/>
  <c r="A59" i="14"/>
  <c r="A60" i="14"/>
  <c r="A49" i="34"/>
  <c r="A50" i="34"/>
  <c r="K44" i="34"/>
  <c r="B147" i="55"/>
  <c r="I64" i="34"/>
  <c r="K76" i="34"/>
  <c r="A50" i="14"/>
  <c r="A61" i="14"/>
  <c r="A80" i="14"/>
  <c r="S10" i="34"/>
  <c r="I19" i="55" a="1"/>
  <c r="I19" i="55"/>
  <c r="G20" i="55" a="1"/>
  <c r="G20" i="55"/>
  <c r="I20" i="55" a="1"/>
  <c r="I20" i="55"/>
  <c r="I21" i="55" a="1"/>
  <c r="I21" i="55"/>
  <c r="G19" i="55" a="1"/>
  <c r="G19" i="55"/>
  <c r="K19" i="55"/>
  <c r="G21" i="55" a="1"/>
  <c r="G21" i="55"/>
  <c r="I245" i="55" a="1"/>
  <c r="I245" i="55"/>
  <c r="I242" i="55" a="1"/>
  <c r="I242" i="55"/>
  <c r="I216" i="55" a="1"/>
  <c r="I216" i="55"/>
  <c r="I400" i="55" a="1"/>
  <c r="I400" i="55"/>
  <c r="I324" i="55" a="1"/>
  <c r="I324" i="55"/>
  <c r="I316" i="55" a="1"/>
  <c r="I316" i="55"/>
  <c r="I296" i="55" a="1"/>
  <c r="I296" i="55"/>
  <c r="I271" i="55" a="1"/>
  <c r="I271" i="55"/>
  <c r="I470" i="55" a="1"/>
  <c r="I470" i="55"/>
  <c r="I462" i="55" a="1"/>
  <c r="I462" i="55"/>
  <c r="I191" i="55" a="1"/>
  <c r="I191" i="55"/>
  <c r="I294" i="55" a="1"/>
  <c r="I294" i="55"/>
  <c r="I466" i="55" a="1"/>
  <c r="I466" i="55"/>
  <c r="I205" i="55" a="1"/>
  <c r="I205" i="55"/>
  <c r="I247" i="55" a="1"/>
  <c r="I247" i="55"/>
  <c r="I404" i="55" a="1"/>
  <c r="I404" i="55"/>
  <c r="I475" i="55" a="1"/>
  <c r="I475" i="55"/>
  <c r="I221" i="55" a="1"/>
  <c r="I221" i="55"/>
  <c r="I458" i="55" a="1"/>
  <c r="I458" i="55"/>
  <c r="I217" i="55" a="1"/>
  <c r="I217" i="55"/>
  <c r="I227" i="55" a="1"/>
  <c r="I227" i="55"/>
  <c r="I220" i="55" a="1"/>
  <c r="I220" i="55"/>
  <c r="I173" i="55" a="1"/>
  <c r="I173" i="55"/>
  <c r="G257" i="55" a="1"/>
  <c r="G257" i="55"/>
  <c r="G243" i="55" a="1"/>
  <c r="G243" i="55"/>
  <c r="G236" i="55" a="1"/>
  <c r="G236" i="55"/>
  <c r="G178" i="55" a="1"/>
  <c r="G178" i="55"/>
  <c r="G325" i="55" a="1"/>
  <c r="G325" i="55"/>
  <c r="G317" i="55" a="1"/>
  <c r="G317" i="55"/>
  <c r="G310" i="55" a="1"/>
  <c r="G310" i="55"/>
  <c r="G295" i="55" a="1"/>
  <c r="G295" i="55"/>
  <c r="G264" i="55" a="1"/>
  <c r="G264" i="55"/>
  <c r="G472" i="55" a="1"/>
  <c r="G472" i="55"/>
  <c r="G463" i="55" a="1"/>
  <c r="G463" i="55"/>
  <c r="G461" i="55" a="1"/>
  <c r="G461" i="55"/>
  <c r="G171" i="55" a="1"/>
  <c r="G171" i="55"/>
  <c r="G208" i="55" a="1"/>
  <c r="G208" i="55"/>
  <c r="G312" i="55" a="1"/>
  <c r="G312" i="55"/>
  <c r="G258" i="55" a="1"/>
  <c r="G258" i="55"/>
  <c r="G291" i="55" a="1"/>
  <c r="G291" i="55"/>
  <c r="G244" i="55" a="1"/>
  <c r="G244" i="55"/>
  <c r="G231" i="55" a="1"/>
  <c r="G231" i="55"/>
  <c r="G477" i="55" a="1"/>
  <c r="G477" i="55"/>
  <c r="G260" i="55" a="1"/>
  <c r="G260" i="55"/>
  <c r="G445" i="55" a="1"/>
  <c r="G445" i="55"/>
  <c r="G446" i="55" a="1"/>
  <c r="G446" i="55"/>
  <c r="G225" i="55" a="1"/>
  <c r="G225" i="55"/>
  <c r="G197" i="55" a="1"/>
  <c r="G197" i="55"/>
  <c r="G241" i="55" a="1"/>
  <c r="G241" i="55"/>
  <c r="G263" i="55" a="1"/>
  <c r="G263" i="55"/>
  <c r="G212" i="55" a="1"/>
  <c r="G212" i="55"/>
  <c r="G469" i="55" a="1"/>
  <c r="G469" i="55"/>
  <c r="G198" i="55" a="1"/>
  <c r="G198" i="55"/>
  <c r="G214" i="55" a="1"/>
  <c r="G214" i="55"/>
  <c r="G184" i="55" a="1"/>
  <c r="G184" i="55"/>
  <c r="G281" i="55" a="1"/>
  <c r="G281" i="55"/>
  <c r="I241" i="55" a="1"/>
  <c r="I241" i="55"/>
  <c r="I212" i="55" a="1"/>
  <c r="I212" i="55"/>
  <c r="I198" i="55" a="1"/>
  <c r="I198" i="55"/>
  <c r="I184" i="55" a="1"/>
  <c r="I184" i="55"/>
  <c r="I176" i="55" a="1"/>
  <c r="I176" i="55"/>
  <c r="I238" i="55" a="1"/>
  <c r="I238" i="55"/>
  <c r="I239" i="55" a="1"/>
  <c r="I239" i="55"/>
  <c r="I257" i="55" a="1"/>
  <c r="I257" i="55"/>
  <c r="I243" i="55" a="1"/>
  <c r="I243" i="55"/>
  <c r="I236" i="55" a="1"/>
  <c r="I236" i="55"/>
  <c r="I178" i="55" a="1"/>
  <c r="I178" i="55"/>
  <c r="I325" i="55" a="1"/>
  <c r="I325" i="55"/>
  <c r="I317" i="55" a="1"/>
  <c r="I317" i="55"/>
  <c r="I310" i="55" a="1"/>
  <c r="I310" i="55"/>
  <c r="I295" i="55" a="1"/>
  <c r="I295" i="55"/>
  <c r="I264" i="55" a="1"/>
  <c r="I264" i="55"/>
  <c r="I472" i="55" a="1"/>
  <c r="I472" i="55"/>
  <c r="I463" i="55" a="1"/>
  <c r="I463" i="55"/>
  <c r="I461" i="55" a="1"/>
  <c r="I461" i="55"/>
  <c r="I171" i="55" a="1"/>
  <c r="I171" i="55"/>
  <c r="I208" i="55" a="1"/>
  <c r="I208" i="55"/>
  <c r="I312" i="55" a="1"/>
  <c r="I312" i="55"/>
  <c r="I258" i="55" a="1"/>
  <c r="I258" i="55"/>
  <c r="I291" i="55" a="1"/>
  <c r="I291" i="55"/>
  <c r="I244" i="55" a="1"/>
  <c r="I244" i="55"/>
  <c r="I231" i="55" a="1"/>
  <c r="I231" i="55"/>
  <c r="I477" i="55" a="1"/>
  <c r="I477" i="55"/>
  <c r="I260" i="55" a="1"/>
  <c r="I260" i="55"/>
  <c r="I445" i="55" a="1"/>
  <c r="I445" i="55"/>
  <c r="I446" i="55" a="1"/>
  <c r="I446" i="55"/>
  <c r="I225" i="55" a="1"/>
  <c r="I225" i="55"/>
  <c r="I197" i="55" a="1"/>
  <c r="I197" i="55"/>
  <c r="G245" i="55" a="1"/>
  <c r="G245" i="55"/>
  <c r="K245" i="55"/>
  <c r="G242" i="55" a="1"/>
  <c r="G242" i="55"/>
  <c r="K242" i="55"/>
  <c r="G216" i="55" a="1"/>
  <c r="G216" i="55"/>
  <c r="K216" i="55"/>
  <c r="G400" i="55" a="1"/>
  <c r="G400" i="55"/>
  <c r="K400" i="55"/>
  <c r="G324" i="55" a="1"/>
  <c r="G324" i="55"/>
  <c r="K324" i="55"/>
  <c r="G316" i="55" a="1"/>
  <c r="G316" i="55"/>
  <c r="K316" i="55"/>
  <c r="G296" i="55" a="1"/>
  <c r="G296" i="55"/>
  <c r="K296" i="55"/>
  <c r="G271" i="55" a="1"/>
  <c r="G271" i="55"/>
  <c r="K271" i="55"/>
  <c r="G470" i="55" a="1"/>
  <c r="G470" i="55"/>
  <c r="K470" i="55"/>
  <c r="G462" i="55" a="1"/>
  <c r="G462" i="55"/>
  <c r="K462" i="55"/>
  <c r="G191" i="55" a="1"/>
  <c r="G191" i="55"/>
  <c r="K191" i="55"/>
  <c r="G294" i="55" a="1"/>
  <c r="G294" i="55"/>
  <c r="K294" i="55"/>
  <c r="G466" i="55" a="1"/>
  <c r="G466" i="55"/>
  <c r="K466" i="55"/>
  <c r="G205" i="55" a="1"/>
  <c r="G205" i="55"/>
  <c r="K205" i="55"/>
  <c r="G247" i="55" a="1"/>
  <c r="G247" i="55"/>
  <c r="K247" i="55"/>
  <c r="G404" i="55" a="1"/>
  <c r="G404" i="55"/>
  <c r="K404" i="55"/>
  <c r="G475" i="55" a="1"/>
  <c r="G475" i="55"/>
  <c r="K475" i="55"/>
  <c r="G221" i="55" a="1"/>
  <c r="G221" i="55"/>
  <c r="K221" i="55"/>
  <c r="G458" i="55" a="1"/>
  <c r="G458" i="55"/>
  <c r="K458" i="55"/>
  <c r="G217" i="55" a="1"/>
  <c r="G217" i="55"/>
  <c r="K217" i="55"/>
  <c r="G227" i="55" a="1"/>
  <c r="G227" i="55"/>
  <c r="K227" i="55"/>
  <c r="G220" i="55" a="1"/>
  <c r="G220" i="55"/>
  <c r="K220" i="55"/>
  <c r="G173" i="55" a="1"/>
  <c r="G173" i="55"/>
  <c r="K173" i="55"/>
  <c r="G276" i="55" a="1"/>
  <c r="G276" i="55"/>
  <c r="G232" i="55" a="1"/>
  <c r="G232" i="55"/>
  <c r="G467" i="55" a="1"/>
  <c r="G467" i="55"/>
  <c r="G185" i="55" a="1"/>
  <c r="G185" i="55"/>
  <c r="G254" i="55" a="1"/>
  <c r="G254" i="55"/>
  <c r="G251" i="55" a="1"/>
  <c r="G251" i="55"/>
  <c r="G302" i="55" a="1"/>
  <c r="G302" i="55"/>
  <c r="G181" i="55" a="1"/>
  <c r="G181" i="55"/>
  <c r="I263" i="55" a="1"/>
  <c r="I263" i="55"/>
  <c r="I469" i="55" a="1"/>
  <c r="I469" i="55"/>
  <c r="I214" i="55" a="1"/>
  <c r="I214" i="55"/>
  <c r="I281" i="55" a="1"/>
  <c r="I281" i="55"/>
  <c r="I314" i="55" a="1"/>
  <c r="I314" i="55"/>
  <c r="I240" i="55" a="1"/>
  <c r="I240" i="55"/>
  <c r="I290" i="55" a="1"/>
  <c r="I290" i="55"/>
  <c r="I188" i="55" a="1"/>
  <c r="I188" i="55"/>
  <c r="I277" i="55" a="1"/>
  <c r="I277" i="55"/>
  <c r="I401" i="55" a="1"/>
  <c r="I401" i="55"/>
  <c r="I464" i="55" a="1"/>
  <c r="I464" i="55"/>
  <c r="I478" i="55" a="1"/>
  <c r="I478" i="55"/>
  <c r="I476" i="55" a="1"/>
  <c r="I476" i="55"/>
  <c r="I479" i="55" a="1"/>
  <c r="I479" i="55"/>
  <c r="I460" i="55" a="1"/>
  <c r="I460" i="55"/>
  <c r="G402" i="55" a="1"/>
  <c r="G402" i="55"/>
  <c r="G249" i="55" a="1"/>
  <c r="G249" i="55"/>
  <c r="G326" i="55" a="1"/>
  <c r="G326" i="55"/>
  <c r="G201" i="55" a="1"/>
  <c r="G201" i="55"/>
  <c r="G213" i="55" a="1"/>
  <c r="G213" i="55"/>
  <c r="G300" i="55" a="1"/>
  <c r="G300" i="55"/>
  <c r="G250" i="55" a="1"/>
  <c r="G250" i="55"/>
  <c r="G200" i="55" a="1"/>
  <c r="G200" i="55"/>
  <c r="G289" i="55" a="1"/>
  <c r="G289" i="55"/>
  <c r="G285" i="55" a="1"/>
  <c r="G285" i="55"/>
  <c r="G255" i="55" a="1"/>
  <c r="G255" i="55"/>
  <c r="G456" i="55" a="1"/>
  <c r="G456" i="55"/>
  <c r="G457" i="55" a="1"/>
  <c r="G457" i="55"/>
  <c r="G410" i="55" a="1"/>
  <c r="G410" i="55"/>
  <c r="G455" i="55" a="1"/>
  <c r="G455" i="55"/>
  <c r="G436" i="55" a="1"/>
  <c r="G436" i="55"/>
  <c r="G203" i="55" a="1"/>
  <c r="G203" i="55"/>
  <c r="G218" i="55" a="1"/>
  <c r="G218" i="55"/>
  <c r="G327" i="55" a="1"/>
  <c r="G327" i="55"/>
  <c r="G328" i="55" a="1"/>
  <c r="G328" i="55"/>
  <c r="G405" i="55" a="1"/>
  <c r="G405" i="55"/>
  <c r="G441" i="55" a="1"/>
  <c r="G441" i="55"/>
  <c r="I276" i="55" a="1"/>
  <c r="I276" i="55"/>
  <c r="I467" i="55" a="1"/>
  <c r="I467" i="55"/>
  <c r="I254" i="55" a="1"/>
  <c r="I254" i="55"/>
  <c r="I302" i="55" a="1"/>
  <c r="I302" i="55"/>
  <c r="G176" i="55" a="1"/>
  <c r="G176" i="55"/>
  <c r="K176" i="55"/>
  <c r="G238" i="55" a="1"/>
  <c r="G238" i="55"/>
  <c r="K238" i="55"/>
  <c r="G239" i="55" a="1"/>
  <c r="G239" i="55"/>
  <c r="K239" i="55"/>
  <c r="G277" i="55" a="1"/>
  <c r="G277" i="55"/>
  <c r="K277" i="55"/>
  <c r="G187" i="55" a="1"/>
  <c r="G187" i="55"/>
  <c r="G480" i="55" a="1"/>
  <c r="G480" i="55"/>
  <c r="G465" i="55" a="1"/>
  <c r="G465" i="55"/>
  <c r="G471" i="55" a="1"/>
  <c r="G471" i="55"/>
  <c r="G473" i="55" a="1"/>
  <c r="G473" i="55"/>
  <c r="G474" i="55" a="1"/>
  <c r="G474" i="55"/>
  <c r="G468" i="55" a="1"/>
  <c r="G468" i="55"/>
  <c r="I397" i="55" a="1"/>
  <c r="I397" i="55"/>
  <c r="I403" i="55" a="1"/>
  <c r="I403" i="55"/>
  <c r="I253" i="55" a="1"/>
  <c r="I253" i="55"/>
  <c r="I202" i="55" a="1"/>
  <c r="I202" i="55"/>
  <c r="I315" i="55" a="1"/>
  <c r="I315" i="55"/>
  <c r="I301" i="55" a="1"/>
  <c r="I301" i="55"/>
  <c r="I237" i="55" a="1"/>
  <c r="I237" i="55"/>
  <c r="I274" i="55" a="1"/>
  <c r="I274" i="55"/>
  <c r="I313" i="55" a="1"/>
  <c r="I313" i="55"/>
  <c r="I265" i="55" a="1"/>
  <c r="I265" i="55"/>
  <c r="I288" i="55" a="1"/>
  <c r="I288" i="55"/>
  <c r="I440" i="55" a="1"/>
  <c r="I440" i="55"/>
  <c r="I438" i="55" a="1"/>
  <c r="I438" i="55"/>
  <c r="I439" i="55" a="1"/>
  <c r="I439" i="55"/>
  <c r="I454" i="55" a="1"/>
  <c r="I454" i="55"/>
  <c r="I437" i="55" a="1"/>
  <c r="I437" i="55"/>
  <c r="I192" i="55" a="1"/>
  <c r="I192" i="55"/>
  <c r="I219" i="55" a="1"/>
  <c r="I219" i="55"/>
  <c r="I329" i="55" a="1"/>
  <c r="I329" i="55"/>
  <c r="I168" i="55" a="1"/>
  <c r="I168" i="55"/>
  <c r="I406" i="55" a="1"/>
  <c r="I406" i="55"/>
  <c r="I187" i="55" a="1"/>
  <c r="I187" i="55"/>
  <c r="I480" i="55" a="1"/>
  <c r="I480" i="55"/>
  <c r="I465" i="55" a="1"/>
  <c r="I465" i="55"/>
  <c r="I471" i="55" a="1"/>
  <c r="I471" i="55"/>
  <c r="I473" i="55" a="1"/>
  <c r="I473" i="55"/>
  <c r="I474" i="55" a="1"/>
  <c r="I474" i="55"/>
  <c r="I468" i="55" a="1"/>
  <c r="I468" i="55"/>
  <c r="G397" i="55" a="1"/>
  <c r="G397" i="55"/>
  <c r="K397" i="55"/>
  <c r="G403" i="55" a="1"/>
  <c r="G403" i="55"/>
  <c r="K403" i="55"/>
  <c r="G253" i="55" a="1"/>
  <c r="G253" i="55"/>
  <c r="K253" i="55"/>
  <c r="G202" i="55" a="1"/>
  <c r="G202" i="55"/>
  <c r="K202" i="55"/>
  <c r="G315" i="55" a="1"/>
  <c r="G315" i="55"/>
  <c r="K315" i="55"/>
  <c r="G301" i="55" a="1"/>
  <c r="G301" i="55"/>
  <c r="K301" i="55"/>
  <c r="G237" i="55" a="1"/>
  <c r="G237" i="55"/>
  <c r="K237" i="55"/>
  <c r="G274" i="55" a="1"/>
  <c r="G274" i="55"/>
  <c r="K274" i="55"/>
  <c r="G313" i="55" a="1"/>
  <c r="G313" i="55"/>
  <c r="K313" i="55"/>
  <c r="G265" i="55" a="1"/>
  <c r="G265" i="55"/>
  <c r="K265" i="55"/>
  <c r="G288" i="55" a="1"/>
  <c r="G288" i="55"/>
  <c r="K288" i="55"/>
  <c r="G440" i="55" a="1"/>
  <c r="G440" i="55"/>
  <c r="K440" i="55"/>
  <c r="G438" i="55" a="1"/>
  <c r="G438" i="55"/>
  <c r="K438" i="55"/>
  <c r="G439" i="55" a="1"/>
  <c r="G439" i="55"/>
  <c r="K439" i="55"/>
  <c r="G454" i="55" a="1"/>
  <c r="G454" i="55"/>
  <c r="K454" i="55"/>
  <c r="G437" i="55" a="1"/>
  <c r="G437" i="55"/>
  <c r="K437" i="55"/>
  <c r="G192" i="55" a="1"/>
  <c r="G192" i="55"/>
  <c r="K192" i="55"/>
  <c r="G219" i="55" a="1"/>
  <c r="G219" i="55"/>
  <c r="K219" i="55"/>
  <c r="G329" i="55" a="1"/>
  <c r="G329" i="55"/>
  <c r="K329" i="55"/>
  <c r="G168" i="55" a="1"/>
  <c r="G168" i="55"/>
  <c r="K168" i="55"/>
  <c r="G406" i="55" a="1"/>
  <c r="G406" i="55"/>
  <c r="K406" i="55"/>
  <c r="I232" i="55" a="1"/>
  <c r="I232" i="55"/>
  <c r="I185" i="55" a="1"/>
  <c r="I185" i="55"/>
  <c r="I251" i="55" a="1"/>
  <c r="I251" i="55"/>
  <c r="I181" i="55" a="1"/>
  <c r="I181" i="55"/>
  <c r="G314" i="55" a="1"/>
  <c r="G314" i="55"/>
  <c r="G240" i="55" a="1"/>
  <c r="G240" i="55"/>
  <c r="K240" i="55"/>
  <c r="G290" i="55" a="1"/>
  <c r="G290" i="55"/>
  <c r="G188" i="55" a="1"/>
  <c r="G188" i="55"/>
  <c r="K188" i="55"/>
  <c r="G401" i="55" a="1"/>
  <c r="G401" i="55"/>
  <c r="K401" i="55"/>
  <c r="G464" i="55" a="1"/>
  <c r="G464" i="55"/>
  <c r="K464" i="55"/>
  <c r="G478" i="55" a="1"/>
  <c r="G478" i="55"/>
  <c r="K478" i="55"/>
  <c r="G476" i="55" a="1"/>
  <c r="G476" i="55"/>
  <c r="K476" i="55"/>
  <c r="G479" i="55" a="1"/>
  <c r="G479" i="55"/>
  <c r="K479" i="55"/>
  <c r="G460" i="55" a="1"/>
  <c r="G460" i="55"/>
  <c r="K460" i="55"/>
  <c r="I402" i="55" a="1"/>
  <c r="I402" i="55"/>
  <c r="I249" i="55" a="1"/>
  <c r="I249" i="55"/>
  <c r="I326" i="55" a="1"/>
  <c r="I326" i="55"/>
  <c r="I201" i="55" a="1"/>
  <c r="I201" i="55"/>
  <c r="I213" i="55" a="1"/>
  <c r="I213" i="55"/>
  <c r="I300" i="55" a="1"/>
  <c r="I300" i="55"/>
  <c r="I250" i="55" a="1"/>
  <c r="I250" i="55"/>
  <c r="I200" i="55" a="1"/>
  <c r="I200" i="55"/>
  <c r="I289" i="55" a="1"/>
  <c r="I289" i="55"/>
  <c r="I285" i="55" a="1"/>
  <c r="I285" i="55"/>
  <c r="I255" i="55" a="1"/>
  <c r="I255" i="55"/>
  <c r="I456" i="55" a="1"/>
  <c r="I456" i="55"/>
  <c r="I457" i="55" a="1"/>
  <c r="I457" i="55"/>
  <c r="I410" i="55" a="1"/>
  <c r="I410" i="55"/>
  <c r="I455" i="55" a="1"/>
  <c r="I455" i="55"/>
  <c r="I436" i="55" a="1"/>
  <c r="I436" i="55"/>
  <c r="I203" i="55" a="1"/>
  <c r="I203" i="55"/>
  <c r="I218" i="55" a="1"/>
  <c r="I218" i="55"/>
  <c r="I327" i="55" a="1"/>
  <c r="I327" i="55"/>
  <c r="I328" i="55" a="1"/>
  <c r="I328" i="55"/>
  <c r="I405" i="55" a="1"/>
  <c r="I405" i="55"/>
  <c r="I441" i="55" a="1"/>
  <c r="I441" i="55"/>
  <c r="K64" i="34"/>
  <c r="G447" i="55" a="1"/>
  <c r="G447" i="55"/>
  <c r="G153" i="55" a="1"/>
  <c r="G153" i="55"/>
  <c r="G160" i="55" a="1"/>
  <c r="G160" i="55"/>
  <c r="G275" i="55" a="1"/>
  <c r="G275" i="55"/>
  <c r="G179" i="55" a="1"/>
  <c r="G179" i="55"/>
  <c r="G207" i="55" a="1"/>
  <c r="G207" i="55"/>
  <c r="I259" i="55" a="1"/>
  <c r="I259" i="55"/>
  <c r="I303" i="55" a="1"/>
  <c r="I303" i="55"/>
  <c r="I398" i="55" a="1"/>
  <c r="I398" i="55"/>
  <c r="I363" i="55" a="1"/>
  <c r="I363" i="55"/>
  <c r="I370" i="55" a="1"/>
  <c r="I370" i="55"/>
  <c r="I154" i="55" a="1"/>
  <c r="I154" i="55"/>
  <c r="I155" i="55" a="1"/>
  <c r="I155" i="55"/>
  <c r="I190" i="55" a="1"/>
  <c r="I190" i="55"/>
  <c r="I284" i="55" a="1"/>
  <c r="I284" i="55"/>
  <c r="G230" i="55" a="1"/>
  <c r="G230" i="55"/>
  <c r="G282" i="55" a="1"/>
  <c r="G282" i="55"/>
  <c r="G376" i="55" a="1"/>
  <c r="G376" i="55"/>
  <c r="G356" i="55" a="1"/>
  <c r="G356" i="55"/>
  <c r="G374" i="55" a="1"/>
  <c r="G374" i="55"/>
  <c r="I481" i="55" a="1"/>
  <c r="I481" i="55"/>
  <c r="G378" i="55" a="1"/>
  <c r="G378" i="55"/>
  <c r="I338" i="55" a="1"/>
  <c r="I338" i="55"/>
  <c r="I337" i="55" a="1"/>
  <c r="I337" i="55"/>
  <c r="I343" i="55" a="1"/>
  <c r="I343" i="55"/>
  <c r="G159" i="55" a="1"/>
  <c r="G159" i="55"/>
  <c r="G452" i="55" a="1"/>
  <c r="G452" i="55"/>
  <c r="G330" i="55" a="1"/>
  <c r="G330" i="55"/>
  <c r="I248" i="55" a="1"/>
  <c r="I248" i="55"/>
  <c r="I299" i="55" a="1"/>
  <c r="I299" i="55"/>
  <c r="I450" i="55" a="1"/>
  <c r="I450" i="55"/>
  <c r="I447" i="55" a="1"/>
  <c r="I447" i="55"/>
  <c r="G336" i="55" a="1"/>
  <c r="G336" i="55"/>
  <c r="G334" i="55" a="1"/>
  <c r="G334" i="55"/>
  <c r="G335" i="55" a="1"/>
  <c r="G335" i="55"/>
  <c r="G433" i="55" a="1"/>
  <c r="G433" i="55"/>
  <c r="I158" i="55" a="1"/>
  <c r="I158" i="55"/>
  <c r="I451" i="55" a="1"/>
  <c r="I451" i="55"/>
  <c r="I167" i="55" a="1"/>
  <c r="I167" i="55"/>
  <c r="G209" i="55" a="1"/>
  <c r="G209" i="55"/>
  <c r="G252" i="55" a="1"/>
  <c r="G252" i="55"/>
  <c r="G366" i="55" a="1"/>
  <c r="G366" i="55"/>
  <c r="G154" i="55" a="1"/>
  <c r="G154" i="55"/>
  <c r="G155" i="55" a="1"/>
  <c r="G155" i="55"/>
  <c r="G190" i="55" a="1"/>
  <c r="G190" i="55"/>
  <c r="G284" i="55" a="1"/>
  <c r="G284" i="55"/>
  <c r="I230" i="55" a="1"/>
  <c r="I230" i="55"/>
  <c r="I282" i="55" a="1"/>
  <c r="I282" i="55"/>
  <c r="I376" i="55" a="1"/>
  <c r="I376" i="55"/>
  <c r="I356" i="55" a="1"/>
  <c r="I356" i="55"/>
  <c r="I374" i="55" a="1"/>
  <c r="I374" i="55"/>
  <c r="I151" i="55" a="1"/>
  <c r="I151" i="55"/>
  <c r="I273" i="55" a="1"/>
  <c r="I273" i="55"/>
  <c r="I189" i="55" a="1"/>
  <c r="I189" i="55"/>
  <c r="I283" i="55" a="1"/>
  <c r="I283" i="55"/>
  <c r="I269" i="55" a="1"/>
  <c r="I269" i="55"/>
  <c r="G306" i="55" a="1"/>
  <c r="G306" i="55"/>
  <c r="G172" i="55" a="1"/>
  <c r="G172" i="55"/>
  <c r="G349" i="55" a="1"/>
  <c r="G349" i="55"/>
  <c r="G365" i="55" a="1"/>
  <c r="G365" i="55"/>
  <c r="G358" i="55" a="1"/>
  <c r="G358" i="55"/>
  <c r="G426" i="55" a="1"/>
  <c r="G426" i="55"/>
  <c r="I449" i="55" a="1"/>
  <c r="I449" i="55"/>
  <c r="I339" i="55" a="1"/>
  <c r="I339" i="55"/>
  <c r="I344" i="55" a="1"/>
  <c r="I344" i="55"/>
  <c r="I345" i="55" a="1"/>
  <c r="I345" i="55"/>
  <c r="G158" i="55" a="1"/>
  <c r="G158" i="55"/>
  <c r="G451" i="55" a="1"/>
  <c r="G451" i="55"/>
  <c r="G167" i="55" a="1"/>
  <c r="G167" i="55"/>
  <c r="I194" i="55" a="1"/>
  <c r="I194" i="55"/>
  <c r="I210" i="55" a="1"/>
  <c r="I210" i="55"/>
  <c r="I298" i="55" a="1"/>
  <c r="I298" i="55"/>
  <c r="G481" i="55" a="1"/>
  <c r="G481" i="55"/>
  <c r="I378" i="55" a="1"/>
  <c r="I378" i="55"/>
  <c r="G338" i="55" a="1"/>
  <c r="G338" i="55"/>
  <c r="G337" i="55" a="1"/>
  <c r="G337" i="55"/>
  <c r="G343" i="55" a="1"/>
  <c r="G343" i="55"/>
  <c r="I426" i="55" a="1"/>
  <c r="I426" i="55"/>
  <c r="I399" i="55" a="1"/>
  <c r="I399" i="55"/>
  <c r="I407" i="55" a="1"/>
  <c r="I407" i="55"/>
  <c r="I444" i="55" a="1"/>
  <c r="I444" i="55"/>
  <c r="G180" i="55" a="1"/>
  <c r="G180" i="55"/>
  <c r="G211" i="55" a="1"/>
  <c r="G211" i="55"/>
  <c r="G361" i="55" a="1"/>
  <c r="G361" i="55"/>
  <c r="G151" i="55" a="1"/>
  <c r="G151" i="55"/>
  <c r="G273" i="55" a="1"/>
  <c r="G273" i="55"/>
  <c r="G189" i="55" a="1"/>
  <c r="G189" i="55"/>
  <c r="G283" i="55" a="1"/>
  <c r="G283" i="55"/>
  <c r="G269" i="55" a="1"/>
  <c r="G269" i="55"/>
  <c r="I306" i="55" a="1"/>
  <c r="I306" i="55"/>
  <c r="I172" i="55" a="1"/>
  <c r="I172" i="55"/>
  <c r="I349" i="55" a="1"/>
  <c r="I349" i="55"/>
  <c r="I365" i="55" a="1"/>
  <c r="I365" i="55"/>
  <c r="I358" i="55" a="1"/>
  <c r="I358" i="55"/>
  <c r="I150" i="55" a="1"/>
  <c r="I150" i="55"/>
  <c r="I278" i="55" a="1"/>
  <c r="I278" i="55"/>
  <c r="I177" i="55" a="1"/>
  <c r="I177" i="55"/>
  <c r="I246" i="55" a="1"/>
  <c r="I246" i="55"/>
  <c r="G228" i="55" a="1"/>
  <c r="G228" i="55"/>
  <c r="G391" i="55" a="1"/>
  <c r="G391" i="55"/>
  <c r="G353" i="55" a="1"/>
  <c r="G353" i="55"/>
  <c r="G371" i="55" a="1"/>
  <c r="G371" i="55"/>
  <c r="I360" i="55" a="1"/>
  <c r="I360" i="55"/>
  <c r="I443" i="55" a="1"/>
  <c r="I443" i="55"/>
  <c r="I361" i="55" a="1"/>
  <c r="I361" i="55"/>
  <c r="I332" i="55" a="1"/>
  <c r="I332" i="55"/>
  <c r="I342" i="55" a="1"/>
  <c r="I342" i="55"/>
  <c r="I333" i="55" a="1"/>
  <c r="I333" i="55"/>
  <c r="I425" i="55" a="1"/>
  <c r="I425" i="55"/>
  <c r="G399" i="55" a="1"/>
  <c r="G399" i="55"/>
  <c r="G407" i="55" a="1"/>
  <c r="G407" i="55"/>
  <c r="G444" i="55" a="1"/>
  <c r="G444" i="55"/>
  <c r="I209" i="55" a="1"/>
  <c r="I209" i="55"/>
  <c r="I252" i="55" a="1"/>
  <c r="I252" i="55"/>
  <c r="G360" i="55" a="1"/>
  <c r="G360" i="55"/>
  <c r="I433" i="55" a="1"/>
  <c r="I433" i="55"/>
  <c r="G449" i="55" a="1"/>
  <c r="G449" i="55"/>
  <c r="K449" i="55"/>
  <c r="G339" i="55" a="1"/>
  <c r="G339" i="55"/>
  <c r="G344" i="55" a="1"/>
  <c r="G344" i="55"/>
  <c r="G345" i="55" a="1"/>
  <c r="G345" i="55"/>
  <c r="I448" i="55" a="1"/>
  <c r="I448" i="55"/>
  <c r="I453" i="55" a="1"/>
  <c r="I453" i="55"/>
  <c r="I331" i="55" a="1"/>
  <c r="I331" i="55"/>
  <c r="G248" i="55" a="1"/>
  <c r="G248" i="55"/>
  <c r="G299" i="55" a="1"/>
  <c r="G299" i="55"/>
  <c r="G367" i="55" a="1"/>
  <c r="G367" i="55"/>
  <c r="G150" i="55" a="1"/>
  <c r="G150" i="55"/>
  <c r="G278" i="55" a="1"/>
  <c r="G278" i="55"/>
  <c r="G177" i="55" a="1"/>
  <c r="G177" i="55"/>
  <c r="G246" i="55" a="1"/>
  <c r="G246" i="55"/>
  <c r="I228" i="55" a="1"/>
  <c r="I228" i="55"/>
  <c r="I391" i="55" a="1"/>
  <c r="I391" i="55"/>
  <c r="I353" i="55" a="1"/>
  <c r="I353" i="55"/>
  <c r="I371" i="55" a="1"/>
  <c r="I371" i="55"/>
  <c r="I153" i="55" a="1"/>
  <c r="I153" i="55"/>
  <c r="I160" i="55" a="1"/>
  <c r="I160" i="55"/>
  <c r="I275" i="55" a="1"/>
  <c r="I275" i="55"/>
  <c r="I179" i="55" a="1"/>
  <c r="I179" i="55"/>
  <c r="I207" i="55" a="1"/>
  <c r="I207" i="55"/>
  <c r="G259" i="55" a="1"/>
  <c r="G259" i="55"/>
  <c r="G303" i="55" a="1"/>
  <c r="G303" i="55"/>
  <c r="G398" i="55" a="1"/>
  <c r="G398" i="55"/>
  <c r="G363" i="55" a="1"/>
  <c r="G363" i="55"/>
  <c r="G370" i="55" a="1"/>
  <c r="G370" i="55"/>
  <c r="G450" i="55" a="1"/>
  <c r="G450" i="55"/>
  <c r="K450" i="55"/>
  <c r="I442" i="55" a="1"/>
  <c r="I442" i="55"/>
  <c r="I367" i="55" a="1"/>
  <c r="I367" i="55"/>
  <c r="I336" i="55" a="1"/>
  <c r="I336" i="55"/>
  <c r="I334" i="55" a="1"/>
  <c r="I334" i="55"/>
  <c r="I335" i="55" a="1"/>
  <c r="I335" i="55"/>
  <c r="G448" i="55" a="1"/>
  <c r="G448" i="55"/>
  <c r="G453" i="55" a="1"/>
  <c r="G453" i="55"/>
  <c r="G331" i="55" a="1"/>
  <c r="G331" i="55"/>
  <c r="G443" i="55" a="1"/>
  <c r="G443" i="55"/>
  <c r="I180" i="55" a="1"/>
  <c r="I180" i="55"/>
  <c r="I211" i="55" a="1"/>
  <c r="I211" i="55"/>
  <c r="I366" i="55" a="1"/>
  <c r="I366" i="55"/>
  <c r="G442" i="55" a="1"/>
  <c r="G442" i="55"/>
  <c r="G332" i="55" a="1"/>
  <c r="G332" i="55"/>
  <c r="G342" i="55" a="1"/>
  <c r="G342" i="55"/>
  <c r="G333" i="55" a="1"/>
  <c r="G333" i="55"/>
  <c r="G425" i="55" a="1"/>
  <c r="G425" i="55"/>
  <c r="I159" i="55" a="1"/>
  <c r="I159" i="55"/>
  <c r="I452" i="55" a="1"/>
  <c r="I452" i="55"/>
  <c r="I330" i="55" a="1"/>
  <c r="I330" i="55"/>
  <c r="G194" i="55" a="1"/>
  <c r="G194" i="55"/>
  <c r="K194" i="55"/>
  <c r="G210" i="55" a="1"/>
  <c r="G210" i="55"/>
  <c r="K210" i="55"/>
  <c r="G298" i="55" a="1"/>
  <c r="G298" i="55"/>
  <c r="K298" i="55"/>
  <c r="A3" i="15"/>
  <c r="A2" i="15"/>
  <c r="N8" i="73"/>
  <c r="M8" i="73"/>
  <c r="A2" i="73"/>
  <c r="A1" i="73"/>
  <c r="Y14" i="34"/>
  <c r="K370" i="55"/>
  <c r="K398" i="55"/>
  <c r="K259" i="55"/>
  <c r="K248" i="55"/>
  <c r="K290" i="55"/>
  <c r="K314" i="55"/>
  <c r="K363" i="55"/>
  <c r="K303" i="55"/>
  <c r="K299" i="55"/>
  <c r="K333" i="55"/>
  <c r="K332" i="55"/>
  <c r="K190" i="55"/>
  <c r="K154" i="55"/>
  <c r="K399" i="55"/>
  <c r="K284" i="55"/>
  <c r="K21" i="55"/>
  <c r="K20" i="55"/>
  <c r="K345" i="55"/>
  <c r="K444" i="55"/>
  <c r="K425" i="55"/>
  <c r="K155" i="55"/>
  <c r="K189" i="55"/>
  <c r="K451" i="55"/>
  <c r="K342" i="55"/>
  <c r="K269" i="55"/>
  <c r="K151" i="55"/>
  <c r="K246" i="55"/>
  <c r="K150" i="55"/>
  <c r="K273" i="55"/>
  <c r="K158" i="55"/>
  <c r="K343" i="55"/>
  <c r="K167" i="55"/>
  <c r="K453" i="55"/>
  <c r="K177" i="55"/>
  <c r="K407" i="55"/>
  <c r="K468" i="55"/>
  <c r="K473" i="55"/>
  <c r="K465" i="55"/>
  <c r="K405" i="55"/>
  <c r="K327" i="55"/>
  <c r="K203" i="55"/>
  <c r="K455" i="55"/>
  <c r="K457" i="55"/>
  <c r="K255" i="55"/>
  <c r="K200" i="55"/>
  <c r="K300" i="55"/>
  <c r="K201" i="55"/>
  <c r="K249" i="55"/>
  <c r="K302" i="55"/>
  <c r="K254" i="55"/>
  <c r="K467" i="55"/>
  <c r="K276" i="55"/>
  <c r="K184" i="55"/>
  <c r="K198" i="55"/>
  <c r="K212" i="55"/>
  <c r="K241" i="55"/>
  <c r="K225" i="55"/>
  <c r="K445" i="55"/>
  <c r="K477" i="55"/>
  <c r="K244" i="55"/>
  <c r="K291" i="55"/>
  <c r="K258" i="55"/>
  <c r="K463" i="55"/>
  <c r="K264" i="55"/>
  <c r="K310" i="55"/>
  <c r="K325" i="55"/>
  <c r="K236" i="55"/>
  <c r="K257" i="55"/>
  <c r="K474" i="55"/>
  <c r="K471" i="55"/>
  <c r="K480" i="55"/>
  <c r="K187" i="55"/>
  <c r="K441" i="55"/>
  <c r="K328" i="55"/>
  <c r="K218" i="55"/>
  <c r="K436" i="55"/>
  <c r="K410" i="55"/>
  <c r="K456" i="55"/>
  <c r="K285" i="55"/>
  <c r="K289" i="55"/>
  <c r="K250" i="55"/>
  <c r="K213" i="55"/>
  <c r="K326" i="55"/>
  <c r="K402" i="55"/>
  <c r="K181" i="55"/>
  <c r="K251" i="55"/>
  <c r="K185" i="55"/>
  <c r="K232" i="55"/>
  <c r="K281" i="55"/>
  <c r="K214" i="55"/>
  <c r="K469" i="55"/>
  <c r="K263" i="55"/>
  <c r="K197" i="55"/>
  <c r="K446" i="55"/>
  <c r="K260" i="55"/>
  <c r="K231" i="55"/>
  <c r="K312" i="55"/>
  <c r="K208" i="55"/>
  <c r="K171" i="55"/>
  <c r="K461" i="55"/>
  <c r="K472" i="55"/>
  <c r="K295" i="55"/>
  <c r="K317" i="55"/>
  <c r="K178" i="55"/>
  <c r="K243" i="55"/>
  <c r="K448" i="55"/>
  <c r="K160" i="55"/>
  <c r="K172" i="55"/>
  <c r="K207" i="55"/>
  <c r="K153" i="55"/>
  <c r="K228" i="55"/>
  <c r="K211" i="55"/>
  <c r="K252" i="55"/>
  <c r="K159" i="55"/>
  <c r="K230" i="55"/>
  <c r="K179" i="55"/>
  <c r="K180" i="55"/>
  <c r="K209" i="55"/>
  <c r="K275" i="55"/>
  <c r="K360" i="55"/>
  <c r="K278" i="55"/>
  <c r="K344" i="55"/>
  <c r="K337" i="55"/>
  <c r="K426" i="55"/>
  <c r="K331" i="55"/>
  <c r="K481" i="55"/>
  <c r="K339" i="55"/>
  <c r="K338" i="55"/>
  <c r="K443" i="55"/>
  <c r="K283" i="55"/>
  <c r="K361" i="55"/>
  <c r="K367" i="55"/>
  <c r="K353" i="55"/>
  <c r="K349" i="55"/>
  <c r="K335" i="55"/>
  <c r="K330" i="55"/>
  <c r="K376" i="55"/>
  <c r="K391" i="55"/>
  <c r="K334" i="55"/>
  <c r="K452" i="55"/>
  <c r="K282" i="55"/>
  <c r="K358" i="55"/>
  <c r="K306" i="55"/>
  <c r="K366" i="55"/>
  <c r="K336" i="55"/>
  <c r="K378" i="55"/>
  <c r="K374" i="55"/>
  <c r="K447" i="55"/>
  <c r="K442" i="55"/>
  <c r="K371" i="55"/>
  <c r="K365" i="55"/>
  <c r="K433" i="55"/>
  <c r="K356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P14" i="34"/>
  <c r="Q14" i="34"/>
  <c r="O14" i="34"/>
  <c r="A740" i="34"/>
  <c r="A689" i="34"/>
  <c r="A685" i="34"/>
  <c r="A734" i="34"/>
  <c r="A730" i="34"/>
  <c r="A726" i="34"/>
  <c r="A715" i="34"/>
  <c r="A711" i="34"/>
  <c r="A707" i="34"/>
  <c r="A698" i="34"/>
  <c r="A694" i="34"/>
  <c r="A669" i="34"/>
  <c r="A665" i="34"/>
  <c r="A613" i="34"/>
  <c r="A594" i="34"/>
  <c r="A590" i="34"/>
  <c r="A681" i="34"/>
  <c r="A637" i="34"/>
  <c r="A618" i="34"/>
  <c r="A614" i="34"/>
  <c r="A586" i="34"/>
  <c r="A582" i="34"/>
  <c r="A575" i="34"/>
  <c r="A570" i="34"/>
  <c r="A556" i="34"/>
  <c r="A552" i="34"/>
  <c r="A232" i="34"/>
  <c r="A213" i="34"/>
  <c r="A205" i="34"/>
  <c r="A166" i="34"/>
  <c r="A210" i="34"/>
  <c r="A526" i="34"/>
  <c r="A589" i="34"/>
  <c r="A544" i="34"/>
  <c r="A538" i="34"/>
  <c r="A739" i="34"/>
  <c r="A688" i="34"/>
  <c r="A737" i="34"/>
  <c r="A733" i="34"/>
  <c r="A729" i="34"/>
  <c r="A725" i="34"/>
  <c r="A714" i="34"/>
  <c r="A710" i="34"/>
  <c r="A701" i="34"/>
  <c r="A697" i="34"/>
  <c r="A693" i="34"/>
  <c r="A668" i="34"/>
  <c r="A664" i="34"/>
  <c r="A612" i="34"/>
  <c r="A593" i="34"/>
  <c r="A684" i="34"/>
  <c r="A640" i="34"/>
  <c r="A636" i="34"/>
  <c r="A617" i="34"/>
  <c r="A605" i="34"/>
  <c r="A585" i="34"/>
  <c r="A581" i="34"/>
  <c r="A574" i="34"/>
  <c r="A560" i="34"/>
  <c r="A555" i="34"/>
  <c r="A539" i="34"/>
  <c r="A231" i="34"/>
  <c r="A212" i="34"/>
  <c r="A204" i="34"/>
  <c r="A179" i="34"/>
  <c r="A211" i="34"/>
  <c r="A578" i="34"/>
  <c r="A988" i="34"/>
  <c r="A545" i="34"/>
  <c r="A549" i="34"/>
  <c r="A738" i="34"/>
  <c r="A687" i="34"/>
  <c r="A736" i="34"/>
  <c r="A732" i="34"/>
  <c r="A728" i="34"/>
  <c r="A724" i="34"/>
  <c r="A713" i="34"/>
  <c r="A709" i="34"/>
  <c r="A700" i="34"/>
  <c r="A696" i="34"/>
  <c r="A692" i="34"/>
  <c r="A667" i="34"/>
  <c r="A663" i="34"/>
  <c r="A611" i="34"/>
  <c r="A592" i="34"/>
  <c r="A683" i="34"/>
  <c r="A639" i="34"/>
  <c r="A635" i="34"/>
  <c r="A607" i="34"/>
  <c r="A604" i="34"/>
  <c r="A584" i="34"/>
  <c r="A577" i="34"/>
  <c r="A573" i="34"/>
  <c r="A559" i="34"/>
  <c r="A554" i="34"/>
  <c r="A990" i="34"/>
  <c r="A215" i="34"/>
  <c r="A208" i="34"/>
  <c r="A203" i="34"/>
  <c r="A206" i="34"/>
  <c r="A619" i="34"/>
  <c r="A579" i="34"/>
  <c r="A542" i="34"/>
  <c r="A546" i="34"/>
  <c r="A550" i="34"/>
  <c r="A690" i="34"/>
  <c r="A686" i="34"/>
  <c r="A735" i="34"/>
  <c r="A731" i="34"/>
  <c r="A727" i="34"/>
  <c r="A716" i="34"/>
  <c r="A712" i="34"/>
  <c r="A708" i="34"/>
  <c r="A699" i="34"/>
  <c r="A695" i="34"/>
  <c r="A670" i="34"/>
  <c r="A666" i="34"/>
  <c r="A662" i="34"/>
  <c r="A610" i="34"/>
  <c r="A591" i="34"/>
  <c r="A682" i="34"/>
  <c r="A638" i="34"/>
  <c r="A634" i="34"/>
  <c r="A615" i="34"/>
  <c r="A587" i="34"/>
  <c r="A583" i="34"/>
  <c r="A576" i="34"/>
  <c r="A571" i="34"/>
  <c r="A558" i="34"/>
  <c r="A553" i="34"/>
  <c r="A989" i="34"/>
  <c r="A214" i="34"/>
  <c r="A207" i="34"/>
  <c r="A180" i="34"/>
  <c r="A209" i="34"/>
  <c r="A620" i="34"/>
  <c r="A588" i="34"/>
  <c r="A543" i="34"/>
  <c r="A547" i="34"/>
  <c r="A551" i="3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25" i="34"/>
  <c r="A135" i="34"/>
  <c r="A165" i="34"/>
  <c r="A124" i="34"/>
  <c r="A134" i="34"/>
  <c r="A164" i="34"/>
  <c r="A137" i="34"/>
  <c r="A133" i="34"/>
  <c r="A163" i="34"/>
  <c r="A136" i="34"/>
  <c r="A132" i="34"/>
  <c r="A22" i="34"/>
  <c r="A23" i="34"/>
  <c r="A38" i="34"/>
  <c r="A56" i="34"/>
  <c r="A61" i="34"/>
  <c r="A70" i="34"/>
  <c r="A138" i="34"/>
  <c r="A190" i="34"/>
  <c r="A28" i="34"/>
  <c r="A35" i="34"/>
  <c r="A176" i="34"/>
  <c r="A227" i="34"/>
  <c r="A99" i="34"/>
  <c r="A80" i="34"/>
  <c r="A87" i="34"/>
  <c r="A82" i="34"/>
  <c r="A129" i="34"/>
  <c r="A93" i="34"/>
  <c r="A67" i="34"/>
  <c r="A45" i="34"/>
  <c r="A77" i="34"/>
  <c r="A37" i="34"/>
  <c r="A48" i="34"/>
  <c r="A44" i="34"/>
  <c r="A55" i="34"/>
  <c r="A60" i="34"/>
  <c r="A150" i="34"/>
  <c r="A74" i="34"/>
  <c r="A31" i="34"/>
  <c r="A27" i="34"/>
  <c r="A34" i="34"/>
  <c r="A177" i="34"/>
  <c r="A228" i="34"/>
  <c r="A100" i="34"/>
  <c r="A90" i="34"/>
  <c r="A85" i="34"/>
  <c r="A81" i="34"/>
  <c r="A128" i="34"/>
  <c r="A92" i="34"/>
  <c r="A71" i="34"/>
  <c r="A69" i="34"/>
  <c r="A76" i="34"/>
  <c r="A36" i="34"/>
  <c r="A47" i="34"/>
  <c r="A52" i="34"/>
  <c r="A54" i="34"/>
  <c r="A65" i="34"/>
  <c r="A149" i="34"/>
  <c r="A73" i="34"/>
  <c r="A30" i="34"/>
  <c r="A26" i="34"/>
  <c r="A40" i="34"/>
  <c r="A192" i="34"/>
  <c r="A229" i="34"/>
  <c r="A79" i="34"/>
  <c r="A89" i="34"/>
  <c r="A84" i="34"/>
  <c r="A131" i="34"/>
  <c r="A95" i="34"/>
  <c r="A91" i="34"/>
  <c r="A32" i="34"/>
  <c r="A68" i="34"/>
  <c r="A72" i="34"/>
  <c r="A39" i="34"/>
  <c r="A33" i="34"/>
  <c r="A46" i="34"/>
  <c r="A51" i="34"/>
  <c r="A53" i="34"/>
  <c r="A64" i="34"/>
  <c r="A139" i="34"/>
  <c r="A191" i="34"/>
  <c r="A29" i="34"/>
  <c r="A25" i="34"/>
  <c r="A151" i="34"/>
  <c r="A226" i="34"/>
  <c r="A230" i="34"/>
  <c r="A41" i="34"/>
  <c r="A88" i="34"/>
  <c r="A83" i="34"/>
  <c r="A130" i="34"/>
  <c r="A94" i="34"/>
  <c r="A541" i="34"/>
  <c r="A234" i="34"/>
  <c r="A633" i="34"/>
  <c r="A62" i="34"/>
  <c r="A127" i="34"/>
  <c r="A235" i="34"/>
  <c r="A609" i="34"/>
  <c r="A661" i="34"/>
  <c r="A233" i="34"/>
  <c r="A113" i="34"/>
  <c r="A160" i="34"/>
  <c r="A540" i="34"/>
  <c r="A631" i="34"/>
  <c r="A112" i="34"/>
  <c r="A632" i="34"/>
  <c r="A126" i="34"/>
  <c r="A608" i="34"/>
  <c r="A14" i="71"/>
  <c r="E37" i="71"/>
  <c r="A19" i="71"/>
  <c r="A20" i="71"/>
  <c r="A17" i="71"/>
  <c r="A18" i="71"/>
  <c r="A16" i="71"/>
  <c r="A15" i="71"/>
  <c r="T10" i="34"/>
  <c r="A161" i="34"/>
  <c r="A651" i="34"/>
  <c r="A36" i="71"/>
  <c r="G2" i="71"/>
  <c r="R10" i="34"/>
  <c r="E6" i="43"/>
  <c r="O8" i="43"/>
  <c r="N8" i="43"/>
  <c r="D13" i="15"/>
  <c r="C13" i="15"/>
  <c r="A650" i="34"/>
  <c r="A557" i="34"/>
  <c r="A202" i="34"/>
  <c r="A630" i="34"/>
  <c r="A537" i="34"/>
  <c r="A75" i="34"/>
  <c r="A42" i="34"/>
  <c r="A616" i="34"/>
  <c r="A527" i="34"/>
  <c r="A691" i="34"/>
  <c r="A606" i="34"/>
  <c r="A225" i="34"/>
  <c r="C39" i="15"/>
  <c r="D39" i="15"/>
  <c r="C34" i="15"/>
  <c r="D34" i="15"/>
  <c r="D31" i="15"/>
  <c r="D32" i="15"/>
  <c r="C24" i="15"/>
  <c r="D24" i="15"/>
  <c r="D16" i="15"/>
  <c r="C16" i="15"/>
  <c r="D11" i="15"/>
  <c r="C11" i="15"/>
  <c r="C51" i="15"/>
  <c r="D51" i="15"/>
  <c r="A78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/>
  <c r="E20" i="68"/>
  <c r="A34" i="68"/>
  <c r="A35" i="68"/>
  <c r="F20" i="68"/>
  <c r="C20" i="68"/>
  <c r="A12" i="68"/>
  <c r="A8" i="68"/>
  <c r="A13" i="68"/>
  <c r="D20" i="68"/>
  <c r="E13" i="68"/>
  <c r="E11" i="68"/>
  <c r="E22" i="68"/>
  <c r="G20" i="68"/>
  <c r="A10" i="68"/>
  <c r="L14" i="64"/>
  <c r="L15" i="64"/>
  <c r="L16" i="64"/>
  <c r="J18" i="64"/>
  <c r="K18" i="64"/>
  <c r="H18" i="64"/>
  <c r="H20" i="68"/>
  <c r="L18" i="64"/>
  <c r="G22" i="68"/>
  <c r="A2831" i="34"/>
  <c r="A2830" i="34"/>
  <c r="A2829" i="34"/>
  <c r="A2832" i="34"/>
  <c r="A2833" i="34"/>
  <c r="A2834" i="34"/>
  <c r="I6" i="43"/>
  <c r="G417" i="55" a="1"/>
  <c r="G417" i="55"/>
  <c r="I421" i="55" a="1"/>
  <c r="I421" i="55"/>
  <c r="I235" i="55" a="1"/>
  <c r="I235" i="55"/>
  <c r="I320" i="55" a="1"/>
  <c r="I320" i="55"/>
  <c r="I375" i="55" a="1"/>
  <c r="I375" i="55"/>
  <c r="I224" i="55" a="1"/>
  <c r="I224" i="55"/>
  <c r="I196" i="55" a="1"/>
  <c r="I196" i="55"/>
  <c r="I183" i="55" a="1"/>
  <c r="I183" i="55"/>
  <c r="I267" i="55" a="1"/>
  <c r="I267" i="55"/>
  <c r="I297" i="55" a="1"/>
  <c r="I297" i="55"/>
  <c r="I164" i="55" a="1"/>
  <c r="I164" i="55"/>
  <c r="I354" i="55" a="1"/>
  <c r="I354" i="55"/>
  <c r="I162" i="55" a="1"/>
  <c r="I162" i="55"/>
  <c r="I362" i="55" a="1"/>
  <c r="I362" i="55"/>
  <c r="I195" i="55" a="1"/>
  <c r="I195" i="55"/>
  <c r="I186" i="55" a="1"/>
  <c r="I186" i="55"/>
  <c r="I417" i="55" a="1"/>
  <c r="I417" i="55"/>
  <c r="G459" i="55" a="1"/>
  <c r="G459" i="55"/>
  <c r="G157" i="55" a="1"/>
  <c r="G157" i="55"/>
  <c r="G311" i="55" a="1"/>
  <c r="G311" i="55"/>
  <c r="G341" i="55" a="1"/>
  <c r="G341" i="55"/>
  <c r="G351" i="55" a="1"/>
  <c r="G351" i="55"/>
  <c r="G323" i="55" a="1"/>
  <c r="G323" i="55"/>
  <c r="G215" i="55" a="1"/>
  <c r="G215" i="55"/>
  <c r="G256" i="55" a="1"/>
  <c r="G256" i="55"/>
  <c r="G199" i="55" a="1"/>
  <c r="G199" i="55"/>
  <c r="G169" i="55" a="1"/>
  <c r="G169" i="55"/>
  <c r="G170" i="55" a="1"/>
  <c r="G170" i="55"/>
  <c r="G304" i="55" a="1"/>
  <c r="G304" i="55"/>
  <c r="G293" i="55" a="1"/>
  <c r="G293" i="55"/>
  <c r="I280" i="55" a="1"/>
  <c r="I280" i="55"/>
  <c r="I435" i="55" a="1"/>
  <c r="I435" i="55"/>
  <c r="I319" i="55" a="1"/>
  <c r="I319" i="55"/>
  <c r="I369" i="55" a="1"/>
  <c r="I369" i="55"/>
  <c r="I352" i="55" a="1"/>
  <c r="I352" i="55"/>
  <c r="I318" i="55" a="1"/>
  <c r="I318" i="55"/>
  <c r="I175" i="55" a="1"/>
  <c r="I175" i="55"/>
  <c r="I222" i="55" a="1"/>
  <c r="I222" i="55"/>
  <c r="I166" i="55" a="1"/>
  <c r="I166" i="55"/>
  <c r="I163" i="55" a="1"/>
  <c r="I163" i="55"/>
  <c r="I364" i="55" a="1"/>
  <c r="I364" i="55"/>
  <c r="I266" i="55" a="1"/>
  <c r="I266" i="55"/>
  <c r="I386" i="55" a="1"/>
  <c r="I386" i="55"/>
  <c r="G419" i="55" a="1"/>
  <c r="G419" i="55"/>
  <c r="G385" i="55" a="1"/>
  <c r="G385" i="55"/>
  <c r="G377" i="55" a="1"/>
  <c r="G377" i="55"/>
  <c r="G380" i="55" a="1"/>
  <c r="G380" i="55"/>
  <c r="G379" i="55" a="1"/>
  <c r="G379" i="55"/>
  <c r="G431" i="55" a="1"/>
  <c r="G431" i="55"/>
  <c r="I423" i="55" a="1"/>
  <c r="I423" i="55"/>
  <c r="I459" i="55" a="1"/>
  <c r="I459" i="55"/>
  <c r="I157" i="55" a="1"/>
  <c r="I157" i="55"/>
  <c r="I311" i="55" a="1"/>
  <c r="I311" i="55"/>
  <c r="I341" i="55" a="1"/>
  <c r="I341" i="55"/>
  <c r="I351" i="55" a="1"/>
  <c r="I351" i="55"/>
  <c r="I323" i="55" a="1"/>
  <c r="I323" i="55"/>
  <c r="I215" i="55" a="1"/>
  <c r="I215" i="55"/>
  <c r="I256" i="55" a="1"/>
  <c r="I256" i="55"/>
  <c r="I199" i="55" a="1"/>
  <c r="I199" i="55"/>
  <c r="I169" i="55" a="1"/>
  <c r="I169" i="55"/>
  <c r="I170" i="55" a="1"/>
  <c r="I170" i="55"/>
  <c r="I304" i="55" a="1"/>
  <c r="I304" i="55"/>
  <c r="G423" i="55" a="1"/>
  <c r="G423" i="55"/>
  <c r="I419" i="55" a="1"/>
  <c r="I419" i="55"/>
  <c r="I385" i="55" a="1"/>
  <c r="I385" i="55"/>
  <c r="I377" i="55" a="1"/>
  <c r="I377" i="55"/>
  <c r="I380" i="55" a="1"/>
  <c r="I380" i="55"/>
  <c r="I379" i="55" a="1"/>
  <c r="I379" i="55"/>
  <c r="I308" i="55" a="1"/>
  <c r="I308" i="55"/>
  <c r="I234" i="55" a="1"/>
  <c r="I234" i="55"/>
  <c r="I384" i="55" a="1"/>
  <c r="I384" i="55"/>
  <c r="I305" i="55" a="1"/>
  <c r="I305" i="55"/>
  <c r="I165" i="55" a="1"/>
  <c r="I165" i="55"/>
  <c r="I381" i="55" a="1"/>
  <c r="I381" i="55"/>
  <c r="I161" i="55" a="1"/>
  <c r="I161" i="55"/>
  <c r="I233" i="55" a="1"/>
  <c r="I233" i="55"/>
  <c r="I357" i="55" a="1"/>
  <c r="I357" i="55"/>
  <c r="G386" i="55" a="1"/>
  <c r="G386" i="55"/>
  <c r="G435" i="55" a="1"/>
  <c r="G435" i="55"/>
  <c r="G319" i="55" a="1"/>
  <c r="G319" i="55"/>
  <c r="G369" i="55" a="1"/>
  <c r="G369" i="55"/>
  <c r="G421" i="55" a="1"/>
  <c r="G421" i="55"/>
  <c r="G224" i="55" a="1"/>
  <c r="G224" i="55"/>
  <c r="G183" i="55" a="1"/>
  <c r="G183" i="55"/>
  <c r="K183" i="55"/>
  <c r="G222" i="55" a="1"/>
  <c r="G222" i="55"/>
  <c r="G165" i="55" a="1"/>
  <c r="G165" i="55"/>
  <c r="G354" i="55" a="1"/>
  <c r="G354" i="55"/>
  <c r="G233" i="55" a="1"/>
  <c r="G233" i="55"/>
  <c r="K233" i="55"/>
  <c r="G186" i="55" a="1"/>
  <c r="G186" i="55"/>
  <c r="I292" i="55" a="1"/>
  <c r="I292" i="55"/>
  <c r="I204" i="55" a="1"/>
  <c r="I204" i="55"/>
  <c r="I279" i="55" a="1"/>
  <c r="I279" i="55"/>
  <c r="I229" i="55" a="1"/>
  <c r="I229" i="55"/>
  <c r="I287" i="55" a="1"/>
  <c r="I287" i="55"/>
  <c r="I355" i="55" a="1"/>
  <c r="I355" i="55"/>
  <c r="G280" i="55" a="1"/>
  <c r="G280" i="55"/>
  <c r="G347" i="55" a="1"/>
  <c r="G347" i="55"/>
  <c r="G223" i="55" a="1"/>
  <c r="G223" i="55"/>
  <c r="G348" i="55" a="1"/>
  <c r="G348" i="55"/>
  <c r="G182" i="55" a="1"/>
  <c r="G182" i="55"/>
  <c r="G322" i="55" a="1"/>
  <c r="G322" i="55"/>
  <c r="G268" i="55" a="1"/>
  <c r="G268" i="55"/>
  <c r="G368" i="55" a="1"/>
  <c r="G368" i="55"/>
  <c r="G383" i="55" a="1"/>
  <c r="G383" i="55"/>
  <c r="I12" i="55" a="1"/>
  <c r="I12" i="55"/>
  <c r="G394" i="55" a="1"/>
  <c r="G394" i="55"/>
  <c r="G416" i="55" a="1"/>
  <c r="G416" i="55"/>
  <c r="G321" i="55" a="1"/>
  <c r="G321" i="55"/>
  <c r="I427" i="55" a="1"/>
  <c r="I427" i="55"/>
  <c r="I156" i="55" a="1"/>
  <c r="I156" i="55"/>
  <c r="I408" i="55" a="1"/>
  <c r="I408" i="55"/>
  <c r="I409" i="55" a="1"/>
  <c r="I409" i="55"/>
  <c r="G272" i="55" a="1"/>
  <c r="G272" i="55"/>
  <c r="G396" i="55" a="1"/>
  <c r="G396" i="55"/>
  <c r="G430" i="55" a="1"/>
  <c r="G430" i="55"/>
  <c r="I272" i="55" a="1"/>
  <c r="I272" i="55"/>
  <c r="I396" i="55" a="1"/>
  <c r="I396" i="55"/>
  <c r="I430" i="55" a="1"/>
  <c r="I430" i="55"/>
  <c r="I413" i="55" a="1"/>
  <c r="I413" i="55"/>
  <c r="G146" i="55" a="1"/>
  <c r="G146" i="55"/>
  <c r="I34" i="55" a="1"/>
  <c r="I34" i="55"/>
  <c r="G106" i="55" a="1"/>
  <c r="G106" i="55"/>
  <c r="G114" i="55" a="1"/>
  <c r="G114" i="55"/>
  <c r="G123" i="55" a="1"/>
  <c r="G123" i="55"/>
  <c r="I131" i="55" a="1"/>
  <c r="I131" i="55"/>
  <c r="I139" i="55" a="1"/>
  <c r="I139" i="55"/>
  <c r="G141" i="55" a="1"/>
  <c r="G141" i="55"/>
  <c r="I106" i="55" a="1"/>
  <c r="I106" i="55"/>
  <c r="I114" i="55" a="1"/>
  <c r="I114" i="55"/>
  <c r="I121" i="55" a="1"/>
  <c r="I121" i="55"/>
  <c r="G129" i="55" a="1"/>
  <c r="G129" i="55"/>
  <c r="I138" i="55" a="1"/>
  <c r="I138" i="55"/>
  <c r="G105" i="55" a="1"/>
  <c r="G105" i="55"/>
  <c r="G113" i="55" a="1"/>
  <c r="G113" i="55"/>
  <c r="G120" i="55" a="1"/>
  <c r="G120" i="55"/>
  <c r="I127" i="55" a="1"/>
  <c r="I127" i="55"/>
  <c r="G136" i="55" a="1"/>
  <c r="G136" i="55"/>
  <c r="I107" i="55" a="1"/>
  <c r="I107" i="55"/>
  <c r="I115" i="55" a="1"/>
  <c r="I115" i="55"/>
  <c r="I124" i="55" a="1"/>
  <c r="I124" i="55"/>
  <c r="I132" i="55" a="1"/>
  <c r="I132" i="55"/>
  <c r="I140" i="55" a="1"/>
  <c r="I140" i="55"/>
  <c r="G23" i="55" a="1"/>
  <c r="G23" i="55"/>
  <c r="I26" i="55" a="1"/>
  <c r="I26" i="55"/>
  <c r="G30" i="55" a="1"/>
  <c r="G30" i="55"/>
  <c r="G74" i="55" a="1"/>
  <c r="G74" i="55"/>
  <c r="I82" i="55" a="1"/>
  <c r="I82" i="55"/>
  <c r="G90" i="55" a="1"/>
  <c r="G90" i="55"/>
  <c r="G98" i="55" a="1"/>
  <c r="G98" i="55"/>
  <c r="I94" i="55" a="1"/>
  <c r="I94" i="55"/>
  <c r="G100" i="55" a="1"/>
  <c r="G100" i="55"/>
  <c r="G79" i="55" a="1"/>
  <c r="G79" i="55"/>
  <c r="I86" i="55" a="1"/>
  <c r="I86" i="55"/>
  <c r="G97" i="55" a="1"/>
  <c r="G97" i="55"/>
  <c r="G75" i="55" a="1"/>
  <c r="G75" i="55"/>
  <c r="I83" i="55" a="1"/>
  <c r="I83" i="55"/>
  <c r="G92" i="55" a="1"/>
  <c r="G92" i="55"/>
  <c r="I75" i="55" a="1"/>
  <c r="I75" i="55"/>
  <c r="G84" i="55" a="1"/>
  <c r="G84" i="55"/>
  <c r="I92" i="55" a="1"/>
  <c r="I92" i="55"/>
  <c r="I100" i="55" a="1"/>
  <c r="I100" i="55"/>
  <c r="G39" i="55" a="1"/>
  <c r="G39" i="55"/>
  <c r="G47" i="55" a="1"/>
  <c r="G47" i="55"/>
  <c r="G55" i="55" a="1"/>
  <c r="G55" i="55"/>
  <c r="G63" i="55" a="1"/>
  <c r="G63" i="55"/>
  <c r="G71" i="55" a="1"/>
  <c r="G71" i="55"/>
  <c r="I37" i="55" a="1"/>
  <c r="I37" i="55"/>
  <c r="I45" i="55" a="1"/>
  <c r="I45" i="55"/>
  <c r="I53" i="55" a="1"/>
  <c r="I53" i="55"/>
  <c r="I61" i="55" a="1"/>
  <c r="I61" i="55"/>
  <c r="I69" i="55" a="1"/>
  <c r="I69" i="55"/>
  <c r="G38" i="55" a="1"/>
  <c r="G38" i="55"/>
  <c r="G46" i="55" a="1"/>
  <c r="G46" i="55"/>
  <c r="G54" i="55" a="1"/>
  <c r="G54" i="55"/>
  <c r="G62" i="55" a="1"/>
  <c r="G62" i="55"/>
  <c r="I38" i="55" a="1"/>
  <c r="I38" i="55"/>
  <c r="G235" i="55" a="1"/>
  <c r="G235" i="55"/>
  <c r="K235" i="55"/>
  <c r="G352" i="55" a="1"/>
  <c r="G352" i="55"/>
  <c r="G196" i="55" a="1"/>
  <c r="G196" i="55"/>
  <c r="K196" i="55"/>
  <c r="G175" i="55" a="1"/>
  <c r="G175" i="55"/>
  <c r="K175" i="55"/>
  <c r="G305" i="55" a="1"/>
  <c r="G305" i="55"/>
  <c r="G164" i="55" a="1"/>
  <c r="G164" i="55"/>
  <c r="K164" i="55"/>
  <c r="G364" i="55" a="1"/>
  <c r="G364" i="55"/>
  <c r="G362" i="55" a="1"/>
  <c r="G362" i="55"/>
  <c r="K362" i="55"/>
  <c r="G195" i="55" a="1"/>
  <c r="G195" i="55"/>
  <c r="K195" i="55"/>
  <c r="I270" i="55" a="1"/>
  <c r="I270" i="55"/>
  <c r="I347" i="55" a="1"/>
  <c r="I347" i="55"/>
  <c r="I223" i="55" a="1"/>
  <c r="I223" i="55"/>
  <c r="I348" i="55" a="1"/>
  <c r="I348" i="55"/>
  <c r="I182" i="55" a="1"/>
  <c r="I182" i="55"/>
  <c r="I322" i="55" a="1"/>
  <c r="I322" i="55"/>
  <c r="I268" i="55" a="1"/>
  <c r="I268" i="55"/>
  <c r="I368" i="55" a="1"/>
  <c r="I368" i="55"/>
  <c r="I383" i="55" a="1"/>
  <c r="I383" i="55"/>
  <c r="G286" i="55" a="1"/>
  <c r="G286" i="55"/>
  <c r="G373" i="55" a="1"/>
  <c r="G373" i="55"/>
  <c r="G307" i="55" a="1"/>
  <c r="G307" i="55"/>
  <c r="G372" i="55" a="1"/>
  <c r="G372" i="55"/>
  <c r="G261" i="55" a="1"/>
  <c r="G261" i="55"/>
  <c r="G340" i="55" a="1"/>
  <c r="G340" i="55"/>
  <c r="G309" i="55" a="1"/>
  <c r="G309" i="55"/>
  <c r="G382" i="55" a="1"/>
  <c r="G382" i="55"/>
  <c r="G418" i="55" a="1"/>
  <c r="G418" i="55"/>
  <c r="G206" i="55" a="1"/>
  <c r="G206" i="55"/>
  <c r="G393" i="55" a="1"/>
  <c r="G393" i="55"/>
  <c r="G412" i="55" a="1"/>
  <c r="G412" i="55"/>
  <c r="G415" i="55" a="1"/>
  <c r="G415" i="55"/>
  <c r="I262" i="55" a="1"/>
  <c r="I262" i="55"/>
  <c r="I387" i="55" a="1"/>
  <c r="I387" i="55"/>
  <c r="I390" i="55" a="1"/>
  <c r="I390" i="55"/>
  <c r="I411" i="55" a="1"/>
  <c r="I411" i="55"/>
  <c r="G420" i="55" a="1"/>
  <c r="G420" i="55"/>
  <c r="G392" i="55" a="1"/>
  <c r="G392" i="55"/>
  <c r="G414" i="55" a="1"/>
  <c r="G414" i="55"/>
  <c r="I420" i="55" a="1"/>
  <c r="I420" i="55"/>
  <c r="I392" i="55" a="1"/>
  <c r="I392" i="55"/>
  <c r="I414" i="55" a="1"/>
  <c r="I414" i="55"/>
  <c r="I174" i="55" a="1"/>
  <c r="I174" i="55"/>
  <c r="I146" i="55" a="1"/>
  <c r="I146" i="55"/>
  <c r="G33" i="55" a="1"/>
  <c r="G33" i="55"/>
  <c r="G108" i="55" a="1"/>
  <c r="G108" i="55"/>
  <c r="G117" i="55" a="1"/>
  <c r="G117" i="55"/>
  <c r="I126" i="55" a="1"/>
  <c r="I126" i="55"/>
  <c r="G134" i="55" a="1"/>
  <c r="G134" i="55"/>
  <c r="G142" i="55" a="1"/>
  <c r="G142" i="55"/>
  <c r="I137" i="55" a="1"/>
  <c r="I137" i="55"/>
  <c r="I108" i="55" a="1"/>
  <c r="I108" i="55"/>
  <c r="G116" i="55" a="1"/>
  <c r="G116" i="55"/>
  <c r="I123" i="55" a="1"/>
  <c r="I123" i="55"/>
  <c r="I130" i="55" a="1"/>
  <c r="I130" i="55"/>
  <c r="I142" i="55" a="1"/>
  <c r="I142" i="55"/>
  <c r="G107" i="55" a="1"/>
  <c r="G107" i="55"/>
  <c r="G115" i="55" a="1"/>
  <c r="G115" i="55"/>
  <c r="G122" i="55" a="1"/>
  <c r="G122" i="55"/>
  <c r="I129" i="55" a="1"/>
  <c r="I129" i="55"/>
  <c r="G140" i="55" a="1"/>
  <c r="G140" i="55"/>
  <c r="I109" i="55" a="1"/>
  <c r="I109" i="55"/>
  <c r="I118" i="55" a="1"/>
  <c r="I118" i="55"/>
  <c r="G126" i="55" a="1"/>
  <c r="G126" i="55"/>
  <c r="K126" i="55"/>
  <c r="G135" i="55" a="1"/>
  <c r="G135" i="55"/>
  <c r="G29" i="55" a="1"/>
  <c r="G29" i="55"/>
  <c r="I24" i="55" a="1"/>
  <c r="I24" i="55"/>
  <c r="G28" i="55" a="1"/>
  <c r="G28" i="55"/>
  <c r="G77" i="55" a="1"/>
  <c r="G77" i="55"/>
  <c r="I84" i="55" a="1"/>
  <c r="I84" i="55"/>
  <c r="I91" i="55" a="1"/>
  <c r="I91" i="55"/>
  <c r="I99" i="55" a="1"/>
  <c r="I99" i="55"/>
  <c r="I98" i="55" a="1"/>
  <c r="I98" i="55"/>
  <c r="I74" i="55" a="1"/>
  <c r="I74" i="55"/>
  <c r="G81" i="55" a="1"/>
  <c r="G81" i="55"/>
  <c r="G89" i="55" a="1"/>
  <c r="G89" i="55"/>
  <c r="G101" i="55" a="1"/>
  <c r="G101" i="55"/>
  <c r="I293" i="55" a="1"/>
  <c r="I293" i="55"/>
  <c r="G320" i="55" a="1"/>
  <c r="G320" i="55"/>
  <c r="G308" i="55" a="1"/>
  <c r="G308" i="55"/>
  <c r="G384" i="55" a="1"/>
  <c r="G384" i="55"/>
  <c r="G297" i="55" a="1"/>
  <c r="G297" i="55"/>
  <c r="K297" i="55"/>
  <c r="G163" i="55" a="1"/>
  <c r="G163" i="55"/>
  <c r="G161" i="55" a="1"/>
  <c r="G161" i="55"/>
  <c r="K161" i="55"/>
  <c r="G266" i="55" a="1"/>
  <c r="G266" i="55"/>
  <c r="K266" i="55"/>
  <c r="I286" i="55" a="1"/>
  <c r="I286" i="55"/>
  <c r="I373" i="55" a="1"/>
  <c r="I373" i="55"/>
  <c r="I307" i="55" a="1"/>
  <c r="I307" i="55"/>
  <c r="I372" i="55" a="1"/>
  <c r="I372" i="55"/>
  <c r="I261" i="55" a="1"/>
  <c r="I261" i="55"/>
  <c r="I340" i="55" a="1"/>
  <c r="I340" i="55"/>
  <c r="I309" i="55" a="1"/>
  <c r="I309" i="55"/>
  <c r="I382" i="55" a="1"/>
  <c r="I382" i="55"/>
  <c r="I431" i="55" a="1"/>
  <c r="I431" i="55"/>
  <c r="G226" i="55" a="1"/>
  <c r="G226" i="55"/>
  <c r="G350" i="55" a="1"/>
  <c r="G350" i="55"/>
  <c r="G193" i="55" a="1"/>
  <c r="G193" i="55"/>
  <c r="G346" i="55" a="1"/>
  <c r="G346" i="55"/>
  <c r="G359" i="55" a="1"/>
  <c r="G359" i="55"/>
  <c r="G427" i="55" a="1"/>
  <c r="G427" i="55"/>
  <c r="K427" i="55"/>
  <c r="G156" i="55" a="1"/>
  <c r="G156" i="55"/>
  <c r="K156" i="55"/>
  <c r="G408" i="55" a="1"/>
  <c r="G408" i="55"/>
  <c r="G409" i="55" a="1"/>
  <c r="G409" i="55"/>
  <c r="I394" i="55" a="1"/>
  <c r="I394" i="55"/>
  <c r="I416" i="55" a="1"/>
  <c r="I416" i="55"/>
  <c r="G428" i="55" a="1"/>
  <c r="G428" i="55"/>
  <c r="G152" i="55" a="1"/>
  <c r="G152" i="55"/>
  <c r="G388" i="55" a="1"/>
  <c r="G388" i="55"/>
  <c r="I428" i="55" a="1"/>
  <c r="I428" i="55"/>
  <c r="I152" i="55" a="1"/>
  <c r="I152" i="55"/>
  <c r="I388" i="55" a="1"/>
  <c r="I388" i="55"/>
  <c r="G145" i="55" a="1"/>
  <c r="G145" i="55"/>
  <c r="G22" i="55" a="1"/>
  <c r="G22" i="55"/>
  <c r="G110" i="55" a="1"/>
  <c r="G110" i="55"/>
  <c r="G119" i="55" a="1"/>
  <c r="G119" i="55"/>
  <c r="I128" i="55" a="1"/>
  <c r="I128" i="55"/>
  <c r="I135" i="55" a="1"/>
  <c r="I135" i="55"/>
  <c r="I143" i="55" a="1"/>
  <c r="I143" i="55"/>
  <c r="G144" i="55" a="1"/>
  <c r="G144" i="55"/>
  <c r="I110" i="55" a="1"/>
  <c r="I110" i="55"/>
  <c r="I117" i="55" a="1"/>
  <c r="I117" i="55"/>
  <c r="G125" i="55" a="1"/>
  <c r="G125" i="55"/>
  <c r="G133" i="55" a="1"/>
  <c r="G133" i="55"/>
  <c r="I141" i="55" a="1"/>
  <c r="I141" i="55"/>
  <c r="G109" i="55" a="1"/>
  <c r="G109" i="55"/>
  <c r="I116" i="55" a="1"/>
  <c r="I116" i="55"/>
  <c r="G124" i="55" a="1"/>
  <c r="G124" i="55"/>
  <c r="G132" i="55" a="1"/>
  <c r="G132" i="55"/>
  <c r="K132" i="55"/>
  <c r="G143" i="55" a="1"/>
  <c r="G143" i="55"/>
  <c r="I111" i="55" a="1"/>
  <c r="I111" i="55"/>
  <c r="I120" i="55" a="1"/>
  <c r="I120" i="55"/>
  <c r="G128" i="55" a="1"/>
  <c r="G128" i="55"/>
  <c r="K128" i="55"/>
  <c r="I136" i="55" a="1"/>
  <c r="I136" i="55"/>
  <c r="G27" i="55" a="1"/>
  <c r="G27" i="55"/>
  <c r="G375" i="55" a="1"/>
  <c r="G375" i="55"/>
  <c r="G318" i="55" a="1"/>
  <c r="G318" i="55"/>
  <c r="G234" i="55" a="1"/>
  <c r="G234" i="55"/>
  <c r="K234" i="55"/>
  <c r="G267" i="55" a="1"/>
  <c r="G267" i="55"/>
  <c r="K267" i="55"/>
  <c r="G166" i="55" a="1"/>
  <c r="G166" i="55"/>
  <c r="K166" i="55"/>
  <c r="G381" i="55" a="1"/>
  <c r="G381" i="55"/>
  <c r="G162" i="55" a="1"/>
  <c r="G162" i="55"/>
  <c r="K162" i="55"/>
  <c r="G357" i="55" a="1"/>
  <c r="G357" i="55"/>
  <c r="I226" i="55" a="1"/>
  <c r="I226" i="55"/>
  <c r="I350" i="55" a="1"/>
  <c r="I350" i="55"/>
  <c r="I193" i="55" a="1"/>
  <c r="I193" i="55"/>
  <c r="I346" i="55" a="1"/>
  <c r="I346" i="55"/>
  <c r="I359" i="55" a="1"/>
  <c r="I359" i="55"/>
  <c r="G270" i="55" a="1"/>
  <c r="G270" i="55"/>
  <c r="K270" i="55"/>
  <c r="G292" i="55" a="1"/>
  <c r="G292" i="55"/>
  <c r="G204" i="55" a="1"/>
  <c r="G204" i="55"/>
  <c r="K204" i="55"/>
  <c r="G279" i="55" a="1"/>
  <c r="G279" i="55"/>
  <c r="G229" i="55" a="1"/>
  <c r="G229" i="55"/>
  <c r="K229" i="55"/>
  <c r="G287" i="55" a="1"/>
  <c r="G287" i="55"/>
  <c r="G355" i="55" a="1"/>
  <c r="G355" i="55"/>
  <c r="G12" i="55" a="1"/>
  <c r="G12" i="55"/>
  <c r="K12" i="55"/>
  <c r="G262" i="55" a="1"/>
  <c r="G262" i="55"/>
  <c r="G387" i="55" a="1"/>
  <c r="G387" i="55"/>
  <c r="K387" i="55"/>
  <c r="G390" i="55" a="1"/>
  <c r="G390" i="55"/>
  <c r="G411" i="55" a="1"/>
  <c r="G411" i="55"/>
  <c r="I321" i="55" a="1"/>
  <c r="I321" i="55"/>
  <c r="I418" i="55" a="1"/>
  <c r="I418" i="55"/>
  <c r="I206" i="55" a="1"/>
  <c r="I206" i="55"/>
  <c r="I393" i="55" a="1"/>
  <c r="I393" i="55"/>
  <c r="I412" i="55" a="1"/>
  <c r="I412" i="55"/>
  <c r="G413" i="55" a="1"/>
  <c r="G413" i="55"/>
  <c r="G429" i="55" a="1"/>
  <c r="G429" i="55"/>
  <c r="G395" i="55" a="1"/>
  <c r="G395" i="55"/>
  <c r="G389" i="55" a="1"/>
  <c r="G389" i="55"/>
  <c r="G174" i="55" a="1"/>
  <c r="G174" i="55"/>
  <c r="I429" i="55" a="1"/>
  <c r="I429" i="55"/>
  <c r="I395" i="55" a="1"/>
  <c r="I395" i="55"/>
  <c r="I389" i="55" a="1"/>
  <c r="I389" i="55"/>
  <c r="I415" i="55" a="1"/>
  <c r="I415" i="55"/>
  <c r="G31" i="55" a="1"/>
  <c r="G31" i="55"/>
  <c r="I145" i="55" a="1"/>
  <c r="I145" i="55"/>
  <c r="G104" i="55" a="1"/>
  <c r="G104" i="55"/>
  <c r="G112" i="55" a="1"/>
  <c r="G112" i="55"/>
  <c r="G121" i="55" a="1"/>
  <c r="G121" i="55"/>
  <c r="K121" i="55"/>
  <c r="G130" i="55" a="1"/>
  <c r="G130" i="55"/>
  <c r="G138" i="55" a="1"/>
  <c r="G138" i="55"/>
  <c r="G137" i="55" a="1"/>
  <c r="G137" i="55"/>
  <c r="I104" i="55" a="1"/>
  <c r="I104" i="55"/>
  <c r="I112" i="55" a="1"/>
  <c r="I112" i="55"/>
  <c r="I119" i="55" a="1"/>
  <c r="I119" i="55"/>
  <c r="G127" i="55" a="1"/>
  <c r="G127" i="55"/>
  <c r="K127" i="55"/>
  <c r="I134" i="55" a="1"/>
  <c r="I134" i="55"/>
  <c r="I144" i="55" a="1"/>
  <c r="I144" i="55"/>
  <c r="G111" i="55" a="1"/>
  <c r="G111" i="55"/>
  <c r="G118" i="55" a="1"/>
  <c r="G118" i="55"/>
  <c r="I125" i="55" a="1"/>
  <c r="I125" i="55"/>
  <c r="I133" i="55" a="1"/>
  <c r="I133" i="55"/>
  <c r="I105" i="55" a="1"/>
  <c r="I105" i="55"/>
  <c r="I113" i="55" a="1"/>
  <c r="I113" i="55"/>
  <c r="I122" i="55" a="1"/>
  <c r="I122" i="55"/>
  <c r="G131" i="55" a="1"/>
  <c r="G131" i="55"/>
  <c r="K131" i="55"/>
  <c r="G139" i="55" a="1"/>
  <c r="G139" i="55"/>
  <c r="K139" i="55"/>
  <c r="G25" i="55" a="1"/>
  <c r="G25" i="55"/>
  <c r="I28" i="55" a="1"/>
  <c r="I28" i="55"/>
  <c r="G34" i="55" a="1"/>
  <c r="G34" i="55"/>
  <c r="K34" i="55"/>
  <c r="G24" i="55" a="1"/>
  <c r="G24" i="55"/>
  <c r="I80" i="55" a="1"/>
  <c r="I80" i="55"/>
  <c r="I87" i="55" a="1"/>
  <c r="I87" i="55"/>
  <c r="I95" i="55" a="1"/>
  <c r="I95" i="55"/>
  <c r="I103" i="55" a="1"/>
  <c r="I103" i="55"/>
  <c r="I97" i="55" a="1"/>
  <c r="I97" i="55"/>
  <c r="I77" i="55" a="1"/>
  <c r="I77" i="55"/>
  <c r="G85" i="55" a="1"/>
  <c r="G85" i="55"/>
  <c r="G93" i="55" a="1"/>
  <c r="G93" i="55"/>
  <c r="G26" i="55" a="1"/>
  <c r="G26" i="55"/>
  <c r="K26" i="55"/>
  <c r="G102" i="55" a="1"/>
  <c r="G102" i="55"/>
  <c r="I90" i="55" a="1"/>
  <c r="I90" i="55"/>
  <c r="I79" i="55" a="1"/>
  <c r="I79" i="55"/>
  <c r="I89" i="55" a="1"/>
  <c r="I89" i="55"/>
  <c r="G78" i="55" a="1"/>
  <c r="G78" i="55"/>
  <c r="I88" i="55" a="1"/>
  <c r="I88" i="55"/>
  <c r="G99" i="55" a="1"/>
  <c r="G99" i="55"/>
  <c r="G41" i="55" a="1"/>
  <c r="G41" i="55"/>
  <c r="G51" i="55" a="1"/>
  <c r="G51" i="55"/>
  <c r="G61" i="55" a="1"/>
  <c r="G61" i="55"/>
  <c r="I72" i="55" a="1"/>
  <c r="I72" i="55"/>
  <c r="I41" i="55" a="1"/>
  <c r="I41" i="55"/>
  <c r="I51" i="55" a="1"/>
  <c r="I51" i="55"/>
  <c r="I63" i="55" a="1"/>
  <c r="I63" i="55"/>
  <c r="G68" i="55" a="1"/>
  <c r="G68" i="55"/>
  <c r="G44" i="55" a="1"/>
  <c r="G44" i="55"/>
  <c r="G56" i="55" a="1"/>
  <c r="G56" i="55"/>
  <c r="G66" i="55" a="1"/>
  <c r="G66" i="55"/>
  <c r="I44" i="55" a="1"/>
  <c r="I44" i="55"/>
  <c r="I52" i="55" a="1"/>
  <c r="I52" i="55"/>
  <c r="I60" i="55" a="1"/>
  <c r="I60" i="55"/>
  <c r="I68" i="55" a="1"/>
  <c r="I68" i="55"/>
  <c r="G32" i="55" a="1"/>
  <c r="G32" i="55"/>
  <c r="I29" i="55" a="1"/>
  <c r="I29" i="55"/>
  <c r="I62" i="55" a="1"/>
  <c r="I62" i="55"/>
  <c r="I27" i="55" a="1"/>
  <c r="I27" i="55"/>
  <c r="I56" i="55" a="1"/>
  <c r="I56" i="55"/>
  <c r="I33" i="55" a="1"/>
  <c r="I33" i="55"/>
  <c r="I23" i="55" a="1"/>
  <c r="I23" i="55"/>
  <c r="I78" i="55" a="1"/>
  <c r="I78" i="55"/>
  <c r="I102" i="55" a="1"/>
  <c r="I102" i="55"/>
  <c r="I101" i="55" a="1"/>
  <c r="I101" i="55"/>
  <c r="I81" i="55" a="1"/>
  <c r="I81" i="55"/>
  <c r="I93" i="55" a="1"/>
  <c r="I93" i="55"/>
  <c r="G80" i="55" a="1"/>
  <c r="G80" i="55"/>
  <c r="G91" i="55" a="1"/>
  <c r="G91" i="55"/>
  <c r="G103" i="55" a="1"/>
  <c r="G103" i="55"/>
  <c r="G43" i="55" a="1"/>
  <c r="G43" i="55"/>
  <c r="G53" i="55" a="1"/>
  <c r="G53" i="55"/>
  <c r="K53" i="55"/>
  <c r="G65" i="55" a="1"/>
  <c r="G65" i="55"/>
  <c r="G70" i="55" a="1"/>
  <c r="G70" i="55"/>
  <c r="I43" i="55" a="1"/>
  <c r="I43" i="55"/>
  <c r="I55" i="55" a="1"/>
  <c r="I55" i="55"/>
  <c r="I65" i="55" a="1"/>
  <c r="I65" i="55"/>
  <c r="G36" i="55" a="1"/>
  <c r="G36" i="55"/>
  <c r="G48" i="55" a="1"/>
  <c r="G48" i="55"/>
  <c r="G58" i="55" a="1"/>
  <c r="G58" i="55"/>
  <c r="I36" i="55" a="1"/>
  <c r="I36" i="55"/>
  <c r="I46" i="55" a="1"/>
  <c r="I46" i="55"/>
  <c r="I54" i="55" a="1"/>
  <c r="I54" i="55"/>
  <c r="I70" i="55" a="1"/>
  <c r="I70" i="55"/>
  <c r="I48" i="55" a="1"/>
  <c r="I48" i="55"/>
  <c r="G72" i="55" a="1"/>
  <c r="G72" i="55"/>
  <c r="I31" i="55" a="1"/>
  <c r="I31" i="55"/>
  <c r="I30" i="55" a="1"/>
  <c r="I30" i="55"/>
  <c r="G86" i="55" a="1"/>
  <c r="G86" i="55"/>
  <c r="K86" i="55"/>
  <c r="G76" i="55" a="1"/>
  <c r="G76" i="55"/>
  <c r="G73" i="55" a="1"/>
  <c r="G73" i="55"/>
  <c r="I85" i="55" a="1"/>
  <c r="I85" i="55"/>
  <c r="G96" i="55" a="1"/>
  <c r="G96" i="55"/>
  <c r="G82" i="55" a="1"/>
  <c r="G82" i="55"/>
  <c r="K82" i="55"/>
  <c r="G95" i="55" a="1"/>
  <c r="G95" i="55"/>
  <c r="G35" i="55" a="1"/>
  <c r="G35" i="55"/>
  <c r="G45" i="55" a="1"/>
  <c r="G45" i="55"/>
  <c r="G57" i="55" a="1"/>
  <c r="G57" i="55"/>
  <c r="G67" i="55" a="1"/>
  <c r="G67" i="55"/>
  <c r="I35" i="55" a="1"/>
  <c r="I35" i="55"/>
  <c r="I47" i="55" a="1"/>
  <c r="I47" i="55"/>
  <c r="I57" i="55" a="1"/>
  <c r="I57" i="55"/>
  <c r="I67" i="55" a="1"/>
  <c r="I67" i="55"/>
  <c r="G40" i="55" a="1"/>
  <c r="G40" i="55"/>
  <c r="G50" i="55" a="1"/>
  <c r="G50" i="55"/>
  <c r="G60" i="55" a="1"/>
  <c r="G60" i="55"/>
  <c r="I40" i="55" a="1"/>
  <c r="I40" i="55"/>
  <c r="I64" i="55" a="1"/>
  <c r="I64" i="55"/>
  <c r="I25" i="55" a="1"/>
  <c r="I25" i="55"/>
  <c r="I22" i="55" a="1"/>
  <c r="I22" i="55"/>
  <c r="G94" i="55" a="1"/>
  <c r="G94" i="55"/>
  <c r="G83" i="55" a="1"/>
  <c r="G83" i="55"/>
  <c r="I76" i="55" a="1"/>
  <c r="I76" i="55"/>
  <c r="G88" i="55" a="1"/>
  <c r="G88" i="55"/>
  <c r="I73" i="55" a="1"/>
  <c r="I73" i="55"/>
  <c r="G87" i="55" a="1"/>
  <c r="G87" i="55"/>
  <c r="I96" i="55" a="1"/>
  <c r="I96" i="55"/>
  <c r="G37" i="55" a="1"/>
  <c r="G37" i="55"/>
  <c r="K37" i="55"/>
  <c r="G49" i="55" a="1"/>
  <c r="G49" i="55"/>
  <c r="G59" i="55" a="1"/>
  <c r="G59" i="55"/>
  <c r="G69" i="55" a="1"/>
  <c r="G69" i="55"/>
  <c r="I39" i="55" a="1"/>
  <c r="I39" i="55"/>
  <c r="I49" i="55" a="1"/>
  <c r="I49" i="55"/>
  <c r="I59" i="55" a="1"/>
  <c r="I59" i="55"/>
  <c r="I71" i="55" a="1"/>
  <c r="I71" i="55"/>
  <c r="G42" i="55" a="1"/>
  <c r="G42" i="55"/>
  <c r="G52" i="55" a="1"/>
  <c r="G52" i="55"/>
  <c r="G64" i="55" a="1"/>
  <c r="G64" i="55"/>
  <c r="I42" i="55" a="1"/>
  <c r="I42" i="55"/>
  <c r="I50" i="55" a="1"/>
  <c r="I50" i="55"/>
  <c r="I58" i="55" a="1"/>
  <c r="I58" i="55"/>
  <c r="I66" i="55" a="1"/>
  <c r="I66" i="55"/>
  <c r="I32" i="55" a="1"/>
  <c r="I32" i="55"/>
  <c r="A15" i="12"/>
  <c r="K83" i="55"/>
  <c r="K138" i="55"/>
  <c r="K262" i="55"/>
  <c r="K318" i="55"/>
  <c r="K409" i="55"/>
  <c r="K163" i="55"/>
  <c r="K88" i="55"/>
  <c r="A44" i="43"/>
  <c r="C44" i="43"/>
  <c r="E44" i="43"/>
  <c r="G44" i="43"/>
  <c r="D44" i="43"/>
  <c r="B44" i="43"/>
  <c r="F44" i="43"/>
  <c r="K165" i="55"/>
  <c r="K80" i="55"/>
  <c r="K186" i="55"/>
  <c r="K222" i="55"/>
  <c r="K130" i="55"/>
  <c r="K224" i="55"/>
  <c r="K140" i="55"/>
  <c r="K137" i="55"/>
  <c r="K174" i="55"/>
  <c r="K152" i="55"/>
  <c r="K145" i="55"/>
  <c r="K135" i="55"/>
  <c r="K134" i="55"/>
  <c r="K206" i="55"/>
  <c r="K146" i="55"/>
  <c r="K182" i="55"/>
  <c r="K170" i="55"/>
  <c r="K215" i="55"/>
  <c r="K133" i="55"/>
  <c r="K144" i="55"/>
  <c r="K226" i="55"/>
  <c r="K261" i="55"/>
  <c r="K141" i="55"/>
  <c r="K169" i="55"/>
  <c r="K157" i="55"/>
  <c r="K268" i="55"/>
  <c r="K223" i="55"/>
  <c r="K199" i="55"/>
  <c r="K143" i="55"/>
  <c r="K193" i="55"/>
  <c r="K142" i="55"/>
  <c r="K136" i="55"/>
  <c r="K272" i="55"/>
  <c r="K256" i="55"/>
  <c r="K280" i="55"/>
  <c r="K24" i="55"/>
  <c r="K408" i="55"/>
  <c r="K352" i="55"/>
  <c r="K109" i="55"/>
  <c r="K69" i="55"/>
  <c r="K118" i="55"/>
  <c r="K413" i="55"/>
  <c r="K381" i="55"/>
  <c r="K375" i="55"/>
  <c r="K61" i="55"/>
  <c r="K355" i="55"/>
  <c r="K279" i="55"/>
  <c r="K357" i="55"/>
  <c r="K308" i="55"/>
  <c r="K94" i="55"/>
  <c r="K320" i="55"/>
  <c r="K364" i="55"/>
  <c r="K411" i="55"/>
  <c r="K319" i="55"/>
  <c r="K369" i="55"/>
  <c r="K27" i="55"/>
  <c r="K60" i="55"/>
  <c r="K107" i="55"/>
  <c r="K42" i="55"/>
  <c r="K435" i="55"/>
  <c r="K305" i="55"/>
  <c r="K386" i="55"/>
  <c r="K76" i="55"/>
  <c r="K36" i="55"/>
  <c r="K100" i="55"/>
  <c r="K87" i="55"/>
  <c r="K95" i="55"/>
  <c r="K48" i="55"/>
  <c r="K68" i="55"/>
  <c r="K111" i="55"/>
  <c r="K104" i="55"/>
  <c r="K75" i="55"/>
  <c r="K64" i="55"/>
  <c r="K32" i="55"/>
  <c r="K114" i="55"/>
  <c r="K40" i="55"/>
  <c r="K25" i="55"/>
  <c r="K125" i="55"/>
  <c r="K52" i="55"/>
  <c r="K99" i="55"/>
  <c r="K124" i="55"/>
  <c r="K384" i="55"/>
  <c r="K287" i="55"/>
  <c r="K292" i="55"/>
  <c r="K421" i="55"/>
  <c r="K423" i="55"/>
  <c r="K45" i="55"/>
  <c r="K33" i="55"/>
  <c r="K390" i="55"/>
  <c r="K354" i="55"/>
  <c r="K117" i="55"/>
  <c r="K112" i="55"/>
  <c r="K49" i="55"/>
  <c r="K395" i="55"/>
  <c r="K91" i="55"/>
  <c r="K58" i="55"/>
  <c r="K44" i="55"/>
  <c r="K41" i="55"/>
  <c r="K359" i="55"/>
  <c r="K89" i="55"/>
  <c r="K28" i="55"/>
  <c r="K116" i="55"/>
  <c r="K392" i="55"/>
  <c r="K418" i="55"/>
  <c r="K286" i="55"/>
  <c r="K38" i="55"/>
  <c r="K55" i="55"/>
  <c r="K79" i="55"/>
  <c r="K90" i="55"/>
  <c r="K123" i="55"/>
  <c r="K416" i="55"/>
  <c r="K383" i="55"/>
  <c r="K377" i="55"/>
  <c r="K323" i="55"/>
  <c r="K311" i="55"/>
  <c r="K73" i="55"/>
  <c r="K389" i="55"/>
  <c r="K119" i="55"/>
  <c r="K428" i="55"/>
  <c r="K346" i="55"/>
  <c r="K81" i="55"/>
  <c r="K412" i="55"/>
  <c r="K382" i="55"/>
  <c r="K372" i="55"/>
  <c r="K62" i="55"/>
  <c r="K47" i="55"/>
  <c r="K84" i="55"/>
  <c r="K23" i="55"/>
  <c r="K120" i="55"/>
  <c r="K129" i="55"/>
  <c r="K394" i="55"/>
  <c r="K368" i="55"/>
  <c r="K348" i="55"/>
  <c r="K431" i="55"/>
  <c r="K385" i="55"/>
  <c r="K351" i="55"/>
  <c r="K417" i="55"/>
  <c r="K43" i="55"/>
  <c r="K93" i="55"/>
  <c r="K72" i="55"/>
  <c r="K66" i="55"/>
  <c r="K85" i="55"/>
  <c r="K110" i="55"/>
  <c r="K350" i="55"/>
  <c r="K122" i="55"/>
  <c r="K420" i="55"/>
  <c r="K393" i="55"/>
  <c r="K309" i="55"/>
  <c r="K307" i="55"/>
  <c r="K54" i="55"/>
  <c r="K71" i="55"/>
  <c r="K39" i="55"/>
  <c r="K97" i="55"/>
  <c r="K74" i="55"/>
  <c r="K113" i="55"/>
  <c r="K106" i="55"/>
  <c r="K430" i="55"/>
  <c r="K379" i="55"/>
  <c r="K419" i="55"/>
  <c r="K304" i="55"/>
  <c r="K341" i="55"/>
  <c r="K459" i="55"/>
  <c r="K59" i="55"/>
  <c r="K35" i="55"/>
  <c r="K67" i="55"/>
  <c r="K57" i="55"/>
  <c r="K70" i="55"/>
  <c r="K103" i="55"/>
  <c r="K50" i="55"/>
  <c r="K96" i="55"/>
  <c r="K65" i="55"/>
  <c r="K56" i="55"/>
  <c r="K51" i="55"/>
  <c r="K78" i="55"/>
  <c r="K102" i="55"/>
  <c r="K31" i="55"/>
  <c r="K429" i="55"/>
  <c r="K22" i="55"/>
  <c r="K388" i="55"/>
  <c r="K101" i="55"/>
  <c r="K77" i="55"/>
  <c r="K29" i="55"/>
  <c r="K115" i="55"/>
  <c r="K108" i="55"/>
  <c r="K414" i="55"/>
  <c r="K415" i="55"/>
  <c r="K340" i="55"/>
  <c r="K373" i="55"/>
  <c r="K46" i="55"/>
  <c r="K63" i="55"/>
  <c r="K92" i="55"/>
  <c r="K98" i="55"/>
  <c r="K30" i="55"/>
  <c r="K105" i="55"/>
  <c r="K396" i="55"/>
  <c r="K321" i="55"/>
  <c r="K322" i="55"/>
  <c r="K347" i="55"/>
  <c r="K380" i="55"/>
  <c r="K293" i="55"/>
  <c r="A12" i="43"/>
  <c r="G50" i="43"/>
  <c r="F484" i="55"/>
  <c r="F149" i="55"/>
  <c r="G17" i="55" a="1"/>
  <c r="G17" i="55"/>
  <c r="G18" i="55" a="1"/>
  <c r="G18" i="55"/>
  <c r="B13" i="55"/>
  <c r="E14" i="55"/>
  <c r="F15" i="55"/>
  <c r="F2" i="43"/>
  <c r="A49" i="43"/>
  <c r="K20" i="34"/>
  <c r="K19" i="34"/>
  <c r="K17" i="34"/>
  <c r="K11" i="34"/>
  <c r="K10" i="34"/>
  <c r="B11" i="34"/>
  <c r="B12" i="34"/>
  <c r="B13" i="34"/>
  <c r="B10" i="34"/>
  <c r="A19" i="34"/>
  <c r="A17" i="34"/>
  <c r="A20" i="34"/>
  <c r="A21" i="34"/>
  <c r="A18" i="34"/>
  <c r="V10" i="34"/>
  <c r="A12" i="34"/>
  <c r="A13" i="34"/>
  <c r="A16" i="34"/>
  <c r="A15" i="34"/>
  <c r="O13" i="34"/>
  <c r="Y13" i="34"/>
  <c r="P13" i="34"/>
  <c r="Q13" i="34"/>
  <c r="P12" i="34"/>
  <c r="Q12" i="34"/>
  <c r="O12" i="34"/>
  <c r="Y12" i="34"/>
  <c r="O11" i="34"/>
  <c r="Y11" i="34"/>
  <c r="P11" i="34"/>
  <c r="Q11" i="34"/>
  <c r="P10" i="34"/>
  <c r="Y10" i="34"/>
  <c r="O10" i="34"/>
  <c r="G7" i="57"/>
  <c r="D16" i="12"/>
  <c r="C16" i="12"/>
  <c r="A41" i="73"/>
  <c r="F41" i="73"/>
  <c r="A42" i="73"/>
  <c r="I42" i="73"/>
  <c r="D43" i="73"/>
  <c r="E43" i="73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/>
  <c r="I44" i="73"/>
  <c r="D45" i="73"/>
  <c r="E45" i="73"/>
  <c r="I45" i="73"/>
  <c r="D46" i="73"/>
  <c r="E46" i="73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/>
  <c r="H47" i="73"/>
  <c r="C48" i="73"/>
  <c r="H48" i="73"/>
  <c r="C49" i="73"/>
  <c r="H49" i="73"/>
  <c r="C50" i="73"/>
  <c r="G50" i="73"/>
  <c r="D41" i="73"/>
  <c r="E41" i="73"/>
  <c r="I41" i="73"/>
  <c r="D42" i="73"/>
  <c r="E42" i="73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/>
  <c r="I48" i="73"/>
  <c r="D49" i="73"/>
  <c r="E49" i="73"/>
  <c r="I49" i="73"/>
  <c r="D50" i="73"/>
  <c r="E50" i="73"/>
  <c r="H50" i="73"/>
  <c r="C18" i="73"/>
  <c r="C26" i="73"/>
  <c r="B34" i="73"/>
  <c r="H18" i="73"/>
  <c r="H26" i="73"/>
  <c r="G34" i="73"/>
  <c r="C12" i="73"/>
  <c r="D20" i="73"/>
  <c r="E20" i="73"/>
  <c r="D28" i="73"/>
  <c r="E28" i="73"/>
  <c r="C36" i="73"/>
  <c r="I21" i="73"/>
  <c r="H29" i="73"/>
  <c r="H37" i="73"/>
  <c r="I22" i="73"/>
  <c r="H30" i="73"/>
  <c r="H38" i="73"/>
  <c r="A15" i="73"/>
  <c r="A23" i="73"/>
  <c r="D31" i="73"/>
  <c r="E31" i="73"/>
  <c r="D39" i="73"/>
  <c r="E39" i="73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/>
  <c r="C29" i="73"/>
  <c r="C37" i="73"/>
  <c r="H22" i="73"/>
  <c r="G30" i="73"/>
  <c r="G38" i="73"/>
  <c r="I23" i="73"/>
  <c r="H31" i="73"/>
  <c r="H39" i="73"/>
  <c r="A16" i="73"/>
  <c r="A24" i="73"/>
  <c r="D32" i="73"/>
  <c r="E32" i="73"/>
  <c r="D40" i="73"/>
  <c r="E40" i="73"/>
  <c r="F17" i="73"/>
  <c r="F25" i="73"/>
  <c r="I33" i="73"/>
  <c r="A19" i="73"/>
  <c r="A27" i="73"/>
  <c r="D35" i="73"/>
  <c r="E35" i="73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/>
  <c r="I18" i="73"/>
  <c r="I26" i="73"/>
  <c r="H34" i="73"/>
  <c r="D12" i="73"/>
  <c r="E12" i="73"/>
  <c r="A20" i="73"/>
  <c r="A28" i="73"/>
  <c r="D36" i="73"/>
  <c r="E36" i="73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/>
  <c r="D26" i="73"/>
  <c r="E26" i="73"/>
  <c r="C34" i="73"/>
  <c r="I19" i="73"/>
  <c r="I27" i="73"/>
  <c r="H35" i="73"/>
  <c r="D13" i="73"/>
  <c r="E13" i="73"/>
  <c r="A21" i="73"/>
  <c r="D29" i="73"/>
  <c r="E29" i="73"/>
  <c r="D37" i="73"/>
  <c r="E37" i="73"/>
  <c r="B11" i="73"/>
  <c r="C11" i="73"/>
  <c r="D14" i="73"/>
  <c r="E14" i="73"/>
  <c r="A22" i="73"/>
  <c r="D30" i="73"/>
  <c r="E30" i="73"/>
  <c r="D38" i="73"/>
  <c r="E38" i="73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/>
  <c r="C30" i="73"/>
  <c r="C38" i="73"/>
  <c r="D15" i="73"/>
  <c r="E15" i="73"/>
  <c r="D23" i="73"/>
  <c r="E23" i="73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/>
  <c r="D16" i="73"/>
  <c r="E16" i="73"/>
  <c r="D24" i="73"/>
  <c r="E24" i="73"/>
  <c r="C32" i="73"/>
  <c r="C40" i="73"/>
  <c r="F16" i="73"/>
  <c r="F24" i="73"/>
  <c r="I32" i="73"/>
  <c r="H40" i="73"/>
  <c r="A18" i="73"/>
  <c r="A26" i="73"/>
  <c r="D34" i="73"/>
  <c r="E34" i="73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/>
  <c r="D25" i="73"/>
  <c r="E25" i="73"/>
  <c r="C33" i="73"/>
  <c r="I17" i="73"/>
  <c r="I25" i="73"/>
  <c r="H33" i="73"/>
  <c r="D19" i="73"/>
  <c r="E19" i="73"/>
  <c r="D27" i="73"/>
  <c r="E27" i="73"/>
  <c r="C35" i="73"/>
  <c r="I12" i="73"/>
  <c r="F20" i="73"/>
  <c r="I28" i="73"/>
  <c r="I36" i="73"/>
  <c r="F21" i="73"/>
  <c r="I29" i="73"/>
  <c r="I37" i="73"/>
  <c r="A14" i="73"/>
  <c r="H55" i="73"/>
  <c r="B22" i="73"/>
  <c r="A30" i="73"/>
  <c r="A38" i="73"/>
  <c r="G15" i="73"/>
  <c r="G23" i="73"/>
  <c r="F31" i="73"/>
  <c r="F39" i="73"/>
  <c r="C17" i="73"/>
  <c r="C25" i="73"/>
  <c r="B33" i="73"/>
  <c r="G11" i="73"/>
  <c r="F2" i="73"/>
  <c r="A54" i="73"/>
  <c r="D6" i="73"/>
  <c r="T8" i="43"/>
  <c r="C20" i="15"/>
  <c r="D20" i="15"/>
  <c r="D36" i="15"/>
  <c r="K582" i="60"/>
  <c r="K333" i="60"/>
  <c r="A332" i="60"/>
  <c r="K170" i="60"/>
  <c r="I6" i="60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/>
  <c r="E483" i="55"/>
  <c r="I434" i="55" a="1"/>
  <c r="I434" i="55"/>
  <c r="G434" i="55" a="1"/>
  <c r="G434" i="55"/>
  <c r="I432" i="55" a="1"/>
  <c r="I432" i="55"/>
  <c r="G432" i="55" a="1"/>
  <c r="G432" i="55"/>
  <c r="I424" i="55" a="1"/>
  <c r="I424" i="55"/>
  <c r="G424" i="55" a="1"/>
  <c r="G424" i="55"/>
  <c r="I422" i="55" a="1"/>
  <c r="I422" i="55"/>
  <c r="G422" i="55" a="1"/>
  <c r="G422" i="55"/>
  <c r="E149" i="55"/>
  <c r="I18" i="55" a="1"/>
  <c r="I18" i="55"/>
  <c r="I17" i="55" a="1"/>
  <c r="I17" i="55"/>
  <c r="I16" i="55" a="1"/>
  <c r="I16" i="55"/>
  <c r="G16" i="55" a="1"/>
  <c r="G16" i="55"/>
  <c r="G148" i="55"/>
  <c r="B16" i="55"/>
  <c r="A16" i="55"/>
  <c r="F14" i="55"/>
  <c r="E15" i="55"/>
  <c r="I11" i="55" a="1"/>
  <c r="I11" i="55"/>
  <c r="G11" i="55" a="1"/>
  <c r="G11" i="55"/>
  <c r="I10" i="55" a="1"/>
  <c r="I10" i="55"/>
  <c r="G10" i="55" a="1"/>
  <c r="G10" i="55"/>
  <c r="L13" i="54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U13" i="34"/>
  <c r="U14" i="34"/>
  <c r="U11" i="34"/>
  <c r="U12" i="34"/>
  <c r="E341" i="60"/>
  <c r="I341" i="60"/>
  <c r="E342" i="60"/>
  <c r="I342" i="60"/>
  <c r="D343" i="60"/>
  <c r="H343" i="60"/>
  <c r="G344" i="60"/>
  <c r="G345" i="60"/>
  <c r="G346" i="60"/>
  <c r="G347" i="60"/>
  <c r="F348" i="60"/>
  <c r="F349" i="60"/>
  <c r="F350" i="60"/>
  <c r="E351" i="60"/>
  <c r="I351" i="60"/>
  <c r="D352" i="60"/>
  <c r="H352" i="60"/>
  <c r="D353" i="60"/>
  <c r="H353" i="60"/>
  <c r="D354" i="60"/>
  <c r="H354" i="60"/>
  <c r="G355" i="60"/>
  <c r="F356" i="60"/>
  <c r="F357" i="60"/>
  <c r="F358" i="60"/>
  <c r="E359" i="60"/>
  <c r="I359" i="60"/>
  <c r="D360" i="60"/>
  <c r="H360" i="60"/>
  <c r="D361" i="60"/>
  <c r="H361" i="60"/>
  <c r="D362" i="60"/>
  <c r="H362" i="60"/>
  <c r="G363" i="60"/>
  <c r="F364" i="60"/>
  <c r="F365" i="60"/>
  <c r="F366" i="60"/>
  <c r="F367" i="60"/>
  <c r="E368" i="60"/>
  <c r="I368" i="60"/>
  <c r="E369" i="60"/>
  <c r="I369" i="60"/>
  <c r="E370" i="60"/>
  <c r="I370" i="60"/>
  <c r="E371" i="60"/>
  <c r="I371" i="60"/>
  <c r="D372" i="60"/>
  <c r="H372" i="60"/>
  <c r="D373" i="60"/>
  <c r="H373" i="60"/>
  <c r="D374" i="60"/>
  <c r="H374" i="60"/>
  <c r="D375" i="60"/>
  <c r="H375" i="60"/>
  <c r="G376" i="60"/>
  <c r="G377" i="60"/>
  <c r="G378" i="60"/>
  <c r="G379" i="60"/>
  <c r="F380" i="60"/>
  <c r="F381" i="60"/>
  <c r="F382" i="60"/>
  <c r="F383" i="60"/>
  <c r="E384" i="60"/>
  <c r="I384" i="60"/>
  <c r="E385" i="60"/>
  <c r="I385" i="60"/>
  <c r="E386" i="60"/>
  <c r="I386" i="60"/>
  <c r="E387" i="60"/>
  <c r="I387" i="60"/>
  <c r="D388" i="60"/>
  <c r="H388" i="60"/>
  <c r="D389" i="60"/>
  <c r="H389" i="60"/>
  <c r="D390" i="60"/>
  <c r="H390" i="60"/>
  <c r="D391" i="60"/>
  <c r="H391" i="60"/>
  <c r="G392" i="60"/>
  <c r="G393" i="60"/>
  <c r="G394" i="60"/>
  <c r="G395" i="60"/>
  <c r="F396" i="60"/>
  <c r="F397" i="60"/>
  <c r="F398" i="60"/>
  <c r="F399" i="60"/>
  <c r="E400" i="60"/>
  <c r="I400" i="60"/>
  <c r="E401" i="60"/>
  <c r="I401" i="60"/>
  <c r="E402" i="60"/>
  <c r="I402" i="60"/>
  <c r="E403" i="60"/>
  <c r="I403" i="60"/>
  <c r="D404" i="60"/>
  <c r="H404" i="60"/>
  <c r="D405" i="60"/>
  <c r="H405" i="60"/>
  <c r="D406" i="60"/>
  <c r="H406" i="60"/>
  <c r="D407" i="60"/>
  <c r="H407" i="60"/>
  <c r="G408" i="60"/>
  <c r="G409" i="60"/>
  <c r="G410" i="60"/>
  <c r="G411" i="60"/>
  <c r="F412" i="60"/>
  <c r="F413" i="60"/>
  <c r="F414" i="60"/>
  <c r="F415" i="60"/>
  <c r="E416" i="60"/>
  <c r="I416" i="60"/>
  <c r="E417" i="60"/>
  <c r="I417" i="60"/>
  <c r="E418" i="60"/>
  <c r="I418" i="60"/>
  <c r="E419" i="60"/>
  <c r="I419" i="60"/>
  <c r="D420" i="60"/>
  <c r="H420" i="60"/>
  <c r="D421" i="60"/>
  <c r="H421" i="60"/>
  <c r="D422" i="60"/>
  <c r="F341" i="60"/>
  <c r="F342" i="60"/>
  <c r="E343" i="60"/>
  <c r="I343" i="60"/>
  <c r="D344" i="60"/>
  <c r="H344" i="60"/>
  <c r="D345" i="60"/>
  <c r="H345" i="60"/>
  <c r="D346" i="60"/>
  <c r="H346" i="60"/>
  <c r="D347" i="60"/>
  <c r="H347" i="60"/>
  <c r="G348" i="60"/>
  <c r="G349" i="60"/>
  <c r="G350" i="60"/>
  <c r="F351" i="60"/>
  <c r="E352" i="60"/>
  <c r="I352" i="60"/>
  <c r="E353" i="60"/>
  <c r="I353" i="60"/>
  <c r="E354" i="60"/>
  <c r="I354" i="60"/>
  <c r="D355" i="60"/>
  <c r="H355" i="60"/>
  <c r="G356" i="60"/>
  <c r="G357" i="60"/>
  <c r="G358" i="60"/>
  <c r="F359" i="60"/>
  <c r="E360" i="60"/>
  <c r="I360" i="60"/>
  <c r="E361" i="60"/>
  <c r="I361" i="60"/>
  <c r="E362" i="60"/>
  <c r="I362" i="60"/>
  <c r="D363" i="60"/>
  <c r="H363" i="60"/>
  <c r="G364" i="60"/>
  <c r="G365" i="60"/>
  <c r="G366" i="60"/>
  <c r="G367" i="60"/>
  <c r="F368" i="60"/>
  <c r="F369" i="60"/>
  <c r="F370" i="60"/>
  <c r="F371" i="60"/>
  <c r="E372" i="60"/>
  <c r="I372" i="60"/>
  <c r="E373" i="60"/>
  <c r="I373" i="60"/>
  <c r="E374" i="60"/>
  <c r="I374" i="60"/>
  <c r="E375" i="60"/>
  <c r="G341" i="60"/>
  <c r="G342" i="60"/>
  <c r="F343" i="60"/>
  <c r="E344" i="60"/>
  <c r="I344" i="60"/>
  <c r="E345" i="60"/>
  <c r="I345" i="60"/>
  <c r="E346" i="60"/>
  <c r="I346" i="60"/>
  <c r="E347" i="60"/>
  <c r="I347" i="60"/>
  <c r="D348" i="60"/>
  <c r="H348" i="60"/>
  <c r="D349" i="60"/>
  <c r="H349" i="60"/>
  <c r="D350" i="60"/>
  <c r="H350" i="60"/>
  <c r="G351" i="60"/>
  <c r="F352" i="60"/>
  <c r="F353" i="60"/>
  <c r="F354" i="60"/>
  <c r="E355" i="60"/>
  <c r="I355" i="60"/>
  <c r="D356" i="60"/>
  <c r="H356" i="60"/>
  <c r="D357" i="60"/>
  <c r="H357" i="60"/>
  <c r="D358" i="60"/>
  <c r="H358" i="60"/>
  <c r="G359" i="60"/>
  <c r="F360" i="60"/>
  <c r="F361" i="60"/>
  <c r="F362" i="60"/>
  <c r="E363" i="60"/>
  <c r="I363" i="60"/>
  <c r="D364" i="60"/>
  <c r="H364" i="60"/>
  <c r="D365" i="60"/>
  <c r="D341" i="60"/>
  <c r="H341" i="60"/>
  <c r="D342" i="60"/>
  <c r="H342" i="60"/>
  <c r="G343" i="60"/>
  <c r="F344" i="60"/>
  <c r="F345" i="60"/>
  <c r="F346" i="60"/>
  <c r="F347" i="60"/>
  <c r="E348" i="60"/>
  <c r="I348" i="60"/>
  <c r="E349" i="60"/>
  <c r="I349" i="60"/>
  <c r="E350" i="60"/>
  <c r="I350" i="60"/>
  <c r="D351" i="60"/>
  <c r="H351" i="60"/>
  <c r="G352" i="60"/>
  <c r="G353" i="60"/>
  <c r="G354" i="60"/>
  <c r="F355" i="60"/>
  <c r="E356" i="60"/>
  <c r="I356" i="60"/>
  <c r="E357" i="60"/>
  <c r="I357" i="60"/>
  <c r="E358" i="60"/>
  <c r="I358" i="60"/>
  <c r="D359" i="60"/>
  <c r="H359" i="60"/>
  <c r="G360" i="60"/>
  <c r="G361" i="60"/>
  <c r="G362" i="60"/>
  <c r="F363" i="60"/>
  <c r="E364" i="60"/>
  <c r="I364" i="60"/>
  <c r="E365" i="60"/>
  <c r="I365" i="60"/>
  <c r="E366" i="60"/>
  <c r="I366" i="60"/>
  <c r="E367" i="60"/>
  <c r="I367" i="60"/>
  <c r="D368" i="60"/>
  <c r="H368" i="60"/>
  <c r="D369" i="60"/>
  <c r="H369" i="60"/>
  <c r="D370" i="60"/>
  <c r="H370" i="60"/>
  <c r="D371" i="60"/>
  <c r="H371" i="60"/>
  <c r="G372" i="60"/>
  <c r="G373" i="60"/>
  <c r="G374" i="60"/>
  <c r="G375" i="60"/>
  <c r="F376" i="60"/>
  <c r="F377" i="60"/>
  <c r="F378" i="60"/>
  <c r="F379" i="60"/>
  <c r="E380" i="60"/>
  <c r="I380" i="60"/>
  <c r="E381" i="60"/>
  <c r="I381" i="60"/>
  <c r="E382" i="60"/>
  <c r="I382" i="60"/>
  <c r="E383" i="60"/>
  <c r="I383" i="60"/>
  <c r="D384" i="60"/>
  <c r="H384" i="60"/>
  <c r="D385" i="60"/>
  <c r="H385" i="60"/>
  <c r="D386" i="60"/>
  <c r="H386" i="60"/>
  <c r="D387" i="60"/>
  <c r="H387" i="60"/>
  <c r="G388" i="60"/>
  <c r="G389" i="60"/>
  <c r="G390" i="60"/>
  <c r="G391" i="60"/>
  <c r="F392" i="60"/>
  <c r="F393" i="60"/>
  <c r="F394" i="60"/>
  <c r="F395" i="60"/>
  <c r="E396" i="60"/>
  <c r="I396" i="60"/>
  <c r="E397" i="60"/>
  <c r="I397" i="60"/>
  <c r="E398" i="60"/>
  <c r="I398" i="60"/>
  <c r="E399" i="60"/>
  <c r="I399" i="60"/>
  <c r="D400" i="60"/>
  <c r="H400" i="60"/>
  <c r="D401" i="60"/>
  <c r="H401" i="60"/>
  <c r="D402" i="60"/>
  <c r="H402" i="60"/>
  <c r="D403" i="60"/>
  <c r="H403" i="60"/>
  <c r="G404" i="60"/>
  <c r="G405" i="60"/>
  <c r="G406" i="60"/>
  <c r="G407" i="60"/>
  <c r="F408" i="60"/>
  <c r="F409" i="60"/>
  <c r="F410" i="60"/>
  <c r="F411" i="60"/>
  <c r="E412" i="60"/>
  <c r="I412" i="60"/>
  <c r="E413" i="60"/>
  <c r="I413" i="60"/>
  <c r="E414" i="60"/>
  <c r="I414" i="60"/>
  <c r="E415" i="60"/>
  <c r="I415" i="60"/>
  <c r="D416" i="60"/>
  <c r="H416" i="60"/>
  <c r="D417" i="60"/>
  <c r="H417" i="60"/>
  <c r="D418" i="60"/>
  <c r="H418" i="60"/>
  <c r="D419" i="60"/>
  <c r="H419" i="60"/>
  <c r="G420" i="60"/>
  <c r="H365" i="60"/>
  <c r="H367" i="60"/>
  <c r="G369" i="60"/>
  <c r="G371" i="60"/>
  <c r="F373" i="60"/>
  <c r="F375" i="60"/>
  <c r="E376" i="60"/>
  <c r="E377" i="60"/>
  <c r="E378" i="60"/>
  <c r="E379" i="60"/>
  <c r="D380" i="60"/>
  <c r="D381" i="60"/>
  <c r="D382" i="60"/>
  <c r="D383" i="60"/>
  <c r="I392" i="60"/>
  <c r="I393" i="60"/>
  <c r="I394" i="60"/>
  <c r="I395" i="60"/>
  <c r="H396" i="60"/>
  <c r="H397" i="60"/>
  <c r="H398" i="60"/>
  <c r="H399" i="60"/>
  <c r="G400" i="60"/>
  <c r="G401" i="60"/>
  <c r="G402" i="60"/>
  <c r="G403" i="60"/>
  <c r="F404" i="60"/>
  <c r="F405" i="60"/>
  <c r="F406" i="60"/>
  <c r="F407" i="60"/>
  <c r="E408" i="60"/>
  <c r="E409" i="60"/>
  <c r="E410" i="60"/>
  <c r="E411" i="60"/>
  <c r="D412" i="60"/>
  <c r="D413" i="60"/>
  <c r="D414" i="60"/>
  <c r="D415" i="60"/>
  <c r="I421" i="60"/>
  <c r="F422" i="60"/>
  <c r="F423" i="60"/>
  <c r="E424" i="60"/>
  <c r="I424" i="60"/>
  <c r="E425" i="60"/>
  <c r="I425" i="60"/>
  <c r="E426" i="60"/>
  <c r="I426" i="60"/>
  <c r="E427" i="60"/>
  <c r="I427" i="60"/>
  <c r="D428" i="60"/>
  <c r="H428" i="60"/>
  <c r="D429" i="60"/>
  <c r="H429" i="60"/>
  <c r="D430" i="60"/>
  <c r="H430" i="60"/>
  <c r="D431" i="60"/>
  <c r="H431" i="60"/>
  <c r="G432" i="60"/>
  <c r="G433" i="60"/>
  <c r="G434" i="60"/>
  <c r="G435" i="60"/>
  <c r="F436" i="60"/>
  <c r="F437" i="60"/>
  <c r="F438" i="60"/>
  <c r="F439" i="60"/>
  <c r="E440" i="60"/>
  <c r="I440" i="60"/>
  <c r="E441" i="60"/>
  <c r="I441" i="60"/>
  <c r="E442" i="60"/>
  <c r="I442" i="60"/>
  <c r="E443" i="60"/>
  <c r="I443" i="60"/>
  <c r="D444" i="60"/>
  <c r="H444" i="60"/>
  <c r="D445" i="60"/>
  <c r="H445" i="60"/>
  <c r="D446" i="60"/>
  <c r="H446" i="60"/>
  <c r="D447" i="60"/>
  <c r="H447" i="60"/>
  <c r="G448" i="60"/>
  <c r="G449" i="60"/>
  <c r="G450" i="60"/>
  <c r="G451" i="60"/>
  <c r="F452" i="60"/>
  <c r="F453" i="60"/>
  <c r="F454" i="60"/>
  <c r="F455" i="60"/>
  <c r="E456" i="60"/>
  <c r="I456" i="60"/>
  <c r="D366" i="60"/>
  <c r="I375" i="60"/>
  <c r="H376" i="60"/>
  <c r="H377" i="60"/>
  <c r="H378" i="60"/>
  <c r="H379" i="60"/>
  <c r="G380" i="60"/>
  <c r="G381" i="60"/>
  <c r="G382" i="60"/>
  <c r="G383" i="60"/>
  <c r="F384" i="60"/>
  <c r="F385" i="60"/>
  <c r="F386" i="60"/>
  <c r="F387" i="60"/>
  <c r="E388" i="60"/>
  <c r="E389" i="60"/>
  <c r="E390" i="60"/>
  <c r="E391" i="60"/>
  <c r="D392" i="60"/>
  <c r="D393" i="60"/>
  <c r="D394" i="60"/>
  <c r="D395" i="60"/>
  <c r="I404" i="60"/>
  <c r="I405" i="60"/>
  <c r="I406" i="60"/>
  <c r="I407" i="60"/>
  <c r="H408" i="60"/>
  <c r="H409" i="60"/>
  <c r="H410" i="60"/>
  <c r="H411" i="60"/>
  <c r="G412" i="60"/>
  <c r="G413" i="60"/>
  <c r="G414" i="60"/>
  <c r="G415" i="60"/>
  <c r="F416" i="60"/>
  <c r="F417" i="60"/>
  <c r="F418" i="60"/>
  <c r="F419" i="60"/>
  <c r="E420" i="60"/>
  <c r="E421" i="60"/>
  <c r="G422" i="60"/>
  <c r="G423" i="60"/>
  <c r="F424" i="60"/>
  <c r="F425" i="60"/>
  <c r="F426" i="60"/>
  <c r="F427" i="60"/>
  <c r="E428" i="60"/>
  <c r="I428" i="60"/>
  <c r="E429" i="60"/>
  <c r="I429" i="60"/>
  <c r="E430" i="60"/>
  <c r="I430" i="60"/>
  <c r="E431" i="60"/>
  <c r="I431" i="60"/>
  <c r="D432" i="60"/>
  <c r="H432" i="60"/>
  <c r="D433" i="60"/>
  <c r="H433" i="60"/>
  <c r="D434" i="60"/>
  <c r="H434" i="60"/>
  <c r="D435" i="60"/>
  <c r="H435" i="60"/>
  <c r="G436" i="60"/>
  <c r="G437" i="60"/>
  <c r="G438" i="60"/>
  <c r="G439" i="60"/>
  <c r="F440" i="60"/>
  <c r="F441" i="60"/>
  <c r="F442" i="60"/>
  <c r="F443" i="60"/>
  <c r="E444" i="60"/>
  <c r="I444" i="60"/>
  <c r="E445" i="60"/>
  <c r="I445" i="60"/>
  <c r="E446" i="60"/>
  <c r="I446" i="60"/>
  <c r="E447" i="60"/>
  <c r="I447" i="60"/>
  <c r="D448" i="60"/>
  <c r="H448" i="60"/>
  <c r="D449" i="60"/>
  <c r="H449" i="60"/>
  <c r="D450" i="60"/>
  <c r="H450" i="60"/>
  <c r="D451" i="60"/>
  <c r="H451" i="60"/>
  <c r="G452" i="60"/>
  <c r="G453" i="60"/>
  <c r="H366" i="60"/>
  <c r="J366" i="60"/>
  <c r="G368" i="60"/>
  <c r="G370" i="60"/>
  <c r="F372" i="60"/>
  <c r="F374" i="60"/>
  <c r="I376" i="60"/>
  <c r="I377" i="60"/>
  <c r="I378" i="60"/>
  <c r="I379" i="60"/>
  <c r="H380" i="60"/>
  <c r="H381" i="60"/>
  <c r="H382" i="60"/>
  <c r="H383" i="60"/>
  <c r="G384" i="60"/>
  <c r="G385" i="60"/>
  <c r="G386" i="60"/>
  <c r="G387" i="60"/>
  <c r="F388" i="60"/>
  <c r="F389" i="60"/>
  <c r="F390" i="60"/>
  <c r="F391" i="60"/>
  <c r="E392" i="60"/>
  <c r="E393" i="60"/>
  <c r="E394" i="60"/>
  <c r="E395" i="60"/>
  <c r="D396" i="60"/>
  <c r="D397" i="60"/>
  <c r="D398" i="60"/>
  <c r="D399" i="60"/>
  <c r="I408" i="60"/>
  <c r="I409" i="60"/>
  <c r="I410" i="60"/>
  <c r="I411" i="60"/>
  <c r="H412" i="60"/>
  <c r="H413" i="60"/>
  <c r="H414" i="60"/>
  <c r="H415" i="60"/>
  <c r="G416" i="60"/>
  <c r="G417" i="60"/>
  <c r="G418" i="60"/>
  <c r="G419" i="60"/>
  <c r="F420" i="60"/>
  <c r="F421" i="60"/>
  <c r="H422" i="60"/>
  <c r="D423" i="60"/>
  <c r="H423" i="60"/>
  <c r="G424" i="60"/>
  <c r="G425" i="60"/>
  <c r="G426" i="60"/>
  <c r="G427" i="60"/>
  <c r="F428" i="60"/>
  <c r="F429" i="60"/>
  <c r="F430" i="60"/>
  <c r="F431" i="60"/>
  <c r="E432" i="60"/>
  <c r="I432" i="60"/>
  <c r="E433" i="60"/>
  <c r="I433" i="60"/>
  <c r="E434" i="60"/>
  <c r="I434" i="60"/>
  <c r="E435" i="60"/>
  <c r="I435" i="60"/>
  <c r="D436" i="60"/>
  <c r="H436" i="60"/>
  <c r="D437" i="60"/>
  <c r="D367" i="60"/>
  <c r="J367" i="60"/>
  <c r="D376" i="60"/>
  <c r="J376" i="60"/>
  <c r="D377" i="60"/>
  <c r="J377" i="60"/>
  <c r="D378" i="60"/>
  <c r="J378" i="60"/>
  <c r="D379" i="60"/>
  <c r="J379" i="60"/>
  <c r="I388" i="60"/>
  <c r="I389" i="60"/>
  <c r="I390" i="60"/>
  <c r="I391" i="60"/>
  <c r="H392" i="60"/>
  <c r="H393" i="60"/>
  <c r="H394" i="60"/>
  <c r="H395" i="60"/>
  <c r="G396" i="60"/>
  <c r="G397" i="60"/>
  <c r="G398" i="60"/>
  <c r="G399" i="60"/>
  <c r="F400" i="60"/>
  <c r="F401" i="60"/>
  <c r="F402" i="60"/>
  <c r="F403" i="60"/>
  <c r="E404" i="60"/>
  <c r="E405" i="60"/>
  <c r="E406" i="60"/>
  <c r="E407" i="60"/>
  <c r="D408" i="60"/>
  <c r="J408" i="60"/>
  <c r="D409" i="60"/>
  <c r="J409" i="60"/>
  <c r="D410" i="60"/>
  <c r="J410" i="60"/>
  <c r="D411" i="60"/>
  <c r="J411" i="60"/>
  <c r="I420" i="60"/>
  <c r="G421" i="60"/>
  <c r="E422" i="60"/>
  <c r="I422" i="60"/>
  <c r="E423" i="60"/>
  <c r="I423" i="60"/>
  <c r="D424" i="60"/>
  <c r="H424" i="60"/>
  <c r="D425" i="60"/>
  <c r="H425" i="60"/>
  <c r="D426" i="60"/>
  <c r="H426" i="60"/>
  <c r="D427" i="60"/>
  <c r="H427" i="60"/>
  <c r="G428" i="60"/>
  <c r="G429" i="60"/>
  <c r="G430" i="60"/>
  <c r="G431" i="60"/>
  <c r="F432" i="60"/>
  <c r="F433" i="60"/>
  <c r="F434" i="60"/>
  <c r="F435" i="60"/>
  <c r="E436" i="60"/>
  <c r="I436" i="60"/>
  <c r="E437" i="60"/>
  <c r="I437" i="60"/>
  <c r="E438" i="60"/>
  <c r="I438" i="60"/>
  <c r="E439" i="60"/>
  <c r="I439" i="60"/>
  <c r="D440" i="60"/>
  <c r="H440" i="60"/>
  <c r="D441" i="60"/>
  <c r="H441" i="60"/>
  <c r="D442" i="60"/>
  <c r="H442" i="60"/>
  <c r="D443" i="60"/>
  <c r="H443" i="60"/>
  <c r="G444" i="60"/>
  <c r="G445" i="60"/>
  <c r="G446" i="60"/>
  <c r="G447" i="60"/>
  <c r="F448" i="60"/>
  <c r="F449" i="60"/>
  <c r="F450" i="60"/>
  <c r="F451" i="60"/>
  <c r="E452" i="60"/>
  <c r="I452" i="60"/>
  <c r="E453" i="60"/>
  <c r="I453" i="60"/>
  <c r="E454" i="60"/>
  <c r="I454" i="60"/>
  <c r="E455" i="60"/>
  <c r="I455" i="60"/>
  <c r="D456" i="60"/>
  <c r="H456" i="60"/>
  <c r="D457" i="60"/>
  <c r="H457" i="60"/>
  <c r="D458" i="60"/>
  <c r="H458" i="60"/>
  <c r="D459" i="60"/>
  <c r="H459" i="60"/>
  <c r="G460" i="60"/>
  <c r="G461" i="60"/>
  <c r="G462" i="60"/>
  <c r="G463" i="60"/>
  <c r="F464" i="60"/>
  <c r="F465" i="60"/>
  <c r="F466" i="60"/>
  <c r="F467" i="60"/>
  <c r="E468" i="60"/>
  <c r="I468" i="60"/>
  <c r="E469" i="60"/>
  <c r="I469" i="60"/>
  <c r="E470" i="60"/>
  <c r="I470" i="60"/>
  <c r="E471" i="60"/>
  <c r="I471" i="60"/>
  <c r="D472" i="60"/>
  <c r="H472" i="60"/>
  <c r="D473" i="60"/>
  <c r="H473" i="60"/>
  <c r="D474" i="60"/>
  <c r="H474" i="60"/>
  <c r="D475" i="60"/>
  <c r="H475" i="60"/>
  <c r="G476" i="60"/>
  <c r="G477" i="60"/>
  <c r="G478" i="60"/>
  <c r="G479" i="60"/>
  <c r="F480" i="60"/>
  <c r="F481" i="60"/>
  <c r="F482" i="60"/>
  <c r="F483" i="60"/>
  <c r="E484" i="60"/>
  <c r="I484" i="60"/>
  <c r="E485" i="60"/>
  <c r="I485" i="60"/>
  <c r="E486" i="60"/>
  <c r="I486" i="60"/>
  <c r="E487" i="60"/>
  <c r="I487" i="60"/>
  <c r="D488" i="60"/>
  <c r="H488" i="60"/>
  <c r="D489" i="60"/>
  <c r="H489" i="60"/>
  <c r="D490" i="60"/>
  <c r="H490" i="60"/>
  <c r="D491" i="60"/>
  <c r="H491" i="60"/>
  <c r="G492" i="60"/>
  <c r="H437" i="60"/>
  <c r="H439" i="60"/>
  <c r="G441" i="60"/>
  <c r="G443" i="60"/>
  <c r="F445" i="60"/>
  <c r="F447" i="60"/>
  <c r="E449" i="60"/>
  <c r="E451" i="60"/>
  <c r="D453" i="60"/>
  <c r="G454" i="60"/>
  <c r="G455" i="60"/>
  <c r="F456" i="60"/>
  <c r="E457" i="60"/>
  <c r="G458" i="60"/>
  <c r="E459" i="60"/>
  <c r="F460" i="60"/>
  <c r="D461" i="60"/>
  <c r="I461" i="60"/>
  <c r="F462" i="60"/>
  <c r="D463" i="60"/>
  <c r="I463" i="60"/>
  <c r="E464" i="60"/>
  <c r="H465" i="60"/>
  <c r="E466" i="60"/>
  <c r="H467" i="60"/>
  <c r="D468" i="60"/>
  <c r="G469" i="60"/>
  <c r="D470" i="60"/>
  <c r="G471" i="60"/>
  <c r="I472" i="60"/>
  <c r="F473" i="60"/>
  <c r="I474" i="60"/>
  <c r="F475" i="60"/>
  <c r="H476" i="60"/>
  <c r="E477" i="60"/>
  <c r="H478" i="60"/>
  <c r="E479" i="60"/>
  <c r="G480" i="60"/>
  <c r="D481" i="60"/>
  <c r="I481" i="60"/>
  <c r="G482" i="60"/>
  <c r="D483" i="60"/>
  <c r="I483" i="60"/>
  <c r="F484" i="60"/>
  <c r="H485" i="60"/>
  <c r="F486" i="60"/>
  <c r="H487" i="60"/>
  <c r="E488" i="60"/>
  <c r="G489" i="60"/>
  <c r="E490" i="60"/>
  <c r="G491" i="60"/>
  <c r="D492" i="60"/>
  <c r="I492" i="60"/>
  <c r="E493" i="60"/>
  <c r="I493" i="60"/>
  <c r="E494" i="60"/>
  <c r="I494" i="60"/>
  <c r="E495" i="60"/>
  <c r="I495" i="60"/>
  <c r="D496" i="60"/>
  <c r="H496" i="60"/>
  <c r="D497" i="60"/>
  <c r="H497" i="60"/>
  <c r="D498" i="60"/>
  <c r="H498" i="60"/>
  <c r="D499" i="60"/>
  <c r="H499" i="60"/>
  <c r="G500" i="60"/>
  <c r="G501" i="60"/>
  <c r="G502" i="60"/>
  <c r="G503" i="60"/>
  <c r="F504" i="60"/>
  <c r="F505" i="60"/>
  <c r="F506" i="60"/>
  <c r="F507" i="60"/>
  <c r="E508" i="60"/>
  <c r="I508" i="60"/>
  <c r="E509" i="60"/>
  <c r="I509" i="60"/>
  <c r="E510" i="60"/>
  <c r="I510" i="60"/>
  <c r="E511" i="60"/>
  <c r="I511" i="60"/>
  <c r="D512" i="60"/>
  <c r="H512" i="60"/>
  <c r="D513" i="60"/>
  <c r="H513" i="60"/>
  <c r="D514" i="60"/>
  <c r="H514" i="60"/>
  <c r="D515" i="60"/>
  <c r="H515" i="60"/>
  <c r="G516" i="60"/>
  <c r="G517" i="60"/>
  <c r="G518" i="60"/>
  <c r="G519" i="60"/>
  <c r="F520" i="60"/>
  <c r="F521" i="60"/>
  <c r="F522" i="60"/>
  <c r="F523" i="60"/>
  <c r="E524" i="60"/>
  <c r="I524" i="60"/>
  <c r="E525" i="60"/>
  <c r="I525" i="60"/>
  <c r="E526" i="60"/>
  <c r="I526" i="60"/>
  <c r="E527" i="60"/>
  <c r="I527" i="60"/>
  <c r="D528" i="60"/>
  <c r="H528" i="60"/>
  <c r="D529" i="60"/>
  <c r="H529" i="60"/>
  <c r="D530" i="60"/>
  <c r="H530" i="60"/>
  <c r="D531" i="60"/>
  <c r="H531" i="60"/>
  <c r="G532" i="60"/>
  <c r="G533" i="60"/>
  <c r="G534" i="60"/>
  <c r="G535" i="60"/>
  <c r="F536" i="60"/>
  <c r="F537" i="60"/>
  <c r="F538" i="60"/>
  <c r="F539" i="60"/>
  <c r="E540" i="60"/>
  <c r="I540" i="60"/>
  <c r="E541" i="60"/>
  <c r="I541" i="60"/>
  <c r="E542" i="60"/>
  <c r="I542" i="60"/>
  <c r="E543" i="60"/>
  <c r="I543" i="60"/>
  <c r="D544" i="60"/>
  <c r="H544" i="60"/>
  <c r="D545" i="60"/>
  <c r="H545" i="60"/>
  <c r="D546" i="60"/>
  <c r="H546" i="60"/>
  <c r="D547" i="60"/>
  <c r="H547" i="60"/>
  <c r="G548" i="60"/>
  <c r="G549" i="60"/>
  <c r="G550" i="60"/>
  <c r="G551" i="60"/>
  <c r="F552" i="60"/>
  <c r="F553" i="60"/>
  <c r="F554" i="60"/>
  <c r="F555" i="60"/>
  <c r="E556" i="60"/>
  <c r="I556" i="60"/>
  <c r="E557" i="60"/>
  <c r="I557" i="60"/>
  <c r="E558" i="60"/>
  <c r="I558" i="60"/>
  <c r="E559" i="60"/>
  <c r="I559" i="60"/>
  <c r="D560" i="60"/>
  <c r="H560" i="60"/>
  <c r="D561" i="60"/>
  <c r="H561" i="60"/>
  <c r="D562" i="60"/>
  <c r="H562" i="60"/>
  <c r="D438" i="60"/>
  <c r="I449" i="60"/>
  <c r="I451" i="60"/>
  <c r="H453" i="60"/>
  <c r="H454" i="60"/>
  <c r="H455" i="60"/>
  <c r="G456" i="60"/>
  <c r="F457" i="60"/>
  <c r="I458" i="60"/>
  <c r="F459" i="60"/>
  <c r="H460" i="60"/>
  <c r="E461" i="60"/>
  <c r="H462" i="60"/>
  <c r="E463" i="60"/>
  <c r="G464" i="60"/>
  <c r="D465" i="60"/>
  <c r="I465" i="60"/>
  <c r="G466" i="60"/>
  <c r="D467" i="60"/>
  <c r="I467" i="60"/>
  <c r="F468" i="60"/>
  <c r="H469" i="60"/>
  <c r="F470" i="60"/>
  <c r="H471" i="60"/>
  <c r="E472" i="60"/>
  <c r="G473" i="60"/>
  <c r="E474" i="60"/>
  <c r="G475" i="60"/>
  <c r="D476" i="60"/>
  <c r="I476" i="60"/>
  <c r="F477" i="60"/>
  <c r="D478" i="60"/>
  <c r="I478" i="60"/>
  <c r="F479" i="60"/>
  <c r="H480" i="60"/>
  <c r="E481" i="60"/>
  <c r="H482" i="60"/>
  <c r="E483" i="60"/>
  <c r="G484" i="60"/>
  <c r="D485" i="60"/>
  <c r="G486" i="60"/>
  <c r="D487" i="60"/>
  <c r="F488" i="60"/>
  <c r="I489" i="60"/>
  <c r="F490" i="60"/>
  <c r="I491" i="60"/>
  <c r="E492" i="60"/>
  <c r="F493" i="60"/>
  <c r="F494" i="60"/>
  <c r="F495" i="60"/>
  <c r="E496" i="60"/>
  <c r="I496" i="60"/>
  <c r="E497" i="60"/>
  <c r="I497" i="60"/>
  <c r="E498" i="60"/>
  <c r="I498" i="60"/>
  <c r="E499" i="60"/>
  <c r="I499" i="60"/>
  <c r="D500" i="60"/>
  <c r="H500" i="60"/>
  <c r="D501" i="60"/>
  <c r="H501" i="60"/>
  <c r="D502" i="60"/>
  <c r="H502" i="60"/>
  <c r="D503" i="60"/>
  <c r="H503" i="60"/>
  <c r="G504" i="60"/>
  <c r="G505" i="60"/>
  <c r="G506" i="60"/>
  <c r="G507" i="60"/>
  <c r="F508" i="60"/>
  <c r="F509" i="60"/>
  <c r="F510" i="60"/>
  <c r="F511" i="60"/>
  <c r="E512" i="60"/>
  <c r="I512" i="60"/>
  <c r="E513" i="60"/>
  <c r="I513" i="60"/>
  <c r="E514" i="60"/>
  <c r="I514" i="60"/>
  <c r="E515" i="60"/>
  <c r="I515" i="60"/>
  <c r="D516" i="60"/>
  <c r="H516" i="60"/>
  <c r="D517" i="60"/>
  <c r="H517" i="60"/>
  <c r="D518" i="60"/>
  <c r="H518" i="60"/>
  <c r="D519" i="60"/>
  <c r="H519" i="60"/>
  <c r="G520" i="60"/>
  <c r="G521" i="60"/>
  <c r="G522" i="60"/>
  <c r="G523" i="60"/>
  <c r="F524" i="60"/>
  <c r="F525" i="60"/>
  <c r="F526" i="60"/>
  <c r="F527" i="60"/>
  <c r="E528" i="60"/>
  <c r="I528" i="60"/>
  <c r="E529" i="60"/>
  <c r="I529" i="60"/>
  <c r="E530" i="60"/>
  <c r="I530" i="60"/>
  <c r="E531" i="60"/>
  <c r="I531" i="60"/>
  <c r="D532" i="60"/>
  <c r="H532" i="60"/>
  <c r="D533" i="60"/>
  <c r="H533" i="60"/>
  <c r="D534" i="60"/>
  <c r="H534" i="60"/>
  <c r="D535" i="60"/>
  <c r="H535" i="60"/>
  <c r="G536" i="60"/>
  <c r="G537" i="60"/>
  <c r="G538" i="60"/>
  <c r="G539" i="60"/>
  <c r="F540" i="60"/>
  <c r="F541" i="60"/>
  <c r="F542" i="60"/>
  <c r="H438" i="60"/>
  <c r="G440" i="60"/>
  <c r="G442" i="60"/>
  <c r="F444" i="60"/>
  <c r="F446" i="60"/>
  <c r="E448" i="60"/>
  <c r="E450" i="60"/>
  <c r="D452" i="60"/>
  <c r="G457" i="60"/>
  <c r="E458" i="60"/>
  <c r="G459" i="60"/>
  <c r="D460" i="60"/>
  <c r="I460" i="60"/>
  <c r="F461" i="60"/>
  <c r="D462" i="60"/>
  <c r="I462" i="60"/>
  <c r="F463" i="60"/>
  <c r="H464" i="60"/>
  <c r="E465" i="60"/>
  <c r="H466" i="60"/>
  <c r="E467" i="60"/>
  <c r="G468" i="60"/>
  <c r="D469" i="60"/>
  <c r="G470" i="60"/>
  <c r="D471" i="60"/>
  <c r="F472" i="60"/>
  <c r="I473" i="60"/>
  <c r="F474" i="60"/>
  <c r="I475" i="60"/>
  <c r="E476" i="60"/>
  <c r="H477" i="60"/>
  <c r="E478" i="60"/>
  <c r="H479" i="60"/>
  <c r="D480" i="60"/>
  <c r="I480" i="60"/>
  <c r="G481" i="60"/>
  <c r="D482" i="60"/>
  <c r="I482" i="60"/>
  <c r="G483" i="60"/>
  <c r="H484" i="60"/>
  <c r="F485" i="60"/>
  <c r="H486" i="60"/>
  <c r="F487" i="60"/>
  <c r="G488" i="60"/>
  <c r="E489" i="60"/>
  <c r="G490" i="60"/>
  <c r="E491" i="60"/>
  <c r="F492" i="60"/>
  <c r="G493" i="60"/>
  <c r="G494" i="60"/>
  <c r="G495" i="60"/>
  <c r="F496" i="60"/>
  <c r="F497" i="60"/>
  <c r="F498" i="60"/>
  <c r="F499" i="60"/>
  <c r="E500" i="60"/>
  <c r="I500" i="60"/>
  <c r="E501" i="60"/>
  <c r="I501" i="60"/>
  <c r="E502" i="60"/>
  <c r="I502" i="60"/>
  <c r="E503" i="60"/>
  <c r="I503" i="60"/>
  <c r="D504" i="60"/>
  <c r="H504" i="60"/>
  <c r="D505" i="60"/>
  <c r="H505" i="60"/>
  <c r="D506" i="60"/>
  <c r="H506" i="60"/>
  <c r="D507" i="60"/>
  <c r="H507" i="60"/>
  <c r="G508" i="60"/>
  <c r="G509" i="60"/>
  <c r="G510" i="60"/>
  <c r="G511" i="60"/>
  <c r="F512" i="60"/>
  <c r="F513" i="60"/>
  <c r="F514" i="60"/>
  <c r="F515" i="60"/>
  <c r="E516" i="60"/>
  <c r="I516" i="60"/>
  <c r="E517" i="60"/>
  <c r="I517" i="60"/>
  <c r="E518" i="60"/>
  <c r="D439" i="60"/>
  <c r="J439" i="60"/>
  <c r="I448" i="60"/>
  <c r="I450" i="60"/>
  <c r="H452" i="60"/>
  <c r="D454" i="60"/>
  <c r="J454" i="60"/>
  <c r="D455" i="60"/>
  <c r="J455" i="60"/>
  <c r="I457" i="60"/>
  <c r="F458" i="60"/>
  <c r="I459" i="60"/>
  <c r="E460" i="60"/>
  <c r="J460" i="60"/>
  <c r="H461" i="60"/>
  <c r="E462" i="60"/>
  <c r="H463" i="60"/>
  <c r="D464" i="60"/>
  <c r="I464" i="60"/>
  <c r="G465" i="60"/>
  <c r="D466" i="60"/>
  <c r="I466" i="60"/>
  <c r="G467" i="60"/>
  <c r="H468" i="60"/>
  <c r="F469" i="60"/>
  <c r="H470" i="60"/>
  <c r="F471" i="60"/>
  <c r="G472" i="60"/>
  <c r="E473" i="60"/>
  <c r="G474" i="60"/>
  <c r="E475" i="60"/>
  <c r="F476" i="60"/>
  <c r="D477" i="60"/>
  <c r="I477" i="60"/>
  <c r="F478" i="60"/>
  <c r="D479" i="60"/>
  <c r="I479" i="60"/>
  <c r="E480" i="60"/>
  <c r="J480" i="60"/>
  <c r="H481" i="60"/>
  <c r="E482" i="60"/>
  <c r="H483" i="60"/>
  <c r="D484" i="60"/>
  <c r="G485" i="60"/>
  <c r="D486" i="60"/>
  <c r="G487" i="60"/>
  <c r="I488" i="60"/>
  <c r="F489" i="60"/>
  <c r="I490" i="60"/>
  <c r="F491" i="60"/>
  <c r="H492" i="60"/>
  <c r="D493" i="60"/>
  <c r="H493" i="60"/>
  <c r="D494" i="60"/>
  <c r="H494" i="60"/>
  <c r="D495" i="60"/>
  <c r="H495" i="60"/>
  <c r="G496" i="60"/>
  <c r="G497" i="60"/>
  <c r="G498" i="60"/>
  <c r="G499" i="60"/>
  <c r="F500" i="60"/>
  <c r="F501" i="60"/>
  <c r="F502" i="60"/>
  <c r="F503" i="60"/>
  <c r="E504" i="60"/>
  <c r="I504" i="60"/>
  <c r="E505" i="60"/>
  <c r="I505" i="60"/>
  <c r="E506" i="60"/>
  <c r="I506" i="60"/>
  <c r="E507" i="60"/>
  <c r="I507" i="60"/>
  <c r="D508" i="60"/>
  <c r="H508" i="60"/>
  <c r="D509" i="60"/>
  <c r="H509" i="60"/>
  <c r="D510" i="60"/>
  <c r="H510" i="60"/>
  <c r="D511" i="60"/>
  <c r="H511" i="60"/>
  <c r="G512" i="60"/>
  <c r="G513" i="60"/>
  <c r="G514" i="60"/>
  <c r="G515" i="60"/>
  <c r="F516" i="60"/>
  <c r="F517" i="60"/>
  <c r="F518" i="60"/>
  <c r="F519" i="60"/>
  <c r="E520" i="60"/>
  <c r="I520" i="60"/>
  <c r="E521" i="60"/>
  <c r="I521" i="60"/>
  <c r="E522" i="60"/>
  <c r="I522" i="60"/>
  <c r="E523" i="60"/>
  <c r="I523" i="60"/>
  <c r="D524" i="60"/>
  <c r="H524" i="60"/>
  <c r="D525" i="60"/>
  <c r="H525" i="60"/>
  <c r="D526" i="60"/>
  <c r="H526" i="60"/>
  <c r="D527" i="60"/>
  <c r="H527" i="60"/>
  <c r="G528" i="60"/>
  <c r="G529" i="60"/>
  <c r="G530" i="60"/>
  <c r="G531" i="60"/>
  <c r="F532" i="60"/>
  <c r="F533" i="60"/>
  <c r="F534" i="60"/>
  <c r="F535" i="60"/>
  <c r="E536" i="60"/>
  <c r="I536" i="60"/>
  <c r="E537" i="60"/>
  <c r="I537" i="60"/>
  <c r="E538" i="60"/>
  <c r="I538" i="60"/>
  <c r="E539" i="60"/>
  <c r="I539" i="60"/>
  <c r="D540" i="60"/>
  <c r="H540" i="60"/>
  <c r="D541" i="60"/>
  <c r="H541" i="60"/>
  <c r="D542" i="60"/>
  <c r="H542" i="60"/>
  <c r="D543" i="60"/>
  <c r="H543" i="60"/>
  <c r="G544" i="60"/>
  <c r="G545" i="60"/>
  <c r="G546" i="60"/>
  <c r="G547" i="60"/>
  <c r="F548" i="60"/>
  <c r="F549" i="60"/>
  <c r="F550" i="60"/>
  <c r="F551" i="60"/>
  <c r="E552" i="60"/>
  <c r="I552" i="60"/>
  <c r="E553" i="60"/>
  <c r="I553" i="60"/>
  <c r="E554" i="60"/>
  <c r="I554" i="60"/>
  <c r="E555" i="60"/>
  <c r="I555" i="60"/>
  <c r="D556" i="60"/>
  <c r="H556" i="60"/>
  <c r="D557" i="60"/>
  <c r="H557" i="60"/>
  <c r="D558" i="60"/>
  <c r="H558" i="60"/>
  <c r="D559" i="60"/>
  <c r="H559" i="60"/>
  <c r="G560" i="60"/>
  <c r="G561" i="60"/>
  <c r="G562" i="60"/>
  <c r="G563" i="60"/>
  <c r="F564" i="60"/>
  <c r="F565" i="60"/>
  <c r="F566" i="60"/>
  <c r="F567" i="60"/>
  <c r="E568" i="60"/>
  <c r="I568" i="60"/>
  <c r="E569" i="60"/>
  <c r="I569" i="60"/>
  <c r="E570" i="60"/>
  <c r="I518" i="60"/>
  <c r="H520" i="60"/>
  <c r="H522" i="60"/>
  <c r="G524" i="60"/>
  <c r="G526" i="60"/>
  <c r="F528" i="60"/>
  <c r="F530" i="60"/>
  <c r="E532" i="60"/>
  <c r="E534" i="60"/>
  <c r="D536" i="60"/>
  <c r="D538" i="60"/>
  <c r="F543" i="60"/>
  <c r="E544" i="60"/>
  <c r="E545" i="60"/>
  <c r="E546" i="60"/>
  <c r="E547" i="60"/>
  <c r="D548" i="60"/>
  <c r="D549" i="60"/>
  <c r="D550" i="60"/>
  <c r="D551" i="60"/>
  <c r="I560" i="60"/>
  <c r="I561" i="60"/>
  <c r="I562" i="60"/>
  <c r="F563" i="60"/>
  <c r="H564" i="60"/>
  <c r="E565" i="60"/>
  <c r="H566" i="60"/>
  <c r="E567" i="60"/>
  <c r="G568" i="60"/>
  <c r="D569" i="60"/>
  <c r="G570" i="60"/>
  <c r="G571" i="60"/>
  <c r="F572" i="60"/>
  <c r="F573" i="60"/>
  <c r="F574" i="60"/>
  <c r="F575" i="60"/>
  <c r="I576" i="60"/>
  <c r="E577" i="60"/>
  <c r="I578" i="60"/>
  <c r="I579" i="60"/>
  <c r="G540" i="60"/>
  <c r="G543" i="60"/>
  <c r="F546" i="60"/>
  <c r="F547" i="60"/>
  <c r="E550" i="60"/>
  <c r="D552" i="60"/>
  <c r="D554" i="60"/>
  <c r="I564" i="60"/>
  <c r="G565" i="60"/>
  <c r="G567" i="60"/>
  <c r="H568" i="60"/>
  <c r="F569" i="60"/>
  <c r="D571" i="60"/>
  <c r="G573" i="60"/>
  <c r="G574" i="60"/>
  <c r="G575" i="60"/>
  <c r="F576" i="60"/>
  <c r="H574" i="60"/>
  <c r="E519" i="60"/>
  <c r="D521" i="60"/>
  <c r="D523" i="60"/>
  <c r="I532" i="60"/>
  <c r="I534" i="60"/>
  <c r="H536" i="60"/>
  <c r="H538" i="60"/>
  <c r="G542" i="60"/>
  <c r="F544" i="60"/>
  <c r="E549" i="60"/>
  <c r="D555" i="60"/>
  <c r="H563" i="60"/>
  <c r="I566" i="60"/>
  <c r="F578" i="60"/>
  <c r="E580" i="60"/>
  <c r="G576" i="60"/>
  <c r="G578" i="60"/>
  <c r="F580" i="60"/>
  <c r="I519" i="60"/>
  <c r="H521" i="60"/>
  <c r="H523" i="60"/>
  <c r="G525" i="60"/>
  <c r="G527" i="60"/>
  <c r="F529" i="60"/>
  <c r="F531" i="60"/>
  <c r="E533" i="60"/>
  <c r="E535" i="60"/>
  <c r="D537" i="60"/>
  <c r="D539" i="60"/>
  <c r="I544" i="60"/>
  <c r="I545" i="60"/>
  <c r="I546" i="60"/>
  <c r="I547" i="60"/>
  <c r="H548" i="60"/>
  <c r="H549" i="60"/>
  <c r="H550" i="60"/>
  <c r="H551" i="60"/>
  <c r="G552" i="60"/>
  <c r="G553" i="60"/>
  <c r="G554" i="60"/>
  <c r="G555" i="60"/>
  <c r="F556" i="60"/>
  <c r="F557" i="60"/>
  <c r="F558" i="60"/>
  <c r="F559" i="60"/>
  <c r="E560" i="60"/>
  <c r="E561" i="60"/>
  <c r="E562" i="60"/>
  <c r="D563" i="60"/>
  <c r="I563" i="60"/>
  <c r="E564" i="60"/>
  <c r="H565" i="60"/>
  <c r="E566" i="60"/>
  <c r="H567" i="60"/>
  <c r="D568" i="60"/>
  <c r="G569" i="60"/>
  <c r="D570" i="60"/>
  <c r="I570" i="60"/>
  <c r="E571" i="60"/>
  <c r="I571" i="60"/>
  <c r="D572" i="60"/>
  <c r="H572" i="60"/>
  <c r="D573" i="60"/>
  <c r="H573" i="60"/>
  <c r="D574" i="60"/>
  <c r="D575" i="60"/>
  <c r="G579" i="60"/>
  <c r="D520" i="60"/>
  <c r="D522" i="60"/>
  <c r="J522" i="60"/>
  <c r="I533" i="60"/>
  <c r="I535" i="60"/>
  <c r="H537" i="60"/>
  <c r="H539" i="60"/>
  <c r="G541" i="60"/>
  <c r="I548" i="60"/>
  <c r="I549" i="60"/>
  <c r="I550" i="60"/>
  <c r="I551" i="60"/>
  <c r="H552" i="60"/>
  <c r="H553" i="60"/>
  <c r="H554" i="60"/>
  <c r="H555" i="60"/>
  <c r="G556" i="60"/>
  <c r="G557" i="60"/>
  <c r="G558" i="60"/>
  <c r="G559" i="60"/>
  <c r="F560" i="60"/>
  <c r="F561" i="60"/>
  <c r="F562" i="60"/>
  <c r="E563" i="60"/>
  <c r="G564" i="60"/>
  <c r="D565" i="60"/>
  <c r="I565" i="60"/>
  <c r="G566" i="60"/>
  <c r="D567" i="60"/>
  <c r="I567" i="60"/>
  <c r="F568" i="60"/>
  <c r="H569" i="60"/>
  <c r="F570" i="60"/>
  <c r="F571" i="60"/>
  <c r="E572" i="60"/>
  <c r="I572" i="60"/>
  <c r="E573" i="60"/>
  <c r="I573" i="60"/>
  <c r="E574" i="60"/>
  <c r="I574" i="60"/>
  <c r="E575" i="60"/>
  <c r="I575" i="60"/>
  <c r="D576" i="60"/>
  <c r="H576" i="60"/>
  <c r="D577" i="60"/>
  <c r="H577" i="60"/>
  <c r="D578" i="60"/>
  <c r="H578" i="60"/>
  <c r="D579" i="60"/>
  <c r="H579" i="60"/>
  <c r="G580" i="60"/>
  <c r="E576" i="60"/>
  <c r="J576" i="60"/>
  <c r="I577" i="60"/>
  <c r="E578" i="60"/>
  <c r="E579" i="60"/>
  <c r="D580" i="60"/>
  <c r="H580" i="60"/>
  <c r="F545" i="60"/>
  <c r="E548" i="60"/>
  <c r="J548" i="60"/>
  <c r="E551" i="60"/>
  <c r="D553" i="60"/>
  <c r="J553" i="60"/>
  <c r="D564" i="60"/>
  <c r="D566" i="60"/>
  <c r="J566" i="60"/>
  <c r="H570" i="60"/>
  <c r="H571" i="60"/>
  <c r="G572" i="60"/>
  <c r="F577" i="60"/>
  <c r="F579" i="60"/>
  <c r="I580" i="60"/>
  <c r="H575" i="60"/>
  <c r="G577" i="60"/>
  <c r="V12" i="34"/>
  <c r="V11" i="34"/>
  <c r="V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/>
  <c r="E64" i="57"/>
  <c r="B65" i="57"/>
  <c r="F65" i="57"/>
  <c r="C66" i="57"/>
  <c r="G66" i="57"/>
  <c r="D67" i="57"/>
  <c r="I67" i="57"/>
  <c r="J67" i="57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/>
  <c r="C41" i="57"/>
  <c r="G41" i="57"/>
  <c r="D42" i="57"/>
  <c r="I42" i="57"/>
  <c r="E43" i="57"/>
  <c r="B44" i="57"/>
  <c r="F44" i="57"/>
  <c r="H44" i="57"/>
  <c r="C45" i="57"/>
  <c r="G45" i="57"/>
  <c r="D46" i="57"/>
  <c r="I46" i="57"/>
  <c r="E47" i="57"/>
  <c r="B48" i="57"/>
  <c r="F48" i="57"/>
  <c r="H48" i="57"/>
  <c r="C49" i="57"/>
  <c r="G49" i="57"/>
  <c r="D50" i="57"/>
  <c r="I50" i="57"/>
  <c r="E51" i="57"/>
  <c r="B52" i="57"/>
  <c r="F52" i="57"/>
  <c r="H52" i="57"/>
  <c r="C53" i="57"/>
  <c r="G53" i="57"/>
  <c r="D54" i="57"/>
  <c r="I54" i="57"/>
  <c r="E55" i="57"/>
  <c r="B56" i="57"/>
  <c r="F56" i="57"/>
  <c r="H56" i="57"/>
  <c r="C57" i="57"/>
  <c r="G57" i="57"/>
  <c r="D58" i="57"/>
  <c r="I58" i="57"/>
  <c r="E59" i="57"/>
  <c r="B60" i="57"/>
  <c r="F60" i="57"/>
  <c r="H60" i="57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/>
  <c r="C27" i="57"/>
  <c r="G27" i="57"/>
  <c r="D28" i="57"/>
  <c r="I28" i="57"/>
  <c r="E29" i="57"/>
  <c r="B30" i="57"/>
  <c r="F30" i="57"/>
  <c r="H30" i="57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1" i="60"/>
  <c r="E327" i="60"/>
  <c r="E304" i="60"/>
  <c r="E316" i="60"/>
  <c r="E324" i="60"/>
  <c r="E301" i="60"/>
  <c r="E309" i="60"/>
  <c r="E317" i="60"/>
  <c r="E312" i="60"/>
  <c r="E305" i="60"/>
  <c r="E325" i="60"/>
  <c r="E321" i="60"/>
  <c r="E302" i="60"/>
  <c r="E306" i="60"/>
  <c r="E310" i="60"/>
  <c r="E314" i="60"/>
  <c r="E318" i="60"/>
  <c r="E322" i="60"/>
  <c r="E326" i="60"/>
  <c r="E330" i="60"/>
  <c r="E303" i="60"/>
  <c r="E307" i="60"/>
  <c r="E315" i="60"/>
  <c r="E319" i="60"/>
  <c r="E323" i="60"/>
  <c r="E331" i="60"/>
  <c r="E300" i="60"/>
  <c r="J300" i="60"/>
  <c r="E308" i="60"/>
  <c r="E320" i="60"/>
  <c r="E328" i="60"/>
  <c r="E313" i="60"/>
  <c r="E329" i="60"/>
  <c r="I148" i="55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H273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6" i="60"/>
  <c r="G306" i="60"/>
  <c r="I305" i="60"/>
  <c r="G305" i="60"/>
  <c r="I304" i="60"/>
  <c r="G304" i="60"/>
  <c r="I303" i="60"/>
  <c r="G303" i="60"/>
  <c r="I302" i="60"/>
  <c r="G302" i="60"/>
  <c r="I301" i="60"/>
  <c r="G301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F267" i="60"/>
  <c r="H266" i="60"/>
  <c r="D266" i="60"/>
  <c r="F265" i="60"/>
  <c r="H264" i="60"/>
  <c r="D264" i="60"/>
  <c r="F263" i="60"/>
  <c r="H262" i="60"/>
  <c r="D262" i="60"/>
  <c r="F261" i="60"/>
  <c r="H260" i="60"/>
  <c r="D260" i="60"/>
  <c r="F259" i="60"/>
  <c r="H258" i="60"/>
  <c r="D258" i="60"/>
  <c r="F257" i="60"/>
  <c r="H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H267" i="60"/>
  <c r="D267" i="60"/>
  <c r="F266" i="60"/>
  <c r="H265" i="60"/>
  <c r="D265" i="60"/>
  <c r="F264" i="60"/>
  <c r="H263" i="60"/>
  <c r="D263" i="60"/>
  <c r="F262" i="60"/>
  <c r="H261" i="60"/>
  <c r="D261" i="60"/>
  <c r="F260" i="60"/>
  <c r="H259" i="60"/>
  <c r="D259" i="60"/>
  <c r="F258" i="60"/>
  <c r="H257" i="60"/>
  <c r="D257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F205" i="60"/>
  <c r="D205" i="60"/>
  <c r="H204" i="60"/>
  <c r="F204" i="60"/>
  <c r="D204" i="60"/>
  <c r="H203" i="60"/>
  <c r="F203" i="60"/>
  <c r="D203" i="60"/>
  <c r="H202" i="60"/>
  <c r="F202" i="60"/>
  <c r="D202" i="60"/>
  <c r="H201" i="60"/>
  <c r="F201" i="60"/>
  <c r="D201" i="60"/>
  <c r="H200" i="60"/>
  <c r="F200" i="60"/>
  <c r="D200" i="60"/>
  <c r="H199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F199" i="60"/>
  <c r="H198" i="60"/>
  <c r="D198" i="60"/>
  <c r="F197" i="60"/>
  <c r="H196" i="60"/>
  <c r="D196" i="60"/>
  <c r="F195" i="60"/>
  <c r="H194" i="60"/>
  <c r="D194" i="60"/>
  <c r="H193" i="60"/>
  <c r="F193" i="60"/>
  <c r="D193" i="60"/>
  <c r="F192" i="60"/>
  <c r="H190" i="60"/>
  <c r="F190" i="60"/>
  <c r="D190" i="60"/>
  <c r="D189" i="60"/>
  <c r="H188" i="60"/>
  <c r="F188" i="60"/>
  <c r="D187" i="60"/>
  <c r="H186" i="60"/>
  <c r="F186" i="60"/>
  <c r="D185" i="60"/>
  <c r="H184" i="60"/>
  <c r="F184" i="60"/>
  <c r="D184" i="60"/>
  <c r="D199" i="60"/>
  <c r="F198" i="60"/>
  <c r="H197" i="60"/>
  <c r="D197" i="60"/>
  <c r="F196" i="60"/>
  <c r="H195" i="60"/>
  <c r="D195" i="60"/>
  <c r="F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I189" i="60"/>
  <c r="G189" i="60"/>
  <c r="E189" i="60"/>
  <c r="I188" i="60"/>
  <c r="G188" i="60"/>
  <c r="E188" i="60"/>
  <c r="I187" i="60"/>
  <c r="G187" i="60"/>
  <c r="E187" i="60"/>
  <c r="I186" i="60"/>
  <c r="G186" i="60"/>
  <c r="E186" i="60"/>
  <c r="I185" i="60"/>
  <c r="G185" i="60"/>
  <c r="E185" i="60"/>
  <c r="I184" i="60"/>
  <c r="G184" i="60"/>
  <c r="E184" i="60"/>
  <c r="H192" i="60"/>
  <c r="D192" i="60"/>
  <c r="H191" i="60"/>
  <c r="F191" i="60"/>
  <c r="D191" i="60"/>
  <c r="H189" i="60"/>
  <c r="F189" i="60"/>
  <c r="D188" i="60"/>
  <c r="H187" i="60"/>
  <c r="F187" i="60"/>
  <c r="D186" i="60"/>
  <c r="H185" i="60"/>
  <c r="F185" i="60"/>
  <c r="D162" i="60"/>
  <c r="H162" i="60"/>
  <c r="F163" i="60"/>
  <c r="D164" i="60"/>
  <c r="H164" i="60"/>
  <c r="F165" i="60"/>
  <c r="D166" i="60"/>
  <c r="H166" i="60"/>
  <c r="F167" i="60"/>
  <c r="D160" i="60"/>
  <c r="H160" i="60"/>
  <c r="F161" i="60"/>
  <c r="D142" i="60"/>
  <c r="H14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38" i="60"/>
  <c r="H138" i="60"/>
  <c r="F139" i="60"/>
  <c r="D140" i="60"/>
  <c r="H140" i="60"/>
  <c r="F141" i="60"/>
  <c r="D134" i="60"/>
  <c r="H134" i="60"/>
  <c r="F135" i="60"/>
  <c r="D136" i="60"/>
  <c r="H136" i="60"/>
  <c r="F137" i="60"/>
  <c r="D103" i="60"/>
  <c r="H103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E162" i="60"/>
  <c r="I162" i="60"/>
  <c r="G163" i="60"/>
  <c r="E164" i="60"/>
  <c r="I164" i="60"/>
  <c r="G165" i="60"/>
  <c r="E166" i="60"/>
  <c r="I166" i="60"/>
  <c r="G167" i="60"/>
  <c r="E160" i="60"/>
  <c r="I160" i="60"/>
  <c r="G16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38" i="60"/>
  <c r="I138" i="60"/>
  <c r="G139" i="60"/>
  <c r="E140" i="60"/>
  <c r="I140" i="60"/>
  <c r="G141" i="60"/>
  <c r="E134" i="60"/>
  <c r="I134" i="60"/>
  <c r="G135" i="60"/>
  <c r="E136" i="60"/>
  <c r="I136" i="60"/>
  <c r="G137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F162" i="60"/>
  <c r="D163" i="60"/>
  <c r="H163" i="60"/>
  <c r="F164" i="60"/>
  <c r="D165" i="60"/>
  <c r="H165" i="60"/>
  <c r="F166" i="60"/>
  <c r="D167" i="60"/>
  <c r="H167" i="60"/>
  <c r="F160" i="60"/>
  <c r="D161" i="60"/>
  <c r="H161" i="60"/>
  <c r="F14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38" i="60"/>
  <c r="D139" i="60"/>
  <c r="H139" i="60"/>
  <c r="F140" i="60"/>
  <c r="D141" i="60"/>
  <c r="H141" i="60"/>
  <c r="F134" i="60"/>
  <c r="D135" i="60"/>
  <c r="H135" i="60"/>
  <c r="F136" i="60"/>
  <c r="D137" i="60"/>
  <c r="H137" i="60"/>
  <c r="F103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G162" i="60"/>
  <c r="E163" i="60"/>
  <c r="I163" i="60"/>
  <c r="G164" i="60"/>
  <c r="E165" i="60"/>
  <c r="I165" i="60"/>
  <c r="G166" i="60"/>
  <c r="E167" i="60"/>
  <c r="I167" i="60"/>
  <c r="G160" i="60"/>
  <c r="E161" i="60"/>
  <c r="I161" i="60"/>
  <c r="G14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38" i="60"/>
  <c r="E139" i="60"/>
  <c r="I139" i="60"/>
  <c r="G140" i="60"/>
  <c r="E141" i="60"/>
  <c r="I141" i="60"/>
  <c r="G134" i="60"/>
  <c r="E135" i="60"/>
  <c r="I135" i="60"/>
  <c r="G136" i="60"/>
  <c r="E137" i="60"/>
  <c r="I137" i="60"/>
  <c r="G103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F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96" i="60"/>
  <c r="I96" i="60"/>
  <c r="G97" i="60"/>
  <c r="E98" i="60"/>
  <c r="I98" i="60"/>
  <c r="G99" i="60"/>
  <c r="E100" i="60"/>
  <c r="I100" i="60"/>
  <c r="G101" i="60"/>
  <c r="E102" i="60"/>
  <c r="I102" i="60"/>
  <c r="G4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96" i="60"/>
  <c r="D97" i="60"/>
  <c r="H97" i="60"/>
  <c r="F98" i="60"/>
  <c r="D99" i="60"/>
  <c r="H99" i="60"/>
  <c r="F100" i="60"/>
  <c r="D101" i="60"/>
  <c r="H101" i="60"/>
  <c r="F102" i="60"/>
  <c r="D43" i="60"/>
  <c r="H4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96" i="60"/>
  <c r="E97" i="60"/>
  <c r="I97" i="60"/>
  <c r="G98" i="60"/>
  <c r="E99" i="60"/>
  <c r="I99" i="60"/>
  <c r="G100" i="60"/>
  <c r="E101" i="60"/>
  <c r="I101" i="60"/>
  <c r="G10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96" i="60"/>
  <c r="H96" i="60"/>
  <c r="F97" i="60"/>
  <c r="D98" i="60"/>
  <c r="H98" i="60"/>
  <c r="F99" i="60"/>
  <c r="D100" i="60"/>
  <c r="H100" i="60"/>
  <c r="F101" i="60"/>
  <c r="D102" i="60"/>
  <c r="H10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42" i="60"/>
  <c r="H42" i="60"/>
  <c r="F41" i="60"/>
  <c r="D38" i="60"/>
  <c r="H38" i="60"/>
  <c r="F39" i="60"/>
  <c r="D40" i="60"/>
  <c r="H40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6" i="60"/>
  <c r="D7" i="60"/>
  <c r="H7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42" i="60"/>
  <c r="I42" i="60"/>
  <c r="G41" i="60"/>
  <c r="E38" i="60"/>
  <c r="I38" i="60"/>
  <c r="G39" i="60"/>
  <c r="E40" i="60"/>
  <c r="I40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6" i="60"/>
  <c r="E7" i="60"/>
  <c r="I7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42" i="60"/>
  <c r="D41" i="60"/>
  <c r="H41" i="60"/>
  <c r="F38" i="60"/>
  <c r="D39" i="60"/>
  <c r="H39" i="60"/>
  <c r="F40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8" i="60"/>
  <c r="H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6" i="60"/>
  <c r="H6" i="60"/>
  <c r="F7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42" i="60"/>
  <c r="E41" i="60"/>
  <c r="I41" i="60"/>
  <c r="G38" i="60"/>
  <c r="E39" i="60"/>
  <c r="I39" i="60"/>
  <c r="G40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8" i="60"/>
  <c r="I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6" i="60"/>
  <c r="G7" i="60"/>
  <c r="L14" i="54"/>
  <c r="L15" i="54"/>
  <c r="L16" i="54"/>
  <c r="L18" i="54"/>
  <c r="L19" i="54"/>
  <c r="I168" i="60"/>
  <c r="G168" i="60"/>
  <c r="E168" i="60"/>
  <c r="H168" i="60"/>
  <c r="F168" i="60"/>
  <c r="D168" i="60"/>
  <c r="F180" i="60"/>
  <c r="D181" i="60"/>
  <c r="H181" i="60"/>
  <c r="F182" i="60"/>
  <c r="D183" i="60"/>
  <c r="H183" i="60"/>
  <c r="G179" i="60"/>
  <c r="E180" i="60"/>
  <c r="I180" i="60"/>
  <c r="G181" i="60"/>
  <c r="E182" i="60"/>
  <c r="I182" i="60"/>
  <c r="G183" i="60"/>
  <c r="F179" i="60"/>
  <c r="D179" i="60"/>
  <c r="E181" i="60"/>
  <c r="G182" i="60"/>
  <c r="I183" i="60"/>
  <c r="D180" i="60"/>
  <c r="F181" i="60"/>
  <c r="H182" i="60"/>
  <c r="E179" i="60"/>
  <c r="G180" i="60"/>
  <c r="I181" i="60"/>
  <c r="E183" i="60"/>
  <c r="H179" i="60"/>
  <c r="H180" i="60"/>
  <c r="D182" i="60"/>
  <c r="F183" i="60"/>
  <c r="I179" i="60"/>
  <c r="G340" i="60"/>
  <c r="D340" i="60"/>
  <c r="F340" i="60"/>
  <c r="E340" i="60"/>
  <c r="H340" i="60"/>
  <c r="I34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/>
  <c r="E25" i="58"/>
  <c r="I25" i="58"/>
  <c r="E26" i="58"/>
  <c r="I26" i="58"/>
  <c r="E14" i="58"/>
  <c r="E27" i="58"/>
  <c r="I27" i="58"/>
  <c r="E28" i="58"/>
  <c r="I28" i="58"/>
  <c r="E29" i="58"/>
  <c r="I29" i="58"/>
  <c r="E30" i="58"/>
  <c r="I30" i="58"/>
  <c r="E18" i="58"/>
  <c r="A11" i="56"/>
  <c r="Q10" i="34"/>
  <c r="A10" i="34"/>
  <c r="A11" i="34"/>
  <c r="B21" i="14"/>
  <c r="D21" i="14"/>
  <c r="F21" i="14"/>
  <c r="A21" i="14"/>
  <c r="C21" i="14"/>
  <c r="E21" i="14"/>
  <c r="G21" i="14"/>
  <c r="G14" i="57"/>
  <c r="G16" i="57"/>
  <c r="A18" i="14"/>
  <c r="A17" i="14"/>
  <c r="A16" i="14"/>
  <c r="A20" i="14"/>
  <c r="A15" i="14"/>
  <c r="A19" i="14"/>
  <c r="A14" i="14"/>
  <c r="E100" i="14"/>
  <c r="G2" i="56"/>
  <c r="F15" i="56"/>
  <c r="K15" i="34"/>
  <c r="K12" i="34"/>
  <c r="K16" i="34"/>
  <c r="K13" i="34"/>
  <c r="A10" i="55"/>
  <c r="E17" i="57"/>
  <c r="E21" i="57"/>
  <c r="E18" i="57"/>
  <c r="E22" i="57"/>
  <c r="E19" i="57"/>
  <c r="E23" i="57"/>
  <c r="E14" i="57"/>
  <c r="E20" i="57"/>
  <c r="E24" i="57"/>
  <c r="E15" i="57"/>
  <c r="E16" i="57"/>
  <c r="I483" i="55"/>
  <c r="U10" i="34"/>
  <c r="A30" i="47"/>
  <c r="K422" i="55"/>
  <c r="K17" i="55"/>
  <c r="K18" i="55"/>
  <c r="K424" i="55"/>
  <c r="K432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/>
  <c r="D28" i="58"/>
  <c r="G27" i="58"/>
  <c r="B27" i="58"/>
  <c r="F27" i="58"/>
  <c r="D26" i="58"/>
  <c r="G25" i="58"/>
  <c r="B25" i="58"/>
  <c r="F25" i="58"/>
  <c r="D24" i="58"/>
  <c r="G23" i="58"/>
  <c r="B23" i="58"/>
  <c r="F23" i="58"/>
  <c r="D22" i="58"/>
  <c r="G21" i="58"/>
  <c r="B21" i="58"/>
  <c r="F21" i="58"/>
  <c r="D20" i="58"/>
  <c r="G19" i="58"/>
  <c r="B19" i="58"/>
  <c r="F19" i="58"/>
  <c r="D18" i="58"/>
  <c r="G17" i="58"/>
  <c r="B17" i="58"/>
  <c r="F17" i="58"/>
  <c r="D16" i="58"/>
  <c r="G15" i="58"/>
  <c r="B15" i="58"/>
  <c r="F15" i="58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/>
  <c r="D29" i="58"/>
  <c r="G28" i="58"/>
  <c r="B28" i="58"/>
  <c r="A28" i="58"/>
  <c r="D27" i="58"/>
  <c r="G26" i="58"/>
  <c r="B26" i="58"/>
  <c r="F26" i="58"/>
  <c r="D25" i="58"/>
  <c r="G24" i="58"/>
  <c r="B24" i="58"/>
  <c r="A24" i="58"/>
  <c r="D23" i="58"/>
  <c r="G22" i="58"/>
  <c r="B22" i="58"/>
  <c r="F22" i="58"/>
  <c r="D21" i="58"/>
  <c r="G20" i="58"/>
  <c r="B20" i="58"/>
  <c r="D19" i="58"/>
  <c r="G18" i="58"/>
  <c r="B18" i="58"/>
  <c r="F18" i="58"/>
  <c r="D17" i="58"/>
  <c r="G16" i="58"/>
  <c r="B16" i="58"/>
  <c r="F16" i="58"/>
  <c r="D15" i="58"/>
  <c r="G14" i="58"/>
  <c r="B14" i="58"/>
  <c r="I36" i="58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G19" i="57"/>
  <c r="C19" i="57"/>
  <c r="F18" i="57"/>
  <c r="B18" i="57"/>
  <c r="I16" i="57"/>
  <c r="G15" i="57"/>
  <c r="C15" i="57"/>
  <c r="F14" i="57"/>
  <c r="B14" i="57"/>
  <c r="A14" i="57"/>
  <c r="G20" i="57"/>
  <c r="F19" i="57"/>
  <c r="B19" i="57"/>
  <c r="I17" i="57"/>
  <c r="C16" i="57"/>
  <c r="F15" i="57"/>
  <c r="B15" i="57"/>
  <c r="I14" i="55"/>
  <c r="K11" i="55"/>
  <c r="K434" i="55"/>
  <c r="G483" i="55"/>
  <c r="G14" i="55"/>
  <c r="K10" i="55"/>
  <c r="K16" i="55"/>
  <c r="J479" i="60"/>
  <c r="J427" i="60"/>
  <c r="J425" i="60"/>
  <c r="J351" i="60"/>
  <c r="J565" i="60"/>
  <c r="J436" i="60"/>
  <c r="J3" i="57"/>
  <c r="J77" i="57"/>
  <c r="J426" i="60"/>
  <c r="B49" i="47"/>
  <c r="G46" i="47"/>
  <c r="E44" i="47"/>
  <c r="C42" i="47"/>
  <c r="A40" i="47"/>
  <c r="E49" i="47"/>
  <c r="C47" i="47"/>
  <c r="A45" i="47"/>
  <c r="F42" i="47"/>
  <c r="D40" i="47"/>
  <c r="E50" i="47"/>
  <c r="C48" i="47"/>
  <c r="A46" i="47"/>
  <c r="F43" i="47"/>
  <c r="D41" i="47"/>
  <c r="B39" i="47"/>
  <c r="G49" i="47"/>
  <c r="E47" i="47"/>
  <c r="C45" i="47"/>
  <c r="A43" i="47"/>
  <c r="F40" i="47"/>
  <c r="G50" i="47"/>
  <c r="E48" i="47"/>
  <c r="C46" i="47"/>
  <c r="A44" i="47"/>
  <c r="F41" i="47"/>
  <c r="D39" i="47"/>
  <c r="A49" i="47"/>
  <c r="F46" i="47"/>
  <c r="D44" i="47"/>
  <c r="B42" i="47"/>
  <c r="G39" i="47"/>
  <c r="A50" i="47"/>
  <c r="F47" i="47"/>
  <c r="D45" i="47"/>
  <c r="B43" i="47"/>
  <c r="G40" i="47"/>
  <c r="C49" i="47"/>
  <c r="A47" i="47"/>
  <c r="F44" i="47"/>
  <c r="D42" i="47"/>
  <c r="B40" i="47"/>
  <c r="C50" i="47"/>
  <c r="A48" i="47"/>
  <c r="F45" i="47"/>
  <c r="D43" i="47"/>
  <c r="B41" i="47"/>
  <c r="F50" i="47"/>
  <c r="D48" i="47"/>
  <c r="B46" i="47"/>
  <c r="G43" i="47"/>
  <c r="E41" i="47"/>
  <c r="C39" i="47"/>
  <c r="D49" i="47"/>
  <c r="B47" i="47"/>
  <c r="G44" i="47"/>
  <c r="E42" i="47"/>
  <c r="C40" i="47"/>
  <c r="F48" i="47"/>
  <c r="D46" i="47"/>
  <c r="B44" i="47"/>
  <c r="G41" i="47"/>
  <c r="E39" i="47"/>
  <c r="F49" i="47"/>
  <c r="D47" i="47"/>
  <c r="B45" i="47"/>
  <c r="G42" i="47"/>
  <c r="E40" i="47"/>
  <c r="B50" i="47"/>
  <c r="G47" i="47"/>
  <c r="E45" i="47"/>
  <c r="C43" i="47"/>
  <c r="A41" i="47"/>
  <c r="G48" i="47"/>
  <c r="E46" i="47"/>
  <c r="C44" i="47"/>
  <c r="A42" i="47"/>
  <c r="F39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J570" i="60"/>
  <c r="J537" i="60"/>
  <c r="J471" i="60"/>
  <c r="J424" i="60"/>
  <c r="G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99" i="14"/>
  <c r="J340" i="60"/>
  <c r="J15" i="60"/>
  <c r="L15" i="60"/>
  <c r="J574" i="60"/>
  <c r="J560" i="60"/>
  <c r="L560" i="60"/>
  <c r="J521" i="60"/>
  <c r="L521" i="60"/>
  <c r="J544" i="60"/>
  <c r="J507" i="60"/>
  <c r="L507" i="60"/>
  <c r="J505" i="60"/>
  <c r="L505" i="60"/>
  <c r="J476" i="60"/>
  <c r="L476" i="60"/>
  <c r="J448" i="60"/>
  <c r="L448" i="60"/>
  <c r="J535" i="60"/>
  <c r="J533" i="60"/>
  <c r="J519" i="60"/>
  <c r="L519" i="60"/>
  <c r="J517" i="60"/>
  <c r="L517" i="60"/>
  <c r="J503" i="60"/>
  <c r="L503" i="60"/>
  <c r="J501" i="60"/>
  <c r="J487" i="60"/>
  <c r="J472" i="60"/>
  <c r="L472" i="60"/>
  <c r="J438" i="60"/>
  <c r="L438" i="60"/>
  <c r="J561" i="60"/>
  <c r="L561" i="60"/>
  <c r="J547" i="60"/>
  <c r="L547" i="60"/>
  <c r="J545" i="60"/>
  <c r="L545" i="60"/>
  <c r="J531" i="60"/>
  <c r="J529" i="60"/>
  <c r="L529" i="60"/>
  <c r="J515" i="60"/>
  <c r="L515" i="60"/>
  <c r="J513" i="60"/>
  <c r="L513" i="60"/>
  <c r="J499" i="60"/>
  <c r="L499" i="60"/>
  <c r="J497" i="60"/>
  <c r="L497" i="60"/>
  <c r="J488" i="60"/>
  <c r="L488" i="60"/>
  <c r="J463" i="60"/>
  <c r="L463" i="60"/>
  <c r="J491" i="60"/>
  <c r="L491" i="60"/>
  <c r="J489" i="60"/>
  <c r="L489" i="60"/>
  <c r="J475" i="60"/>
  <c r="L475" i="60"/>
  <c r="J473" i="60"/>
  <c r="L473" i="60"/>
  <c r="J459" i="60"/>
  <c r="L459" i="60"/>
  <c r="J457" i="60"/>
  <c r="L457" i="60"/>
  <c r="J443" i="60"/>
  <c r="L443" i="60"/>
  <c r="J441" i="60"/>
  <c r="L441" i="60"/>
  <c r="J437" i="60"/>
  <c r="L437" i="60"/>
  <c r="J423" i="60"/>
  <c r="L423" i="60"/>
  <c r="J399" i="60"/>
  <c r="J392" i="60"/>
  <c r="L392" i="60"/>
  <c r="J415" i="60"/>
  <c r="L415" i="60"/>
  <c r="J383" i="60"/>
  <c r="L383" i="60"/>
  <c r="J419" i="60"/>
  <c r="L419" i="60"/>
  <c r="J417" i="60"/>
  <c r="L417" i="60"/>
  <c r="J403" i="60"/>
  <c r="L403" i="60"/>
  <c r="J401" i="60"/>
  <c r="L401" i="60"/>
  <c r="J387" i="60"/>
  <c r="L387" i="60"/>
  <c r="J385" i="60"/>
  <c r="L385" i="60"/>
  <c r="J371" i="60"/>
  <c r="L371" i="60"/>
  <c r="J369" i="60"/>
  <c r="L369" i="60"/>
  <c r="J364" i="60"/>
  <c r="L364" i="60"/>
  <c r="J349" i="60"/>
  <c r="L349" i="60"/>
  <c r="J355" i="60"/>
  <c r="J421" i="60"/>
  <c r="L421" i="60"/>
  <c r="J407" i="60"/>
  <c r="L407" i="60"/>
  <c r="J405" i="60"/>
  <c r="L405" i="60"/>
  <c r="J391" i="60"/>
  <c r="L391" i="60"/>
  <c r="J389" i="60"/>
  <c r="L389" i="60"/>
  <c r="J375" i="60"/>
  <c r="L375" i="60"/>
  <c r="J373" i="60"/>
  <c r="L373" i="60"/>
  <c r="J354" i="60"/>
  <c r="L354" i="60"/>
  <c r="J352" i="60"/>
  <c r="L352" i="60"/>
  <c r="J579" i="60"/>
  <c r="J577" i="60"/>
  <c r="J563" i="60"/>
  <c r="J580" i="60"/>
  <c r="J554" i="60"/>
  <c r="L554" i="60"/>
  <c r="J551" i="60"/>
  <c r="L551" i="60"/>
  <c r="J532" i="60"/>
  <c r="L532" i="60"/>
  <c r="J568" i="60"/>
  <c r="J558" i="60"/>
  <c r="L558" i="60"/>
  <c r="J552" i="60"/>
  <c r="L552" i="60"/>
  <c r="J542" i="60"/>
  <c r="L542" i="60"/>
  <c r="J536" i="60"/>
  <c r="L536" i="60"/>
  <c r="J526" i="60"/>
  <c r="L526" i="60"/>
  <c r="J520" i="60"/>
  <c r="L520" i="60"/>
  <c r="J510" i="60"/>
  <c r="L510" i="60"/>
  <c r="J504" i="60"/>
  <c r="J494" i="60"/>
  <c r="L494" i="60"/>
  <c r="J466" i="60"/>
  <c r="L466" i="60"/>
  <c r="J469" i="60"/>
  <c r="L469" i="60"/>
  <c r="J462" i="60"/>
  <c r="J465" i="60"/>
  <c r="L465" i="60"/>
  <c r="J481" i="60"/>
  <c r="L481" i="60"/>
  <c r="J453" i="60"/>
  <c r="L453" i="60"/>
  <c r="J398" i="60"/>
  <c r="L398" i="60"/>
  <c r="J451" i="60"/>
  <c r="L451" i="60"/>
  <c r="J449" i="60"/>
  <c r="L449" i="60"/>
  <c r="J435" i="60"/>
  <c r="L435" i="60"/>
  <c r="J433" i="60"/>
  <c r="L433" i="60"/>
  <c r="J395" i="60"/>
  <c r="L395" i="60"/>
  <c r="J456" i="60"/>
  <c r="L456" i="60"/>
  <c r="J446" i="60"/>
  <c r="L446" i="60"/>
  <c r="J440" i="60"/>
  <c r="L440" i="60"/>
  <c r="J430" i="60"/>
  <c r="L430" i="60"/>
  <c r="J414" i="60"/>
  <c r="L414" i="60"/>
  <c r="J382" i="60"/>
  <c r="L382" i="60"/>
  <c r="J370" i="60"/>
  <c r="L370" i="60"/>
  <c r="J359" i="60"/>
  <c r="L359" i="60"/>
  <c r="J341" i="60"/>
  <c r="J357" i="60"/>
  <c r="L357" i="60"/>
  <c r="J347" i="60"/>
  <c r="L347" i="60"/>
  <c r="J345" i="60"/>
  <c r="J362" i="60"/>
  <c r="L362" i="60"/>
  <c r="J360" i="60"/>
  <c r="L360" i="60"/>
  <c r="J573" i="60"/>
  <c r="L573" i="60"/>
  <c r="J555" i="60"/>
  <c r="L555" i="60"/>
  <c r="J571" i="60"/>
  <c r="J550" i="60"/>
  <c r="L550" i="60"/>
  <c r="J538" i="60"/>
  <c r="L538" i="60"/>
  <c r="J516" i="60"/>
  <c r="L516" i="60"/>
  <c r="J506" i="60"/>
  <c r="L506" i="60"/>
  <c r="J500" i="60"/>
  <c r="J534" i="60"/>
  <c r="L534" i="60"/>
  <c r="J528" i="60"/>
  <c r="L528" i="60"/>
  <c r="J518" i="60"/>
  <c r="L518" i="60"/>
  <c r="J512" i="60"/>
  <c r="L512" i="60"/>
  <c r="J502" i="60"/>
  <c r="L502" i="60"/>
  <c r="J496" i="60"/>
  <c r="L496" i="60"/>
  <c r="J492" i="60"/>
  <c r="L492" i="60"/>
  <c r="J467" i="60"/>
  <c r="J562" i="60"/>
  <c r="L562" i="60"/>
  <c r="J556" i="60"/>
  <c r="L556" i="60"/>
  <c r="J546" i="60"/>
  <c r="L546" i="60"/>
  <c r="J540" i="60"/>
  <c r="J530" i="60"/>
  <c r="L530" i="60"/>
  <c r="J524" i="60"/>
  <c r="L524" i="60"/>
  <c r="J514" i="60"/>
  <c r="L514" i="60"/>
  <c r="J508" i="60"/>
  <c r="L508" i="60"/>
  <c r="J498" i="60"/>
  <c r="L498" i="60"/>
  <c r="J483" i="60"/>
  <c r="L483" i="60"/>
  <c r="J464" i="60"/>
  <c r="L464" i="60"/>
  <c r="J490" i="60"/>
  <c r="L490" i="60"/>
  <c r="J484" i="60"/>
  <c r="J474" i="60"/>
  <c r="L474" i="60"/>
  <c r="J468" i="60"/>
  <c r="J458" i="60"/>
  <c r="L458" i="60"/>
  <c r="J452" i="60"/>
  <c r="L452" i="60"/>
  <c r="J442" i="60"/>
  <c r="L442" i="60"/>
  <c r="J432" i="60"/>
  <c r="L432" i="60"/>
  <c r="J397" i="60"/>
  <c r="L397" i="60"/>
  <c r="J394" i="60"/>
  <c r="J413" i="60"/>
  <c r="L413" i="60"/>
  <c r="J381" i="60"/>
  <c r="L381" i="60"/>
  <c r="J418" i="60"/>
  <c r="L418" i="60"/>
  <c r="J416" i="60"/>
  <c r="L416" i="60"/>
  <c r="J402" i="60"/>
  <c r="L402" i="60"/>
  <c r="J400" i="60"/>
  <c r="L400" i="60"/>
  <c r="J386" i="60"/>
  <c r="L386" i="60"/>
  <c r="J384" i="60"/>
  <c r="J368" i="60"/>
  <c r="L368" i="60"/>
  <c r="J365" i="60"/>
  <c r="L365" i="60"/>
  <c r="J350" i="60"/>
  <c r="L350" i="60"/>
  <c r="J348" i="60"/>
  <c r="L348" i="60"/>
  <c r="J346" i="60"/>
  <c r="L346" i="60"/>
  <c r="J422" i="60"/>
  <c r="L422" i="60"/>
  <c r="J420" i="60"/>
  <c r="L420" i="60"/>
  <c r="J406" i="60"/>
  <c r="L406" i="60"/>
  <c r="J404" i="60"/>
  <c r="L404" i="60"/>
  <c r="J390" i="60"/>
  <c r="L390" i="60"/>
  <c r="J388" i="60"/>
  <c r="L388" i="60"/>
  <c r="J374" i="60"/>
  <c r="L374" i="60"/>
  <c r="J372" i="60"/>
  <c r="L372" i="60"/>
  <c r="J353" i="60"/>
  <c r="L353" i="60"/>
  <c r="J343" i="60"/>
  <c r="J578" i="60"/>
  <c r="J572" i="60"/>
  <c r="J567" i="60"/>
  <c r="L567" i="60"/>
  <c r="J575" i="60"/>
  <c r="J564" i="60"/>
  <c r="J539" i="60"/>
  <c r="L539" i="60"/>
  <c r="J523" i="60"/>
  <c r="L523" i="60"/>
  <c r="J569" i="60"/>
  <c r="J549" i="60"/>
  <c r="L549" i="60"/>
  <c r="J559" i="60"/>
  <c r="L559" i="60"/>
  <c r="J557" i="60"/>
  <c r="J543" i="60"/>
  <c r="L543" i="60"/>
  <c r="J541" i="60"/>
  <c r="L541" i="60"/>
  <c r="J527" i="60"/>
  <c r="L527" i="60"/>
  <c r="J525" i="60"/>
  <c r="L525" i="60"/>
  <c r="J511" i="60"/>
  <c r="L511" i="60"/>
  <c r="J509" i="60"/>
  <c r="L509" i="60"/>
  <c r="J495" i="60"/>
  <c r="L495" i="60"/>
  <c r="J493" i="60"/>
  <c r="L493" i="60"/>
  <c r="J486" i="60"/>
  <c r="L486" i="60"/>
  <c r="J477" i="60"/>
  <c r="L477" i="60"/>
  <c r="J482" i="60"/>
  <c r="J485" i="60"/>
  <c r="L485" i="60"/>
  <c r="J478" i="60"/>
  <c r="L478" i="60"/>
  <c r="J470" i="60"/>
  <c r="J461" i="60"/>
  <c r="L461" i="60"/>
  <c r="J396" i="60"/>
  <c r="L396" i="60"/>
  <c r="J450" i="60"/>
  <c r="L450" i="60"/>
  <c r="J444" i="60"/>
  <c r="L444" i="60"/>
  <c r="J434" i="60"/>
  <c r="L434" i="60"/>
  <c r="J428" i="60"/>
  <c r="L428" i="60"/>
  <c r="J393" i="60"/>
  <c r="L393" i="60"/>
  <c r="J447" i="60"/>
  <c r="L447" i="60"/>
  <c r="J445" i="60"/>
  <c r="L445" i="60"/>
  <c r="J431" i="60"/>
  <c r="L431" i="60"/>
  <c r="J429" i="60"/>
  <c r="L429" i="60"/>
  <c r="J412" i="60"/>
  <c r="J380" i="60"/>
  <c r="L380" i="60"/>
  <c r="J342" i="60"/>
  <c r="L342" i="60"/>
  <c r="J358" i="60"/>
  <c r="L358" i="60"/>
  <c r="J356" i="60"/>
  <c r="L356" i="60"/>
  <c r="J363" i="60"/>
  <c r="L363" i="60"/>
  <c r="J344" i="60"/>
  <c r="J361" i="60"/>
  <c r="L361" i="60"/>
  <c r="G18" i="56"/>
  <c r="G20" i="56"/>
  <c r="G22" i="56"/>
  <c r="G24" i="56"/>
  <c r="G17" i="56"/>
  <c r="G19" i="56"/>
  <c r="G21" i="56"/>
  <c r="G23" i="56"/>
  <c r="G25" i="56"/>
  <c r="B25" i="56"/>
  <c r="F25" i="56"/>
  <c r="H25" i="56"/>
  <c r="J50" i="57"/>
  <c r="A30" i="56"/>
  <c r="B17" i="56"/>
  <c r="D17" i="56"/>
  <c r="J54" i="57"/>
  <c r="J55" i="57"/>
  <c r="J39" i="57"/>
  <c r="M8" i="39"/>
  <c r="L544" i="60"/>
  <c r="L500" i="60"/>
  <c r="L460" i="60"/>
  <c r="L436" i="60"/>
  <c r="L355" i="60"/>
  <c r="L531" i="60"/>
  <c r="L487" i="60"/>
  <c r="L479" i="60"/>
  <c r="L471" i="60"/>
  <c r="L455" i="60"/>
  <c r="L439" i="60"/>
  <c r="J58" i="57"/>
  <c r="J59" i="57"/>
  <c r="J43" i="57"/>
  <c r="K148" i="55"/>
  <c r="J51" i="57"/>
  <c r="J33" i="57"/>
  <c r="J46" i="57"/>
  <c r="J47" i="57"/>
  <c r="J29" i="57"/>
  <c r="L504" i="60"/>
  <c r="L522" i="60"/>
  <c r="L501" i="60"/>
  <c r="J199" i="60"/>
  <c r="L199" i="60"/>
  <c r="J28" i="57"/>
  <c r="J32" i="57"/>
  <c r="J25" i="57"/>
  <c r="J211" i="60"/>
  <c r="L211" i="60"/>
  <c r="J215" i="60"/>
  <c r="L215" i="60"/>
  <c r="J219" i="60"/>
  <c r="L219" i="60"/>
  <c r="J223" i="60"/>
  <c r="L223" i="60"/>
  <c r="J227" i="60"/>
  <c r="L227" i="60"/>
  <c r="J231" i="60"/>
  <c r="L231" i="60"/>
  <c r="J235" i="60"/>
  <c r="L235" i="60"/>
  <c r="J239" i="60"/>
  <c r="L239" i="60"/>
  <c r="J243" i="60"/>
  <c r="L243" i="60"/>
  <c r="J247" i="60"/>
  <c r="L247" i="60"/>
  <c r="J251" i="60"/>
  <c r="L251" i="60"/>
  <c r="J255" i="60"/>
  <c r="L255" i="60"/>
  <c r="J259" i="60"/>
  <c r="L259" i="60"/>
  <c r="J267" i="60"/>
  <c r="L267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L399" i="60"/>
  <c r="L409" i="60"/>
  <c r="L411" i="60"/>
  <c r="L425" i="60"/>
  <c r="L427" i="60"/>
  <c r="L408" i="60"/>
  <c r="L410" i="60"/>
  <c r="L412" i="60"/>
  <c r="L424" i="60"/>
  <c r="L426" i="60"/>
  <c r="L454" i="60"/>
  <c r="L462" i="60"/>
  <c r="L480" i="60"/>
  <c r="L482" i="60"/>
  <c r="L484" i="60"/>
  <c r="L533" i="60"/>
  <c r="L535" i="60"/>
  <c r="L537" i="60"/>
  <c r="L553" i="60"/>
  <c r="L540" i="60"/>
  <c r="L548" i="60"/>
  <c r="L351" i="60"/>
  <c r="L367" i="60"/>
  <c r="J82" i="60"/>
  <c r="L82" i="60"/>
  <c r="J74" i="60"/>
  <c r="L74" i="60"/>
  <c r="L366" i="60"/>
  <c r="L376" i="60"/>
  <c r="L378" i="60"/>
  <c r="L384" i="60"/>
  <c r="L394" i="60"/>
  <c r="L468" i="60"/>
  <c r="L470" i="60"/>
  <c r="L377" i="60"/>
  <c r="L379" i="60"/>
  <c r="L467" i="60"/>
  <c r="J214" i="60"/>
  <c r="L214" i="60"/>
  <c r="J218" i="60"/>
  <c r="L218" i="60"/>
  <c r="J222" i="60"/>
  <c r="L222" i="60"/>
  <c r="J226" i="60"/>
  <c r="L226" i="60"/>
  <c r="J230" i="60"/>
  <c r="L230" i="60"/>
  <c r="J234" i="60"/>
  <c r="L234" i="60"/>
  <c r="J238" i="60"/>
  <c r="L238" i="60"/>
  <c r="J242" i="60"/>
  <c r="L242" i="60"/>
  <c r="J246" i="60"/>
  <c r="L246" i="60"/>
  <c r="J250" i="60"/>
  <c r="L250" i="60"/>
  <c r="J254" i="60"/>
  <c r="L254" i="60"/>
  <c r="J257" i="60"/>
  <c r="L257" i="60"/>
  <c r="J265" i="60"/>
  <c r="L265" i="60"/>
  <c r="L564" i="60"/>
  <c r="L566" i="60"/>
  <c r="J192" i="60"/>
  <c r="L192" i="60"/>
  <c r="J16" i="60"/>
  <c r="L16" i="60"/>
  <c r="J8" i="60"/>
  <c r="L8" i="60"/>
  <c r="J30" i="60"/>
  <c r="L30" i="60"/>
  <c r="J22" i="60"/>
  <c r="L22" i="60"/>
  <c r="J93" i="60"/>
  <c r="L93" i="60"/>
  <c r="J85" i="60"/>
  <c r="L85" i="60"/>
  <c r="J66" i="60"/>
  <c r="L66" i="60"/>
  <c r="J58" i="60"/>
  <c r="L58" i="60"/>
  <c r="J50" i="60"/>
  <c r="L50" i="60"/>
  <c r="J102" i="60"/>
  <c r="L102" i="60"/>
  <c r="J132" i="60"/>
  <c r="L132" i="60"/>
  <c r="L557" i="60"/>
  <c r="L563" i="60"/>
  <c r="L565" i="60"/>
  <c r="J181" i="60"/>
  <c r="J180" i="60"/>
  <c r="J184" i="60"/>
  <c r="L184" i="60"/>
  <c r="J188" i="60"/>
  <c r="L188" i="60"/>
  <c r="J182" i="60"/>
  <c r="J187" i="60"/>
  <c r="L187" i="60"/>
  <c r="J179" i="60"/>
  <c r="J186" i="60"/>
  <c r="L186" i="60"/>
  <c r="J183" i="60"/>
  <c r="J185" i="60"/>
  <c r="L185" i="60"/>
  <c r="J197" i="60"/>
  <c r="L197" i="60"/>
  <c r="B24" i="56"/>
  <c r="F24" i="56"/>
  <c r="J190" i="60"/>
  <c r="L190" i="60"/>
  <c r="J193" i="60"/>
  <c r="L193" i="60"/>
  <c r="J200" i="60"/>
  <c r="L200" i="60"/>
  <c r="J204" i="60"/>
  <c r="L204" i="60"/>
  <c r="J208" i="60"/>
  <c r="L208" i="60"/>
  <c r="J212" i="60"/>
  <c r="L212" i="60"/>
  <c r="J216" i="60"/>
  <c r="L216" i="60"/>
  <c r="J220" i="60"/>
  <c r="L220" i="60"/>
  <c r="J224" i="60"/>
  <c r="L224" i="60"/>
  <c r="J228" i="60"/>
  <c r="L228" i="60"/>
  <c r="J232" i="60"/>
  <c r="L232" i="60"/>
  <c r="J236" i="60"/>
  <c r="L236" i="60"/>
  <c r="J240" i="60"/>
  <c r="L240" i="60"/>
  <c r="J244" i="60"/>
  <c r="L244" i="60"/>
  <c r="J248" i="60"/>
  <c r="L248" i="60"/>
  <c r="J252" i="60"/>
  <c r="L252" i="60"/>
  <c r="J256" i="60"/>
  <c r="L256" i="60"/>
  <c r="J261" i="60"/>
  <c r="L261" i="60"/>
  <c r="J260" i="60"/>
  <c r="L260" i="60"/>
  <c r="J269" i="60"/>
  <c r="L269" i="60"/>
  <c r="J273" i="60"/>
  <c r="L273" i="60"/>
  <c r="J277" i="60"/>
  <c r="L277" i="60"/>
  <c r="J281" i="60"/>
  <c r="L281" i="60"/>
  <c r="J285" i="60"/>
  <c r="L285" i="60"/>
  <c r="J289" i="60"/>
  <c r="L289" i="60"/>
  <c r="J293" i="60"/>
  <c r="L293" i="60"/>
  <c r="J297" i="60"/>
  <c r="L297" i="60"/>
  <c r="J302" i="60"/>
  <c r="L302" i="60"/>
  <c r="J306" i="60"/>
  <c r="L306" i="60"/>
  <c r="J310" i="60"/>
  <c r="L310" i="60"/>
  <c r="J314" i="60"/>
  <c r="L314" i="60"/>
  <c r="J318" i="60"/>
  <c r="L318" i="60"/>
  <c r="J322" i="60"/>
  <c r="L322" i="60"/>
  <c r="J326" i="60"/>
  <c r="L326" i="60"/>
  <c r="J330" i="60"/>
  <c r="L330" i="60"/>
  <c r="J198" i="60"/>
  <c r="L198" i="60"/>
  <c r="J203" i="60"/>
  <c r="L203" i="60"/>
  <c r="J207" i="60"/>
  <c r="L207" i="60"/>
  <c r="J258" i="60"/>
  <c r="L258" i="60"/>
  <c r="J266" i="60"/>
  <c r="L266" i="60"/>
  <c r="J268" i="60"/>
  <c r="L268" i="60"/>
  <c r="J272" i="60"/>
  <c r="L272" i="60"/>
  <c r="J276" i="60"/>
  <c r="L276" i="60"/>
  <c r="J280" i="60"/>
  <c r="L280" i="60"/>
  <c r="J284" i="60"/>
  <c r="L284" i="60"/>
  <c r="J288" i="60"/>
  <c r="L288" i="60"/>
  <c r="J292" i="60"/>
  <c r="L292" i="60"/>
  <c r="J296" i="60"/>
  <c r="L296" i="60"/>
  <c r="J301" i="60"/>
  <c r="L301" i="60"/>
  <c r="J305" i="60"/>
  <c r="L305" i="60"/>
  <c r="J309" i="60"/>
  <c r="L309" i="60"/>
  <c r="J313" i="60"/>
  <c r="L313" i="60"/>
  <c r="J317" i="60"/>
  <c r="L317" i="60"/>
  <c r="J321" i="60"/>
  <c r="L321" i="60"/>
  <c r="J325" i="60"/>
  <c r="L325" i="60"/>
  <c r="J329" i="60"/>
  <c r="L329" i="60"/>
  <c r="J196" i="60"/>
  <c r="L196" i="60"/>
  <c r="J202" i="60"/>
  <c r="L202" i="60"/>
  <c r="J206" i="60"/>
  <c r="L206" i="60"/>
  <c r="J210" i="60"/>
  <c r="L210" i="60"/>
  <c r="J264" i="60"/>
  <c r="L264" i="60"/>
  <c r="J271" i="60"/>
  <c r="L271" i="60"/>
  <c r="J275" i="60"/>
  <c r="L275" i="60"/>
  <c r="J279" i="60"/>
  <c r="L279" i="60"/>
  <c r="J283" i="60"/>
  <c r="L283" i="60"/>
  <c r="J287" i="60"/>
  <c r="L287" i="60"/>
  <c r="J291" i="60"/>
  <c r="L291" i="60"/>
  <c r="J295" i="60"/>
  <c r="L295" i="60"/>
  <c r="J299" i="60"/>
  <c r="L299" i="60"/>
  <c r="J304" i="60"/>
  <c r="L304" i="60"/>
  <c r="J308" i="60"/>
  <c r="L308" i="60"/>
  <c r="J312" i="60"/>
  <c r="L312" i="60"/>
  <c r="J316" i="60"/>
  <c r="L316" i="60"/>
  <c r="J320" i="60"/>
  <c r="L320" i="60"/>
  <c r="J324" i="60"/>
  <c r="L324" i="60"/>
  <c r="J328" i="60"/>
  <c r="L328" i="60"/>
  <c r="J191" i="60"/>
  <c r="L191" i="60"/>
  <c r="J195" i="60"/>
  <c r="L195" i="60"/>
  <c r="J189" i="60"/>
  <c r="L189" i="60"/>
  <c r="J194" i="60"/>
  <c r="L194" i="60"/>
  <c r="J201" i="60"/>
  <c r="L201" i="60"/>
  <c r="J205" i="60"/>
  <c r="L205" i="60"/>
  <c r="J209" i="60"/>
  <c r="L209" i="60"/>
  <c r="J213" i="60"/>
  <c r="L213" i="60"/>
  <c r="J217" i="60"/>
  <c r="L217" i="60"/>
  <c r="J221" i="60"/>
  <c r="L221" i="60"/>
  <c r="J225" i="60"/>
  <c r="L225" i="60"/>
  <c r="J229" i="60"/>
  <c r="L229" i="60"/>
  <c r="J233" i="60"/>
  <c r="L233" i="60"/>
  <c r="J237" i="60"/>
  <c r="L237" i="60"/>
  <c r="J241" i="60"/>
  <c r="L241" i="60"/>
  <c r="J245" i="60"/>
  <c r="L245" i="60"/>
  <c r="J249" i="60"/>
  <c r="L249" i="60"/>
  <c r="J253" i="60"/>
  <c r="L253" i="60"/>
  <c r="J263" i="60"/>
  <c r="L263" i="60"/>
  <c r="J262" i="60"/>
  <c r="L262" i="60"/>
  <c r="J270" i="60"/>
  <c r="L270" i="60"/>
  <c r="J274" i="60"/>
  <c r="L274" i="60"/>
  <c r="J278" i="60"/>
  <c r="L278" i="60"/>
  <c r="J282" i="60"/>
  <c r="L282" i="60"/>
  <c r="J286" i="60"/>
  <c r="L286" i="60"/>
  <c r="J290" i="60"/>
  <c r="L290" i="60"/>
  <c r="J294" i="60"/>
  <c r="L294" i="60"/>
  <c r="J298" i="60"/>
  <c r="L298" i="60"/>
  <c r="J303" i="60"/>
  <c r="L303" i="60"/>
  <c r="J307" i="60"/>
  <c r="L307" i="60"/>
  <c r="J311" i="60"/>
  <c r="L311" i="60"/>
  <c r="J315" i="60"/>
  <c r="L315" i="60"/>
  <c r="J319" i="60"/>
  <c r="L319" i="60"/>
  <c r="J323" i="60"/>
  <c r="L323" i="60"/>
  <c r="J327" i="60"/>
  <c r="L327" i="60"/>
  <c r="J331" i="60"/>
  <c r="L331" i="60"/>
  <c r="J21" i="60"/>
  <c r="L21" i="60"/>
  <c r="J13" i="60"/>
  <c r="L13" i="60"/>
  <c r="J35" i="60"/>
  <c r="L35" i="60"/>
  <c r="J27" i="60"/>
  <c r="L27" i="60"/>
  <c r="J38" i="60"/>
  <c r="L38" i="60"/>
  <c r="J90" i="60"/>
  <c r="L90" i="60"/>
  <c r="J83" i="60"/>
  <c r="L83" i="60"/>
  <c r="J75" i="60"/>
  <c r="L75" i="60"/>
  <c r="J67" i="60"/>
  <c r="L67" i="60"/>
  <c r="J59" i="60"/>
  <c r="L59" i="60"/>
  <c r="J51" i="60"/>
  <c r="L51" i="60"/>
  <c r="J43" i="60"/>
  <c r="L43" i="60"/>
  <c r="J133" i="60"/>
  <c r="L133" i="60"/>
  <c r="J118" i="60"/>
  <c r="L118" i="60"/>
  <c r="J110" i="60"/>
  <c r="L110" i="60"/>
  <c r="J137" i="60"/>
  <c r="L137" i="60"/>
  <c r="J159" i="60"/>
  <c r="L159" i="60"/>
  <c r="J151" i="60"/>
  <c r="L151" i="60"/>
  <c r="J143" i="60"/>
  <c r="L143" i="60"/>
  <c r="J163" i="60"/>
  <c r="L163" i="60"/>
  <c r="J119" i="60"/>
  <c r="L119" i="60"/>
  <c r="J111" i="60"/>
  <c r="L111" i="60"/>
  <c r="J103" i="60"/>
  <c r="L103" i="60"/>
  <c r="J138" i="60"/>
  <c r="L138" i="60"/>
  <c r="J152" i="60"/>
  <c r="L152" i="60"/>
  <c r="J144" i="60"/>
  <c r="L144" i="60"/>
  <c r="J164" i="60"/>
  <c r="L164" i="60"/>
  <c r="J168" i="60"/>
  <c r="L168" i="60"/>
  <c r="J18" i="60"/>
  <c r="L18" i="60"/>
  <c r="J10" i="60"/>
  <c r="L10" i="60"/>
  <c r="J32" i="60"/>
  <c r="L32" i="60"/>
  <c r="J24" i="60"/>
  <c r="L24" i="60"/>
  <c r="J95" i="60"/>
  <c r="L95" i="60"/>
  <c r="J87" i="60"/>
  <c r="L87" i="60"/>
  <c r="J7" i="60"/>
  <c r="L7" i="60"/>
  <c r="J37" i="60"/>
  <c r="L37" i="60"/>
  <c r="J29" i="60"/>
  <c r="L29" i="60"/>
  <c r="J40" i="60"/>
  <c r="L40" i="60"/>
  <c r="J92" i="60"/>
  <c r="J84" i="60"/>
  <c r="L84" i="60"/>
  <c r="J76" i="60"/>
  <c r="L76" i="60"/>
  <c r="J68" i="60"/>
  <c r="L68" i="60"/>
  <c r="J60" i="60"/>
  <c r="L60" i="60"/>
  <c r="J52" i="60"/>
  <c r="L52" i="60"/>
  <c r="J44" i="60"/>
  <c r="L44" i="60"/>
  <c r="J96" i="60"/>
  <c r="L96" i="60"/>
  <c r="J126" i="60"/>
  <c r="L126" i="60"/>
  <c r="J77" i="60"/>
  <c r="L77" i="60"/>
  <c r="J69" i="60"/>
  <c r="L69" i="60"/>
  <c r="J61" i="60"/>
  <c r="L61" i="60"/>
  <c r="J53" i="60"/>
  <c r="L53" i="60"/>
  <c r="J45" i="60"/>
  <c r="L45" i="60"/>
  <c r="J97" i="60"/>
  <c r="L97" i="60"/>
  <c r="J127" i="60"/>
  <c r="L127" i="60"/>
  <c r="J120" i="60"/>
  <c r="L120" i="60"/>
  <c r="J112" i="60"/>
  <c r="L112" i="60"/>
  <c r="J104" i="60"/>
  <c r="L104" i="60"/>
  <c r="J139" i="60"/>
  <c r="L139" i="60"/>
  <c r="J153" i="60"/>
  <c r="L153" i="60"/>
  <c r="J145" i="60"/>
  <c r="L145" i="60"/>
  <c r="J165" i="60"/>
  <c r="L165" i="60"/>
  <c r="J121" i="60"/>
  <c r="L121" i="60"/>
  <c r="J113" i="60"/>
  <c r="L113" i="60"/>
  <c r="J105" i="60"/>
  <c r="L105" i="60"/>
  <c r="J140" i="60"/>
  <c r="L140" i="60"/>
  <c r="J154" i="60"/>
  <c r="L154" i="60"/>
  <c r="J146" i="60"/>
  <c r="L146" i="60"/>
  <c r="J166" i="60"/>
  <c r="L166" i="60"/>
  <c r="J20" i="60"/>
  <c r="L20" i="60"/>
  <c r="J12" i="60"/>
  <c r="L12" i="60"/>
  <c r="J34" i="60"/>
  <c r="L34" i="60"/>
  <c r="J26" i="60"/>
  <c r="L26" i="60"/>
  <c r="J41" i="60"/>
  <c r="L41" i="60"/>
  <c r="J89" i="60"/>
  <c r="L89" i="60"/>
  <c r="J17" i="60"/>
  <c r="L17" i="60"/>
  <c r="J9" i="60"/>
  <c r="L9" i="60"/>
  <c r="J31" i="60"/>
  <c r="L31" i="60"/>
  <c r="J23" i="60"/>
  <c r="L23" i="60"/>
  <c r="J94" i="60"/>
  <c r="L94" i="60"/>
  <c r="J86" i="60"/>
  <c r="L86" i="60"/>
  <c r="J78" i="60"/>
  <c r="L78" i="60"/>
  <c r="J70" i="60"/>
  <c r="L70" i="60"/>
  <c r="J62" i="60"/>
  <c r="L62" i="60"/>
  <c r="J54" i="60"/>
  <c r="L54" i="60"/>
  <c r="J46" i="60"/>
  <c r="L46" i="60"/>
  <c r="J98" i="60"/>
  <c r="L98" i="60"/>
  <c r="J128" i="60"/>
  <c r="L128" i="60"/>
  <c r="J79" i="60"/>
  <c r="L79" i="60"/>
  <c r="J71" i="60"/>
  <c r="L71" i="60"/>
  <c r="J63" i="60"/>
  <c r="L63" i="60"/>
  <c r="J55" i="60"/>
  <c r="L55" i="60"/>
  <c r="J47" i="60"/>
  <c r="L47" i="60"/>
  <c r="J99" i="60"/>
  <c r="L99" i="60"/>
  <c r="J129" i="60"/>
  <c r="L129" i="60"/>
  <c r="J122" i="60"/>
  <c r="L122" i="60"/>
  <c r="J114" i="60"/>
  <c r="L114" i="60"/>
  <c r="J106" i="60"/>
  <c r="L106" i="60"/>
  <c r="J141" i="60"/>
  <c r="L141" i="60"/>
  <c r="J155" i="60"/>
  <c r="L155" i="60"/>
  <c r="J147" i="60"/>
  <c r="L147" i="60"/>
  <c r="J167" i="60"/>
  <c r="L167" i="60"/>
  <c r="J123" i="60"/>
  <c r="L123" i="60"/>
  <c r="J115" i="60"/>
  <c r="L115" i="60"/>
  <c r="J107" i="60"/>
  <c r="L107" i="60"/>
  <c r="J134" i="60"/>
  <c r="L134" i="60"/>
  <c r="J156" i="60"/>
  <c r="L156" i="60"/>
  <c r="J148" i="60"/>
  <c r="L148" i="60"/>
  <c r="J160" i="60"/>
  <c r="L160" i="60"/>
  <c r="J6" i="60"/>
  <c r="L6" i="60"/>
  <c r="J14" i="60"/>
  <c r="L14" i="60"/>
  <c r="J36" i="60"/>
  <c r="J28" i="60"/>
  <c r="L28" i="60"/>
  <c r="J39" i="60"/>
  <c r="L39" i="60"/>
  <c r="J91" i="60"/>
  <c r="L91" i="60"/>
  <c r="J19" i="60"/>
  <c r="L19" i="60"/>
  <c r="J11" i="60"/>
  <c r="L11" i="60"/>
  <c r="J33" i="60"/>
  <c r="L33" i="60"/>
  <c r="J25" i="60"/>
  <c r="L25" i="60"/>
  <c r="J42" i="60"/>
  <c r="L42" i="60"/>
  <c r="J88" i="60"/>
  <c r="L88" i="60"/>
  <c r="J80" i="60"/>
  <c r="L80" i="60"/>
  <c r="J72" i="60"/>
  <c r="L72" i="60"/>
  <c r="J64" i="60"/>
  <c r="L64" i="60"/>
  <c r="J56" i="60"/>
  <c r="L56" i="60"/>
  <c r="J48" i="60"/>
  <c r="L48" i="60"/>
  <c r="J100" i="60"/>
  <c r="L100" i="60"/>
  <c r="J130" i="60"/>
  <c r="L130" i="60"/>
  <c r="J81" i="60"/>
  <c r="L81" i="60"/>
  <c r="J73" i="60"/>
  <c r="L73" i="60"/>
  <c r="J65" i="60"/>
  <c r="L65" i="60"/>
  <c r="J57" i="60"/>
  <c r="L57" i="60"/>
  <c r="J49" i="60"/>
  <c r="L49" i="60"/>
  <c r="J101" i="60"/>
  <c r="L101" i="60"/>
  <c r="J131" i="60"/>
  <c r="L131" i="60"/>
  <c r="J124" i="60"/>
  <c r="L124" i="60"/>
  <c r="J116" i="60"/>
  <c r="L116" i="60"/>
  <c r="J108" i="60"/>
  <c r="L108" i="60"/>
  <c r="J135" i="60"/>
  <c r="L135" i="60"/>
  <c r="J157" i="60"/>
  <c r="L157" i="60"/>
  <c r="J149" i="60"/>
  <c r="L149" i="60"/>
  <c r="J161" i="60"/>
  <c r="L161" i="60"/>
  <c r="J125" i="60"/>
  <c r="L125" i="60"/>
  <c r="J117" i="60"/>
  <c r="L117" i="60"/>
  <c r="J109" i="60"/>
  <c r="L109" i="60"/>
  <c r="J136" i="60"/>
  <c r="L136" i="60"/>
  <c r="J158" i="60"/>
  <c r="L158" i="60"/>
  <c r="J150" i="60"/>
  <c r="L150" i="60"/>
  <c r="J142" i="60"/>
  <c r="L142" i="60"/>
  <c r="J162" i="60"/>
  <c r="L162" i="60"/>
  <c r="L92" i="60"/>
  <c r="M9" i="39"/>
  <c r="L36" i="60"/>
  <c r="G95" i="14"/>
  <c r="F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/>
  <c r="A9" i="56"/>
  <c r="D6" i="56"/>
  <c r="F31" i="56"/>
  <c r="F20" i="56"/>
  <c r="B18" i="56"/>
  <c r="D18" i="56"/>
  <c r="F18" i="56"/>
  <c r="B20" i="56"/>
  <c r="D20" i="56"/>
  <c r="G8" i="56"/>
  <c r="G32" i="71"/>
  <c r="I14" i="71"/>
  <c r="H14" i="71"/>
  <c r="F32" i="71"/>
  <c r="H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/>
  <c r="A16" i="58"/>
  <c r="A17" i="58"/>
  <c r="A18" i="58"/>
  <c r="A19" i="58"/>
  <c r="A20" i="58"/>
  <c r="A21" i="58"/>
  <c r="A22" i="58"/>
  <c r="A23" i="58"/>
  <c r="F24" i="58"/>
  <c r="A27" i="58"/>
  <c r="I14" i="14"/>
  <c r="G32" i="58"/>
  <c r="A29" i="58"/>
  <c r="A26" i="58"/>
  <c r="A18" i="47"/>
  <c r="C16" i="47"/>
  <c r="A15" i="47"/>
  <c r="E57" i="47"/>
  <c r="G20" i="47"/>
  <c r="H32" i="58"/>
  <c r="I14" i="58"/>
  <c r="I15" i="58"/>
  <c r="I16" i="58"/>
  <c r="I17" i="58"/>
  <c r="I18" i="58"/>
  <c r="I19" i="58"/>
  <c r="I20" i="58"/>
  <c r="I21" i="58"/>
  <c r="I22" i="58"/>
  <c r="I23" i="58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A27" i="57"/>
  <c r="A28" i="57"/>
  <c r="A29" i="57"/>
  <c r="A30" i="57"/>
  <c r="A31" i="57"/>
  <c r="A32" i="57"/>
  <c r="A33" i="57"/>
  <c r="A34" i="57"/>
  <c r="A35" i="57"/>
  <c r="A36" i="57"/>
  <c r="A37" i="57"/>
  <c r="A38" i="57"/>
  <c r="A39" i="57"/>
  <c r="A40" i="57"/>
  <c r="A41" i="57"/>
  <c r="A42" i="57"/>
  <c r="A43" i="57"/>
  <c r="A44" i="57"/>
  <c r="A45" i="57"/>
  <c r="A46" i="57"/>
  <c r="A47" i="57"/>
  <c r="A48" i="57"/>
  <c r="A49" i="57"/>
  <c r="A50" i="57"/>
  <c r="A51" i="57"/>
  <c r="A52" i="57"/>
  <c r="A53" i="57"/>
  <c r="A54" i="57"/>
  <c r="A55" i="57"/>
  <c r="A56" i="57"/>
  <c r="A57" i="57"/>
  <c r="A58" i="57"/>
  <c r="A59" i="57"/>
  <c r="A60" i="57"/>
  <c r="A61" i="57"/>
  <c r="A62" i="57"/>
  <c r="A63" i="57"/>
  <c r="A64" i="57"/>
  <c r="A65" i="57"/>
  <c r="A66" i="57"/>
  <c r="A67" i="57"/>
  <c r="A68" i="57"/>
  <c r="A69" i="57"/>
  <c r="A70" i="57"/>
  <c r="A71" i="57"/>
  <c r="A72" i="57"/>
  <c r="G74" i="57"/>
  <c r="J24" i="57"/>
  <c r="I74" i="57"/>
  <c r="H14" i="57"/>
  <c r="H22" i="57"/>
  <c r="J15" i="57"/>
  <c r="H20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H17" i="57"/>
  <c r="J23" i="57"/>
  <c r="H24" i="57"/>
  <c r="J20" i="57"/>
  <c r="J16" i="57"/>
  <c r="J21" i="57"/>
  <c r="K14" i="55"/>
  <c r="K483" i="55"/>
  <c r="J17" i="57"/>
  <c r="H23" i="57"/>
  <c r="H16" i="57"/>
  <c r="H18" i="57"/>
  <c r="G3" i="47"/>
  <c r="C56" i="47"/>
  <c r="H17" i="56"/>
  <c r="H19" i="56"/>
  <c r="H20" i="56"/>
  <c r="H23" i="56"/>
  <c r="D25" i="56"/>
  <c r="H18" i="56"/>
  <c r="H24" i="56"/>
  <c r="H21" i="56"/>
  <c r="H22" i="56"/>
  <c r="G3" i="56"/>
  <c r="G4" i="56"/>
  <c r="J582" i="60"/>
  <c r="D24" i="56"/>
  <c r="J170" i="60"/>
  <c r="J173" i="60"/>
  <c r="L577" i="60"/>
  <c r="L569" i="60"/>
  <c r="L576" i="60"/>
  <c r="L568" i="60"/>
  <c r="L578" i="60"/>
  <c r="L570" i="60"/>
  <c r="L575" i="60"/>
  <c r="L345" i="60"/>
  <c r="L580" i="60"/>
  <c r="L572" i="60"/>
  <c r="L343" i="60"/>
  <c r="L574" i="60"/>
  <c r="L344" i="60"/>
  <c r="L579" i="60"/>
  <c r="L571" i="60"/>
  <c r="L341" i="60"/>
  <c r="L182" i="60"/>
  <c r="L181" i="60"/>
  <c r="L183" i="60"/>
  <c r="L180" i="60"/>
  <c r="D23" i="56"/>
  <c r="D22" i="56"/>
  <c r="D21" i="56"/>
  <c r="H15" i="71"/>
  <c r="I15" i="71"/>
  <c r="A17" i="56"/>
  <c r="A18" i="56"/>
  <c r="A19" i="56"/>
  <c r="A20" i="56"/>
  <c r="A21" i="56"/>
  <c r="A22" i="56"/>
  <c r="A23" i="56"/>
  <c r="A24" i="56"/>
  <c r="A25" i="56"/>
  <c r="H33" i="71"/>
  <c r="I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H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I15" i="14"/>
  <c r="H15" i="14"/>
  <c r="I13" i="42"/>
  <c r="I96" i="14"/>
  <c r="I32" i="58"/>
  <c r="G5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A6" i="42"/>
  <c r="A68" i="42"/>
  <c r="I69" i="42"/>
  <c r="L340" i="60"/>
  <c r="H27" i="56"/>
  <c r="H16" i="71"/>
  <c r="I16" i="71"/>
  <c r="I16" i="14"/>
  <c r="G46" i="43"/>
  <c r="H16" i="14"/>
  <c r="G64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H64" i="42"/>
  <c r="A29" i="56"/>
  <c r="I17" i="71"/>
  <c r="H17" i="71"/>
  <c r="H17" i="14"/>
  <c r="I17" i="14"/>
  <c r="I65" i="42"/>
  <c r="H18" i="71"/>
  <c r="I18" i="71"/>
  <c r="I18" i="14"/>
  <c r="H18" i="14"/>
  <c r="I19" i="71"/>
  <c r="H19" i="71"/>
  <c r="H19" i="14"/>
  <c r="I19" i="14"/>
  <c r="H20" i="71"/>
  <c r="I20" i="71"/>
  <c r="I20" i="14"/>
  <c r="H20" i="14"/>
  <c r="I21" i="71"/>
  <c r="H21" i="71"/>
  <c r="H21" i="14"/>
  <c r="I21" i="14"/>
  <c r="I22" i="14"/>
  <c r="H22" i="14"/>
  <c r="I22" i="71"/>
  <c r="H22" i="71"/>
  <c r="H23" i="71"/>
  <c r="H23" i="14"/>
  <c r="I23" i="14"/>
  <c r="I23" i="71"/>
  <c r="F15" i="47"/>
  <c r="I24" i="71"/>
  <c r="H24" i="71"/>
  <c r="I24" i="14"/>
  <c r="H24" i="14"/>
  <c r="F52" i="47"/>
  <c r="I53" i="47"/>
  <c r="H15" i="47"/>
  <c r="I15" i="47"/>
  <c r="I25" i="71"/>
  <c r="H25" i="71"/>
  <c r="H25" i="14"/>
  <c r="I25" i="14"/>
  <c r="H53" i="47"/>
  <c r="I16" i="47"/>
  <c r="H16" i="47"/>
  <c r="H26" i="71"/>
  <c r="I26" i="71"/>
  <c r="I26" i="14"/>
  <c r="H26" i="14"/>
  <c r="H17" i="47"/>
  <c r="I17" i="47"/>
  <c r="I27" i="71"/>
  <c r="H27" i="71"/>
  <c r="H27" i="14"/>
  <c r="I27" i="14"/>
  <c r="I18" i="47"/>
  <c r="H18" i="47"/>
  <c r="H28" i="71"/>
  <c r="I28" i="71"/>
  <c r="I29" i="71"/>
  <c r="I28" i="14"/>
  <c r="H28" i="14"/>
  <c r="H29" i="71"/>
  <c r="H19" i="47"/>
  <c r="I19" i="47"/>
  <c r="H29" i="14"/>
  <c r="I29" i="14"/>
  <c r="H30" i="71"/>
  <c r="I30" i="71"/>
  <c r="I20" i="47"/>
  <c r="H20" i="47"/>
  <c r="I30" i="14"/>
  <c r="H21" i="47"/>
  <c r="I21" i="47"/>
  <c r="H30" i="14"/>
  <c r="H31" i="14"/>
  <c r="F38" i="43"/>
  <c r="F46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I22" i="47"/>
  <c r="H22" i="47"/>
  <c r="I31" i="14"/>
  <c r="I32" i="14"/>
  <c r="H38" i="43"/>
  <c r="H39" i="43"/>
  <c r="H40" i="43"/>
  <c r="H41" i="43"/>
  <c r="H42" i="43"/>
  <c r="H43" i="43"/>
  <c r="H44" i="43"/>
  <c r="H46" i="43"/>
  <c r="H47" i="43"/>
  <c r="I23" i="47"/>
  <c r="H23" i="47"/>
  <c r="H32" i="14"/>
  <c r="H33" i="14"/>
  <c r="H24" i="47"/>
  <c r="I24" i="47"/>
  <c r="I33" i="14"/>
  <c r="I34" i="14"/>
  <c r="I25" i="47"/>
  <c r="H25" i="47"/>
  <c r="H26" i="47"/>
  <c r="H34" i="14"/>
  <c r="H35" i="14"/>
  <c r="I26" i="47"/>
  <c r="I27" i="47"/>
  <c r="I35" i="14"/>
  <c r="I36" i="14"/>
  <c r="H27" i="47"/>
  <c r="H28" i="47"/>
  <c r="H36" i="14"/>
  <c r="H37" i="14"/>
  <c r="I28" i="47"/>
  <c r="I29" i="47"/>
  <c r="I37" i="14"/>
  <c r="I38" i="14"/>
  <c r="H29" i="47"/>
  <c r="H30" i="47"/>
  <c r="H38" i="14"/>
  <c r="H39" i="14"/>
  <c r="I30" i="47"/>
  <c r="I31" i="47"/>
  <c r="I39" i="14"/>
  <c r="I40" i="14"/>
  <c r="H31" i="47"/>
  <c r="H32" i="47"/>
  <c r="H40" i="14"/>
  <c r="H41" i="14"/>
  <c r="I32" i="47"/>
  <c r="I33" i="47"/>
  <c r="I41" i="14"/>
  <c r="I42" i="14"/>
  <c r="H33" i="47"/>
  <c r="H34" i="47"/>
  <c r="H42" i="14"/>
  <c r="H43" i="14"/>
  <c r="I34" i="47"/>
  <c r="I35" i="47"/>
  <c r="I43" i="14"/>
  <c r="I44" i="14"/>
  <c r="H35" i="47"/>
  <c r="H36" i="47"/>
  <c r="H44" i="14"/>
  <c r="H45" i="14"/>
  <c r="I36" i="47"/>
  <c r="I37" i="47"/>
  <c r="I45" i="14"/>
  <c r="I46" i="14"/>
  <c r="H37" i="47"/>
  <c r="H38" i="47"/>
  <c r="H46" i="14"/>
  <c r="H47" i="14"/>
  <c r="I38" i="47"/>
  <c r="I39" i="47"/>
  <c r="I47" i="14"/>
  <c r="I48" i="14"/>
  <c r="H39" i="47"/>
  <c r="H40" i="47"/>
  <c r="H48" i="14"/>
  <c r="H49" i="14"/>
  <c r="I40" i="47"/>
  <c r="I41" i="47"/>
  <c r="I49" i="14"/>
  <c r="I50" i="14"/>
  <c r="H50" i="14"/>
  <c r="H51" i="14"/>
  <c r="H41" i="47"/>
  <c r="H42" i="47"/>
  <c r="B150" i="55"/>
  <c r="I51" i="14"/>
  <c r="I52" i="14"/>
  <c r="I42" i="47"/>
  <c r="I43" i="47"/>
  <c r="A150" i="55"/>
  <c r="H52" i="14"/>
  <c r="H53" i="14"/>
  <c r="H43" i="47"/>
  <c r="H44" i="47"/>
  <c r="I53" i="14"/>
  <c r="I54" i="14"/>
  <c r="I44" i="47"/>
  <c r="I45" i="47"/>
  <c r="H54" i="14"/>
  <c r="H55" i="14"/>
  <c r="H45" i="47"/>
  <c r="H46" i="47"/>
  <c r="I55" i="14"/>
  <c r="I56" i="14"/>
  <c r="I46" i="47"/>
  <c r="I47" i="47"/>
  <c r="H56" i="14"/>
  <c r="H57" i="14"/>
  <c r="H47" i="47"/>
  <c r="H48" i="47"/>
  <c r="I57" i="14"/>
  <c r="I58" i="14"/>
  <c r="I48" i="47"/>
  <c r="I49" i="47"/>
  <c r="H58" i="14"/>
  <c r="H59" i="14"/>
  <c r="H49" i="47"/>
  <c r="H50" i="47"/>
  <c r="I59" i="14"/>
  <c r="I60" i="14"/>
  <c r="I50" i="47"/>
  <c r="J333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H60" i="14"/>
  <c r="H61" i="14"/>
  <c r="L179" i="60"/>
  <c r="B17" i="55"/>
  <c r="B18" i="55"/>
  <c r="B19" i="55"/>
  <c r="I61" i="14"/>
  <c r="I62" i="14"/>
  <c r="B20" i="55"/>
  <c r="H62" i="14"/>
  <c r="H63" i="14"/>
  <c r="B21" i="55"/>
  <c r="I63" i="14"/>
  <c r="I64" i="14"/>
  <c r="B22" i="55"/>
  <c r="B23" i="55"/>
  <c r="B24" i="55"/>
  <c r="H64" i="14"/>
  <c r="H65" i="14"/>
  <c r="B25" i="55"/>
  <c r="I65" i="14"/>
  <c r="I66" i="14"/>
  <c r="B26" i="55"/>
  <c r="H66" i="14"/>
  <c r="H67" i="14"/>
  <c r="B27" i="55"/>
  <c r="I67" i="14"/>
  <c r="I68" i="14"/>
  <c r="B28" i="55"/>
  <c r="H68" i="14"/>
  <c r="H69" i="14"/>
  <c r="B29" i="55"/>
  <c r="I69" i="14"/>
  <c r="I70" i="14"/>
  <c r="B30" i="55"/>
  <c r="H70" i="14"/>
  <c r="H71" i="14"/>
  <c r="B31" i="55"/>
  <c r="I71" i="14"/>
  <c r="I72" i="14"/>
  <c r="B32" i="55"/>
  <c r="H72" i="14"/>
  <c r="H73" i="14"/>
  <c r="B33" i="55"/>
  <c r="I73" i="14"/>
  <c r="I74" i="14"/>
  <c r="B34" i="55"/>
  <c r="H74" i="14"/>
  <c r="H75" i="14"/>
  <c r="B35" i="55"/>
  <c r="I75" i="14"/>
  <c r="I76" i="14"/>
  <c r="B36" i="55"/>
  <c r="H76" i="14"/>
  <c r="H77" i="14"/>
  <c r="B37" i="55"/>
  <c r="I77" i="14"/>
  <c r="I78" i="14"/>
  <c r="B38" i="55"/>
  <c r="H78" i="14"/>
  <c r="H79" i="14"/>
  <c r="B39" i="55"/>
  <c r="I79" i="14"/>
  <c r="I80" i="14"/>
  <c r="B40" i="55"/>
  <c r="H80" i="14"/>
  <c r="H81" i="14"/>
  <c r="B41" i="55"/>
  <c r="I81" i="14"/>
  <c r="I82" i="14"/>
  <c r="B42" i="55"/>
  <c r="H82" i="14"/>
  <c r="H83" i="14"/>
  <c r="B43" i="55"/>
  <c r="I83" i="14"/>
  <c r="I84" i="14"/>
  <c r="B44" i="55"/>
  <c r="H84" i="14"/>
  <c r="H85" i="14"/>
  <c r="B45" i="55"/>
  <c r="I85" i="14"/>
  <c r="I86" i="14"/>
  <c r="B46" i="55"/>
  <c r="H86" i="14"/>
  <c r="H87" i="14"/>
  <c r="B47" i="55"/>
  <c r="I87" i="14"/>
  <c r="I88" i="14"/>
  <c r="B48" i="55"/>
  <c r="H88" i="14"/>
  <c r="H89" i="14"/>
  <c r="B49" i="55"/>
  <c r="I89" i="14"/>
  <c r="I90" i="14"/>
  <c r="B50" i="55"/>
  <c r="H90" i="14"/>
  <c r="H91" i="14"/>
  <c r="B51" i="55"/>
  <c r="I91" i="14"/>
  <c r="I92" i="14"/>
  <c r="B52" i="55"/>
  <c r="H92" i="14"/>
  <c r="H93" i="14"/>
  <c r="B53" i="55"/>
  <c r="I93" i="14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F42" i="57"/>
  <c r="J42" i="57"/>
  <c r="J74" i="57"/>
  <c r="H42" i="57"/>
  <c r="K1012" i="34"/>
  <c r="I24" i="73"/>
  <c r="H24" i="73"/>
  <c r="H10" i="73"/>
  <c r="I10" i="73"/>
  <c r="H74" i="57"/>
  <c r="L74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C14" i="39"/>
  <c r="I52" i="73"/>
  <c r="H52" i="73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K2837" i="34"/>
  <c r="J53" i="55" a="1"/>
  <c r="J53" i="55"/>
  <c r="J100" i="55" a="1"/>
  <c r="J100" i="55"/>
  <c r="J369" i="55" a="1"/>
  <c r="J369" i="55"/>
  <c r="J174" i="55" a="1"/>
  <c r="J174" i="55"/>
  <c r="J105" i="55" a="1"/>
  <c r="J105" i="55"/>
  <c r="J347" i="55" a="1"/>
  <c r="J347" i="55"/>
  <c r="J417" i="55" a="1"/>
  <c r="J417" i="55"/>
  <c r="J309" i="55" a="1"/>
  <c r="J309" i="55"/>
  <c r="J66" i="55" a="1"/>
  <c r="J66" i="55"/>
  <c r="J110" i="55" a="1"/>
  <c r="J110" i="55"/>
  <c r="J336" i="55" a="1"/>
  <c r="J336" i="55"/>
  <c r="J409" i="55" a="1"/>
  <c r="J409" i="55"/>
  <c r="J303" i="55" a="1"/>
  <c r="J303" i="55"/>
  <c r="J234" i="55" a="1"/>
  <c r="J234" i="55"/>
  <c r="J398" i="55" a="1"/>
  <c r="J398" i="55"/>
  <c r="J376" i="55" a="1"/>
  <c r="J376" i="55"/>
  <c r="J142" i="55" a="1"/>
  <c r="J142" i="55"/>
  <c r="J385" i="55" a="1"/>
  <c r="J385" i="55"/>
  <c r="J39" i="55" a="1"/>
  <c r="J39" i="55"/>
  <c r="J143" i="55" a="1"/>
  <c r="J143" i="55"/>
  <c r="J54" i="55" a="1"/>
  <c r="J54" i="55"/>
  <c r="J47" i="55" a="1"/>
  <c r="J47" i="55"/>
  <c r="J408" i="55" a="1"/>
  <c r="J408" i="55"/>
  <c r="J48" i="55" a="1"/>
  <c r="J48" i="55"/>
  <c r="J62" i="55" a="1"/>
  <c r="J62" i="55"/>
  <c r="F47" i="15" a="1"/>
  <c r="F47" i="15"/>
  <c r="J380" i="55" a="1"/>
  <c r="J380" i="55"/>
  <c r="J69" i="55" a="1"/>
  <c r="J69" i="55"/>
  <c r="J183" i="55" a="1"/>
  <c r="J183" i="55"/>
  <c r="J161" i="55" a="1"/>
  <c r="J161" i="55"/>
  <c r="J112" i="55" a="1"/>
  <c r="J112" i="55"/>
  <c r="J389" i="55" a="1"/>
  <c r="J389" i="55"/>
  <c r="J124" i="55" a="1"/>
  <c r="J124" i="55"/>
  <c r="J257" i="55" a="1"/>
  <c r="J257" i="55"/>
  <c r="J291" i="55" a="1"/>
  <c r="J291" i="55"/>
  <c r="J232" i="55" a="1"/>
  <c r="J232" i="55"/>
  <c r="J446" i="55" a="1"/>
  <c r="J446" i="55"/>
  <c r="J138" i="55" a="1"/>
  <c r="J138" i="55"/>
  <c r="J30" i="55" a="1"/>
  <c r="J30" i="55"/>
  <c r="J51" i="55" a="1"/>
  <c r="J51" i="55"/>
  <c r="J177" i="55" a="1"/>
  <c r="J177" i="55"/>
  <c r="J32" i="55" a="1"/>
  <c r="J32" i="55"/>
  <c r="J345" i="55" a="1"/>
  <c r="J345" i="55"/>
  <c r="J179" i="55" a="1"/>
  <c r="J179" i="55"/>
  <c r="J79" i="55" a="1"/>
  <c r="J79" i="55"/>
  <c r="J451" i="55" a="1"/>
  <c r="J451" i="55"/>
  <c r="J87" i="55" a="1"/>
  <c r="J87" i="55"/>
  <c r="J344" i="55" a="1"/>
  <c r="J344" i="55"/>
  <c r="J308" i="55" a="1"/>
  <c r="J308" i="55"/>
  <c r="J423" i="55" a="1"/>
  <c r="J423" i="55"/>
  <c r="D13" i="39"/>
  <c r="J92" i="55" a="1"/>
  <c r="J92" i="55"/>
  <c r="J17" i="55" a="1"/>
  <c r="J17" i="55"/>
  <c r="J283" i="55" a="1"/>
  <c r="J283" i="55"/>
  <c r="J59" i="55" a="1"/>
  <c r="J59" i="55"/>
  <c r="J444" i="55" a="1"/>
  <c r="J444" i="55"/>
  <c r="J415" i="55" a="1"/>
  <c r="J415" i="55"/>
  <c r="J186" i="55" a="1"/>
  <c r="J186" i="55"/>
  <c r="J318" i="55" a="1"/>
  <c r="J318" i="55"/>
  <c r="J73" i="55" a="1"/>
  <c r="J73" i="55"/>
  <c r="J52" i="55" a="1"/>
  <c r="J52" i="55"/>
  <c r="J162" i="55" a="1"/>
  <c r="J162" i="55"/>
  <c r="J56" i="55" a="1"/>
  <c r="J56" i="55"/>
  <c r="J166" i="55" a="1"/>
  <c r="J166" i="55"/>
  <c r="J305" i="55" a="1"/>
  <c r="J305" i="55"/>
  <c r="J99" i="55" a="1"/>
  <c r="J99" i="55"/>
  <c r="J109" i="55" a="1"/>
  <c r="J109" i="55"/>
  <c r="J78" i="55" a="1"/>
  <c r="J78" i="55"/>
  <c r="J442" i="55" a="1"/>
  <c r="J442" i="55"/>
  <c r="J82" i="55" a="1"/>
  <c r="J82" i="55"/>
  <c r="J195" i="55" a="1"/>
  <c r="J195" i="55"/>
  <c r="J230" i="55" a="1"/>
  <c r="J230" i="55"/>
  <c r="J280" i="55" a="1"/>
  <c r="J280" i="55"/>
  <c r="J121" i="55" a="1"/>
  <c r="J121" i="55"/>
  <c r="J365" i="55" a="1"/>
  <c r="J365" i="55"/>
  <c r="J428" i="55" a="1"/>
  <c r="J428" i="55"/>
  <c r="J341" i="55" a="1"/>
  <c r="J341" i="55"/>
  <c r="J44" i="55" a="1"/>
  <c r="J44" i="55"/>
  <c r="J81" i="55" a="1"/>
  <c r="J81" i="55"/>
  <c r="J358" i="55" a="1"/>
  <c r="J358" i="55"/>
  <c r="F48" i="15" a="1"/>
  <c r="F48" i="15"/>
  <c r="J71" i="55" a="1"/>
  <c r="J71" i="55"/>
  <c r="J28" i="55" a="1"/>
  <c r="J28" i="55"/>
  <c r="F50" i="15" a="1"/>
  <c r="F50" i="15"/>
  <c r="J41" i="55" a="1"/>
  <c r="J41" i="55"/>
  <c r="J133" i="55" a="1"/>
  <c r="J133" i="55"/>
  <c r="J388" i="55" a="1"/>
  <c r="J388" i="55"/>
  <c r="J434" i="55" a="1"/>
  <c r="J434" i="55"/>
  <c r="J40" i="55" a="1"/>
  <c r="J40" i="55"/>
  <c r="J266" i="55" a="1"/>
  <c r="J266" i="55"/>
  <c r="J172" i="55" a="1"/>
  <c r="J172" i="55"/>
  <c r="J221" i="55" a="1"/>
  <c r="J221" i="55"/>
  <c r="J260" i="55" a="1"/>
  <c r="J260" i="55"/>
  <c r="J213" i="55" a="1"/>
  <c r="J213" i="55"/>
  <c r="J94" i="55" a="1"/>
  <c r="J94" i="55"/>
  <c r="J214" i="55" a="1"/>
  <c r="J214" i="55"/>
  <c r="J93" i="55" a="1"/>
  <c r="J93" i="55"/>
  <c r="J453" i="55" a="1"/>
  <c r="J453" i="55"/>
  <c r="J211" i="55" a="1"/>
  <c r="J211" i="55"/>
  <c r="J21" i="55" a="1"/>
  <c r="J21" i="55"/>
  <c r="J11" i="55" a="1"/>
  <c r="J11" i="55"/>
  <c r="J19" i="55" a="1"/>
  <c r="J19" i="55"/>
  <c r="J418" i="55" a="1"/>
  <c r="J418" i="55"/>
  <c r="J287" i="55" a="1"/>
  <c r="J287" i="55"/>
  <c r="J416" i="55" a="1"/>
  <c r="J416" i="55"/>
  <c r="J42" i="55" a="1"/>
  <c r="J42" i="55"/>
  <c r="F45" i="15" a="1"/>
  <c r="F45" i="15"/>
  <c r="J322" i="55" a="1"/>
  <c r="J322" i="55"/>
  <c r="J424" i="55" a="1"/>
  <c r="J424" i="55"/>
  <c r="J414" i="55" a="1"/>
  <c r="J414" i="55"/>
  <c r="J163" i="55" a="1"/>
  <c r="J163" i="55"/>
  <c r="J461" i="55" a="1"/>
  <c r="J461" i="55"/>
  <c r="J226" i="55" a="1"/>
  <c r="J226" i="55"/>
  <c r="J222" i="55" a="1"/>
  <c r="J222" i="55"/>
  <c r="J184" i="55" a="1"/>
  <c r="J184" i="55"/>
  <c r="J274" i="55" a="1"/>
  <c r="J274" i="55"/>
  <c r="J219" i="55" a="1"/>
  <c r="J219" i="55"/>
  <c r="J171" i="55" a="1"/>
  <c r="J171" i="55"/>
  <c r="J468" i="55" a="1"/>
  <c r="J468" i="55"/>
  <c r="J460" i="55" a="1"/>
  <c r="J460" i="55"/>
  <c r="J402" i="55" a="1"/>
  <c r="J402" i="55"/>
  <c r="J273" i="55" a="1"/>
  <c r="J273" i="55"/>
  <c r="J466" i="55" a="1"/>
  <c r="J466" i="55"/>
  <c r="J465" i="55" a="1"/>
  <c r="J465" i="55"/>
  <c r="J202" i="55" a="1"/>
  <c r="J202" i="55"/>
  <c r="J327" i="55" a="1"/>
  <c r="J327" i="55"/>
  <c r="J382" i="55" a="1"/>
  <c r="J382" i="55"/>
  <c r="J175" i="55" a="1"/>
  <c r="J175" i="55"/>
  <c r="J264" i="55" a="1"/>
  <c r="J264" i="55"/>
  <c r="J373" i="55" a="1"/>
  <c r="J373" i="55"/>
  <c r="J426" i="55" a="1"/>
  <c r="J426" i="55"/>
  <c r="J23" i="55" a="1"/>
  <c r="J23" i="55"/>
  <c r="J136" i="55" a="1"/>
  <c r="J136" i="55"/>
  <c r="J122" i="55" a="1"/>
  <c r="J122" i="55"/>
  <c r="J35" i="55" a="1"/>
  <c r="J35" i="55"/>
  <c r="J74" i="55" a="1"/>
  <c r="J74" i="55"/>
  <c r="J330" i="55" a="1"/>
  <c r="J330" i="55"/>
  <c r="J420" i="55" a="1"/>
  <c r="J420" i="55"/>
  <c r="J90" i="55" a="1"/>
  <c r="J90" i="55"/>
  <c r="J351" i="55" a="1"/>
  <c r="J351" i="55"/>
  <c r="J422" i="55" a="1"/>
  <c r="J422" i="55"/>
  <c r="J292" i="55" a="1"/>
  <c r="J292" i="55"/>
  <c r="J370" i="55" a="1"/>
  <c r="J370" i="55"/>
  <c r="J454" i="55" a="1"/>
  <c r="J454" i="55"/>
  <c r="J12" i="55" a="1"/>
  <c r="J12" i="55"/>
  <c r="J448" i="55" a="1"/>
  <c r="J448" i="55"/>
  <c r="J304" i="55" a="1"/>
  <c r="J304" i="55"/>
  <c r="J242" i="55" a="1"/>
  <c r="J242" i="55"/>
  <c r="J469" i="55" a="1"/>
  <c r="J469" i="55"/>
  <c r="J457" i="55" a="1"/>
  <c r="J457" i="55"/>
  <c r="J192" i="55" a="1"/>
  <c r="J192" i="55"/>
  <c r="J269" i="55" a="1"/>
  <c r="J269" i="55"/>
  <c r="J323" i="55" a="1"/>
  <c r="J323" i="55"/>
  <c r="J216" i="55" a="1"/>
  <c r="J216" i="55"/>
  <c r="J185" i="55" a="1"/>
  <c r="J185" i="55"/>
  <c r="J441" i="55" a="1"/>
  <c r="J441" i="55"/>
  <c r="J312" i="55" a="1"/>
  <c r="J312" i="55"/>
  <c r="J440" i="55" a="1"/>
  <c r="J440" i="55"/>
  <c r="J63" i="55" a="1"/>
  <c r="J63" i="55"/>
  <c r="J282" i="55" a="1"/>
  <c r="J282" i="55"/>
  <c r="J37" i="55" a="1"/>
  <c r="J37" i="55"/>
  <c r="J18" i="55" a="1"/>
  <c r="J18" i="55"/>
  <c r="J113" i="55" a="1"/>
  <c r="J113" i="55"/>
  <c r="J366" i="55" a="1"/>
  <c r="J366" i="55"/>
  <c r="J412" i="55" a="1"/>
  <c r="J412" i="55"/>
  <c r="J392" i="55" a="1"/>
  <c r="J392" i="55"/>
  <c r="J85" i="55" a="1"/>
  <c r="J85" i="55"/>
  <c r="J449" i="55" a="1"/>
  <c r="J449" i="55"/>
  <c r="J22" i="55" a="1"/>
  <c r="J22" i="55"/>
  <c r="J368" i="55" a="1"/>
  <c r="J368" i="55"/>
  <c r="J144" i="55" a="1"/>
  <c r="J144" i="55"/>
  <c r="J421" i="55" a="1"/>
  <c r="J421" i="55"/>
  <c r="J475" i="55" a="1"/>
  <c r="J475" i="55"/>
  <c r="J253" i="55" a="1"/>
  <c r="J253" i="55"/>
  <c r="J437" i="55" a="1"/>
  <c r="J437" i="55"/>
  <c r="J313" i="55" a="1"/>
  <c r="J313" i="55"/>
  <c r="J247" i="55" a="1"/>
  <c r="J247" i="55"/>
  <c r="J445" i="55" a="1"/>
  <c r="J445" i="55"/>
  <c r="J198" i="55" a="1"/>
  <c r="J198" i="55"/>
  <c r="J471" i="55" a="1"/>
  <c r="J471" i="55"/>
  <c r="J456" i="55" a="1"/>
  <c r="J456" i="55"/>
  <c r="J173" i="55" a="1"/>
  <c r="J173" i="55"/>
  <c r="J168" i="55" a="1"/>
  <c r="J168" i="55"/>
  <c r="J250" i="55" a="1"/>
  <c r="J250" i="55"/>
  <c r="J436" i="55" a="1"/>
  <c r="J436" i="55"/>
  <c r="J357" i="55" a="1"/>
  <c r="J357" i="55"/>
  <c r="J60" i="55" a="1"/>
  <c r="J60" i="55"/>
  <c r="J151" i="55" a="1"/>
  <c r="J151" i="55"/>
  <c r="J107" i="55" a="1"/>
  <c r="J107" i="55"/>
  <c r="J224" i="55" a="1"/>
  <c r="J224" i="55"/>
  <c r="J396" i="55" a="1"/>
  <c r="J396" i="55"/>
  <c r="J84" i="55" a="1"/>
  <c r="J84" i="55"/>
  <c r="J101" i="55" a="1"/>
  <c r="J101" i="55"/>
  <c r="J298" i="55" a="1"/>
  <c r="J298" i="55"/>
  <c r="J320" i="55" a="1"/>
  <c r="J320" i="55"/>
  <c r="J377" i="55" a="1"/>
  <c r="J377" i="55"/>
  <c r="J452" i="55" a="1"/>
  <c r="J452" i="55"/>
  <c r="J432" i="55" a="1"/>
  <c r="J432" i="55"/>
  <c r="J267" i="55" a="1"/>
  <c r="J267" i="55"/>
  <c r="J65" i="55" a="1"/>
  <c r="J65" i="55"/>
  <c r="J364" i="55" a="1"/>
  <c r="J364" i="55"/>
  <c r="J241" i="55" a="1"/>
  <c r="J241" i="55"/>
  <c r="J334" i="55" a="1"/>
  <c r="J334" i="55"/>
  <c r="J262" i="55" a="1"/>
  <c r="J262" i="55"/>
  <c r="J223" i="55" a="1"/>
  <c r="J223" i="55"/>
  <c r="J333" i="55" a="1"/>
  <c r="J333" i="55"/>
  <c r="J201" i="55" a="1"/>
  <c r="J201" i="55"/>
  <c r="J290" i="55" a="1"/>
  <c r="J290" i="55"/>
  <c r="J237" i="55" a="1"/>
  <c r="J237" i="55"/>
  <c r="J285" i="55" a="1"/>
  <c r="J285" i="55"/>
  <c r="J88" i="55" a="1"/>
  <c r="J88" i="55"/>
  <c r="J470" i="55" a="1"/>
  <c r="J470" i="55"/>
  <c r="J227" i="55" a="1"/>
  <c r="J227" i="55"/>
  <c r="J176" i="55" a="1"/>
  <c r="J176" i="55"/>
  <c r="J315" i="55" a="1"/>
  <c r="J315" i="55"/>
  <c r="J314" i="55" a="1"/>
  <c r="J314" i="55"/>
  <c r="J317" i="55" a="1"/>
  <c r="J317" i="55"/>
  <c r="J277" i="55" a="1"/>
  <c r="J277" i="55"/>
  <c r="J403" i="55" a="1"/>
  <c r="J403" i="55"/>
  <c r="J472" i="55" a="1"/>
  <c r="J472" i="55"/>
  <c r="J439" i="55" a="1"/>
  <c r="J439" i="55"/>
  <c r="J404" i="55" a="1"/>
  <c r="J404" i="55"/>
  <c r="J401" i="55" a="1"/>
  <c r="J401" i="55"/>
  <c r="J390" i="55" a="1"/>
  <c r="J390" i="55"/>
  <c r="J217" i="55" a="1"/>
  <c r="J217" i="55"/>
  <c r="J255" i="55" a="1"/>
  <c r="J255" i="55"/>
  <c r="J359" i="55" a="1"/>
  <c r="J359" i="55"/>
  <c r="J258" i="55" a="1"/>
  <c r="J258" i="55"/>
  <c r="J181" i="55" a="1"/>
  <c r="J181" i="55"/>
  <c r="J324" i="55" a="1"/>
  <c r="J324" i="55"/>
  <c r="J326" i="55" a="1"/>
  <c r="J326" i="55"/>
  <c r="J325" i="55" a="1"/>
  <c r="J325" i="55"/>
  <c r="J372" i="55" a="1"/>
  <c r="J372" i="55"/>
  <c r="J356" i="55" a="1"/>
  <c r="J356" i="55"/>
  <c r="J57" i="55" a="1"/>
  <c r="J57" i="55"/>
  <c r="J210" i="55" a="1"/>
  <c r="J210" i="55"/>
  <c r="J386" i="55" a="1"/>
  <c r="J386" i="55"/>
  <c r="J157" i="55" a="1"/>
  <c r="J157" i="55"/>
  <c r="J310" i="55" a="1"/>
  <c r="J310" i="55"/>
  <c r="J480" i="55" a="1"/>
  <c r="J480" i="55"/>
  <c r="J363" i="55" a="1"/>
  <c r="J363" i="55"/>
  <c r="J193" i="55" a="1"/>
  <c r="J193" i="55"/>
  <c r="J249" i="55" a="1"/>
  <c r="J249" i="55"/>
  <c r="J400" i="55" a="1"/>
  <c r="J400" i="55"/>
  <c r="J342" i="55" a="1"/>
  <c r="J342" i="55"/>
  <c r="J281" i="55" a="1"/>
  <c r="J281" i="55"/>
  <c r="J245" i="55" a="1"/>
  <c r="J245" i="55"/>
  <c r="J316" i="55" a="1"/>
  <c r="J316" i="55"/>
  <c r="J240" i="55" a="1"/>
  <c r="J240" i="55"/>
  <c r="J205" i="55" a="1"/>
  <c r="J205" i="55"/>
  <c r="J188" i="55" a="1"/>
  <c r="J188" i="55"/>
  <c r="J288" i="55" a="1"/>
  <c r="J288" i="55"/>
  <c r="J208" i="55" a="1"/>
  <c r="J208" i="55"/>
  <c r="J200" i="55" a="1"/>
  <c r="J200" i="55"/>
  <c r="J299" i="55" a="1"/>
  <c r="J299" i="55"/>
  <c r="J463" i="55" a="1"/>
  <c r="J463" i="55"/>
  <c r="J455" i="55" a="1"/>
  <c r="J455" i="55"/>
  <c r="J340" i="55" a="1"/>
  <c r="J340" i="55"/>
  <c r="J225" i="55" a="1"/>
  <c r="J225" i="55"/>
  <c r="J410" i="55" a="1"/>
  <c r="J410" i="55"/>
  <c r="J251" i="55" a="1"/>
  <c r="J251" i="55"/>
  <c r="J244" i="55" a="1"/>
  <c r="J244" i="55"/>
  <c r="J263" i="55" a="1"/>
  <c r="J263" i="55"/>
  <c r="J413" i="55" a="1"/>
  <c r="J413" i="55"/>
  <c r="J395" i="55" a="1"/>
  <c r="J395" i="55"/>
  <c r="J399" i="55" a="1"/>
  <c r="J399" i="55"/>
  <c r="J127" i="55" a="1"/>
  <c r="J127" i="55"/>
  <c r="J350" i="55" a="1"/>
  <c r="J350" i="55"/>
  <c r="J407" i="55" a="1"/>
  <c r="J407" i="55"/>
  <c r="J477" i="55" a="1"/>
  <c r="J477" i="55"/>
  <c r="J197" i="55" a="1"/>
  <c r="J197" i="55"/>
  <c r="J97" i="55" a="1"/>
  <c r="J97" i="55"/>
  <c r="J374" i="55" a="1"/>
  <c r="J374" i="55"/>
  <c r="J405" i="55" a="1"/>
  <c r="J405" i="55"/>
  <c r="J397" i="55" a="1"/>
  <c r="J397" i="55"/>
  <c r="J279" i="55" a="1"/>
  <c r="J279" i="55"/>
  <c r="J473" i="55" a="1"/>
  <c r="J473" i="55"/>
  <c r="J302" i="55" a="1"/>
  <c r="J302" i="55"/>
  <c r="J462" i="55" a="1"/>
  <c r="J462" i="55"/>
  <c r="J276" i="55" a="1"/>
  <c r="J276" i="55"/>
  <c r="J328" i="55" a="1"/>
  <c r="J328" i="55"/>
  <c r="J296" i="55" a="1"/>
  <c r="J296" i="55"/>
  <c r="J406" i="55" a="1"/>
  <c r="J406" i="55"/>
  <c r="J108" i="55" a="1"/>
  <c r="J108" i="55"/>
  <c r="J306" i="55" a="1"/>
  <c r="J306" i="55"/>
  <c r="J238" i="55" a="1"/>
  <c r="J238" i="55"/>
  <c r="J329" i="55" a="1"/>
  <c r="J329" i="55"/>
  <c r="J118" i="55" a="1"/>
  <c r="J118" i="55"/>
  <c r="J243" i="55" a="1"/>
  <c r="J243" i="55"/>
  <c r="J300" i="55" a="1"/>
  <c r="J300" i="55"/>
  <c r="J476" i="55" a="1"/>
  <c r="J476" i="55"/>
  <c r="J178" i="55" a="1"/>
  <c r="J178" i="55"/>
  <c r="J474" i="55" a="1"/>
  <c r="J474" i="55"/>
  <c r="J337" i="55" a="1"/>
  <c r="J337" i="55"/>
  <c r="J231" i="55" a="1"/>
  <c r="J231" i="55"/>
  <c r="J189" i="55" a="1"/>
  <c r="J189" i="55"/>
  <c r="J75" i="55" a="1"/>
  <c r="J75" i="55"/>
  <c r="J153" i="55" a="1"/>
  <c r="J153" i="55"/>
  <c r="J331" i="55" a="1"/>
  <c r="J331" i="55"/>
  <c r="J294" i="55" a="1"/>
  <c r="J294" i="55"/>
  <c r="J265" i="55" a="1"/>
  <c r="J265" i="55"/>
  <c r="J229" i="55" a="1"/>
  <c r="J229" i="55"/>
  <c r="J284" i="55" a="1"/>
  <c r="J284" i="55"/>
  <c r="J360" i="55" a="1"/>
  <c r="J360" i="55"/>
  <c r="J212" i="55" a="1"/>
  <c r="J212" i="55"/>
  <c r="J289" i="55" a="1"/>
  <c r="J289" i="55"/>
  <c r="J295" i="55" a="1"/>
  <c r="J295" i="55"/>
  <c r="J254" i="55" a="1"/>
  <c r="J254" i="55"/>
  <c r="J458" i="55" a="1"/>
  <c r="J458" i="55"/>
  <c r="J187" i="55" a="1"/>
  <c r="J187" i="55"/>
  <c r="J301" i="55" a="1"/>
  <c r="J301" i="55"/>
  <c r="J383" i="55" a="1"/>
  <c r="J383" i="55"/>
  <c r="J220" i="55" a="1"/>
  <c r="J220" i="55"/>
  <c r="J478" i="55" a="1"/>
  <c r="J478" i="55"/>
  <c r="J425" i="55" a="1"/>
  <c r="J425" i="55"/>
  <c r="J271" i="55" a="1"/>
  <c r="J271" i="55"/>
  <c r="J479" i="55" a="1"/>
  <c r="J479" i="55"/>
  <c r="J203" i="55" a="1"/>
  <c r="J203" i="55"/>
  <c r="J464" i="55" a="1"/>
  <c r="J464" i="55"/>
  <c r="J191" i="55" a="1"/>
  <c r="J191" i="55"/>
  <c r="J165" i="55" a="1"/>
  <c r="J165" i="55"/>
  <c r="J83" i="55" a="1"/>
  <c r="J83" i="55"/>
  <c r="J270" i="55" a="1"/>
  <c r="J270" i="55"/>
  <c r="J233" i="55" a="1"/>
  <c r="J233" i="55"/>
  <c r="J307" i="55" a="1"/>
  <c r="J307" i="55"/>
  <c r="J286" i="55" a="1"/>
  <c r="J286" i="55"/>
  <c r="J239" i="55" a="1"/>
  <c r="J239" i="55"/>
  <c r="J438" i="55" a="1"/>
  <c r="J438" i="55"/>
  <c r="J50" i="55" a="1"/>
  <c r="J50" i="55"/>
  <c r="J180" i="55" a="1"/>
  <c r="J180" i="55"/>
  <c r="J158" i="55" a="1"/>
  <c r="J158" i="55"/>
  <c r="J199" i="55" a="1"/>
  <c r="J199" i="55"/>
  <c r="J218" i="55" a="1"/>
  <c r="J218" i="55"/>
  <c r="H53" i="55" a="1"/>
  <c r="H53" i="55"/>
  <c r="L53" i="55"/>
  <c r="F14" i="12" a="1"/>
  <c r="F14" i="12"/>
  <c r="H423" i="55" a="1"/>
  <c r="H423" i="55"/>
  <c r="L423" i="55"/>
  <c r="H164" i="55" a="1"/>
  <c r="H164" i="55"/>
  <c r="H308" i="55" a="1"/>
  <c r="H308" i="55"/>
  <c r="L308" i="55"/>
  <c r="H39" i="55" a="1"/>
  <c r="H39" i="55"/>
  <c r="L39" i="55"/>
  <c r="H362" i="55" a="1"/>
  <c r="H362" i="55"/>
  <c r="E47" i="15" a="1"/>
  <c r="E47" i="15"/>
  <c r="I47" i="15"/>
  <c r="H444" i="55" a="1"/>
  <c r="H444" i="55"/>
  <c r="L444" i="55"/>
  <c r="J131" i="55" a="1"/>
  <c r="J131" i="55"/>
  <c r="J140" i="55" a="1"/>
  <c r="J140" i="55"/>
  <c r="F7" i="70" a="1"/>
  <c r="F7" i="70"/>
  <c r="H134" i="55" a="1"/>
  <c r="H134" i="55"/>
  <c r="H58" i="55" a="1"/>
  <c r="H58" i="55"/>
  <c r="H46" i="55" a="1"/>
  <c r="H46" i="55"/>
  <c r="H169" i="55" a="1"/>
  <c r="H169" i="55"/>
  <c r="H116" i="55" a="1"/>
  <c r="H116" i="55"/>
  <c r="H293" i="55" a="1"/>
  <c r="H293" i="55"/>
  <c r="J236" i="55" a="1"/>
  <c r="J236" i="55"/>
  <c r="J447" i="55" a="1"/>
  <c r="J447" i="55"/>
  <c r="H435" i="55" a="1"/>
  <c r="H435" i="55"/>
  <c r="H48" i="55" a="1"/>
  <c r="H48" i="55"/>
  <c r="L48" i="55"/>
  <c r="E48" i="15" a="1"/>
  <c r="E48" i="15"/>
  <c r="I48" i="15"/>
  <c r="H54" i="55" a="1"/>
  <c r="H54" i="55"/>
  <c r="L54" i="55"/>
  <c r="H160" i="55" a="1"/>
  <c r="H160" i="55"/>
  <c r="H128" i="55" a="1"/>
  <c r="H128" i="55"/>
  <c r="H109" i="55" a="1"/>
  <c r="H109" i="55"/>
  <c r="L109" i="55"/>
  <c r="J378" i="55" a="1"/>
  <c r="J378" i="55"/>
  <c r="J467" i="55" a="1"/>
  <c r="J467" i="55"/>
  <c r="H411" i="55" a="1"/>
  <c r="H411" i="55"/>
  <c r="F40" i="15" a="1"/>
  <c r="F40" i="15"/>
  <c r="F41" i="15"/>
  <c r="E44" i="15" a="1"/>
  <c r="E44" i="15"/>
  <c r="H33" i="55" a="1"/>
  <c r="H33" i="55"/>
  <c r="H338" i="55" a="1"/>
  <c r="H338" i="55"/>
  <c r="H352" i="55" a="1"/>
  <c r="H352" i="55"/>
  <c r="H206" i="55" a="1"/>
  <c r="H206" i="55"/>
  <c r="H319" i="55" a="1"/>
  <c r="H319" i="55"/>
  <c r="H311" i="55" a="1"/>
  <c r="H311" i="55"/>
  <c r="H261" i="55" a="1"/>
  <c r="H261" i="55"/>
  <c r="H415" i="55" a="1"/>
  <c r="H415" i="55"/>
  <c r="L415" i="55"/>
  <c r="H393" i="55" a="1"/>
  <c r="H393" i="55"/>
  <c r="H68" i="55" a="1"/>
  <c r="H68" i="55"/>
  <c r="H27" i="55" a="1"/>
  <c r="H27" i="55"/>
  <c r="H115" i="55" a="1"/>
  <c r="H115" i="55"/>
  <c r="H25" i="55" a="1"/>
  <c r="H25" i="55"/>
  <c r="H283" i="55" a="1"/>
  <c r="H283" i="55"/>
  <c r="L283" i="55"/>
  <c r="H336" i="55" a="1"/>
  <c r="H336" i="55"/>
  <c r="L336" i="55"/>
  <c r="H442" i="55" a="1"/>
  <c r="H442" i="55"/>
  <c r="L442" i="55"/>
  <c r="H98" i="55" a="1"/>
  <c r="H98" i="55"/>
  <c r="E46" i="15" a="1"/>
  <c r="E46" i="15"/>
  <c r="H26" i="55" a="1"/>
  <c r="H26" i="55"/>
  <c r="H394" i="55" a="1"/>
  <c r="H394" i="55"/>
  <c r="H349" i="55" a="1"/>
  <c r="H349" i="55"/>
  <c r="H141" i="55" a="1"/>
  <c r="H141" i="55"/>
  <c r="H119" i="55" a="1"/>
  <c r="H119" i="55"/>
  <c r="H321" i="55" a="1"/>
  <c r="H321" i="55"/>
  <c r="H268" i="55" a="1"/>
  <c r="H268" i="55"/>
  <c r="H235" i="55" a="1"/>
  <c r="H235" i="55"/>
  <c r="H129" i="55" a="1"/>
  <c r="H129" i="55"/>
  <c r="H167" i="55" a="1"/>
  <c r="H167" i="55"/>
  <c r="H275" i="55" a="1"/>
  <c r="H275" i="55"/>
  <c r="H182" i="55" a="1"/>
  <c r="H182" i="55"/>
  <c r="H86" i="55" a="1"/>
  <c r="H86" i="55"/>
  <c r="H190" i="55" a="1"/>
  <c r="H190" i="55"/>
  <c r="H278" i="55" a="1"/>
  <c r="H278" i="55"/>
  <c r="H433" i="55" a="1"/>
  <c r="H433" i="55"/>
  <c r="H332" i="55" a="1"/>
  <c r="H332" i="55"/>
  <c r="H459" i="55" a="1"/>
  <c r="H459" i="55"/>
  <c r="H207" i="55" a="1"/>
  <c r="H207" i="55"/>
  <c r="H450" i="55" a="1"/>
  <c r="H450" i="55"/>
  <c r="H101" i="55" a="1"/>
  <c r="H101" i="55"/>
  <c r="L101" i="55"/>
  <c r="H35" i="55" a="1"/>
  <c r="H35" i="55"/>
  <c r="L35" i="55"/>
  <c r="H298" i="55" a="1"/>
  <c r="H298" i="55"/>
  <c r="L298" i="55"/>
  <c r="H74" i="55" a="1"/>
  <c r="H74" i="55"/>
  <c r="L74" i="55"/>
  <c r="H320" i="55" a="1"/>
  <c r="H320" i="55"/>
  <c r="L320" i="55"/>
  <c r="H330" i="55" a="1"/>
  <c r="H330" i="55"/>
  <c r="L330" i="55"/>
  <c r="H377" i="55" a="1"/>
  <c r="H377" i="55"/>
  <c r="L377" i="55"/>
  <c r="H420" i="55" a="1"/>
  <c r="H420" i="55"/>
  <c r="L420" i="55"/>
  <c r="H452" i="55" a="1"/>
  <c r="H452" i="55"/>
  <c r="L452" i="55"/>
  <c r="H90" i="55" a="1"/>
  <c r="H90" i="55"/>
  <c r="L90" i="55"/>
  <c r="H110" i="55" a="1"/>
  <c r="H110" i="55"/>
  <c r="L110" i="55"/>
  <c r="H145" i="55" a="1"/>
  <c r="H145" i="55"/>
  <c r="H100" i="55" a="1"/>
  <c r="H100" i="55"/>
  <c r="H346" i="55" a="1"/>
  <c r="H346" i="55"/>
  <c r="H481" i="55" a="1"/>
  <c r="H481" i="55"/>
  <c r="H369" i="55" a="1"/>
  <c r="H369" i="55"/>
  <c r="L369" i="55"/>
  <c r="H174" i="55" a="1"/>
  <c r="H174" i="55"/>
  <c r="L174" i="55"/>
  <c r="H105" i="55" a="1"/>
  <c r="H105" i="55"/>
  <c r="L105" i="55"/>
  <c r="H347" i="55" a="1"/>
  <c r="H347" i="55"/>
  <c r="L347" i="55"/>
  <c r="H417" i="55" a="1"/>
  <c r="H417" i="55"/>
  <c r="L417" i="55"/>
  <c r="H309" i="55" a="1"/>
  <c r="H309" i="55"/>
  <c r="L309" i="55"/>
  <c r="H151" i="55" a="1"/>
  <c r="H151" i="55"/>
  <c r="L151" i="55"/>
  <c r="H282" i="55" a="1"/>
  <c r="H282" i="55"/>
  <c r="L282" i="55"/>
  <c r="H211" i="55" a="1"/>
  <c r="H211" i="55"/>
  <c r="L211" i="55"/>
  <c r="H113" i="55" a="1"/>
  <c r="H113" i="55"/>
  <c r="L113" i="55"/>
  <c r="H425" i="55" a="1"/>
  <c r="H425" i="55"/>
  <c r="L425" i="55"/>
  <c r="H340" i="55" a="1"/>
  <c r="H340" i="55"/>
  <c r="L340" i="55"/>
  <c r="H265" i="55" a="1"/>
  <c r="H265" i="55"/>
  <c r="L265" i="55"/>
  <c r="H88" i="55" a="1"/>
  <c r="H88" i="55"/>
  <c r="L88" i="55"/>
  <c r="H387" i="55" a="1"/>
  <c r="H387" i="55"/>
  <c r="H186" i="55" a="1"/>
  <c r="H186" i="55"/>
  <c r="L186" i="55"/>
  <c r="H162" i="55" a="1"/>
  <c r="H162" i="55"/>
  <c r="L162" i="55"/>
  <c r="H248" i="55" a="1"/>
  <c r="H248" i="55"/>
  <c r="H67" i="55" a="1"/>
  <c r="H67" i="55"/>
  <c r="H94" i="55" a="1"/>
  <c r="H94" i="55"/>
  <c r="L94" i="55"/>
  <c r="H297" i="55" a="1"/>
  <c r="H297" i="55"/>
  <c r="H341" i="55" a="1"/>
  <c r="H341" i="55"/>
  <c r="L341" i="55"/>
  <c r="H385" i="55" a="1"/>
  <c r="H385" i="55"/>
  <c r="L385" i="55"/>
  <c r="H428" i="55" a="1"/>
  <c r="H428" i="55"/>
  <c r="L428" i="55"/>
  <c r="H451" i="55" a="1"/>
  <c r="H451" i="55"/>
  <c r="L451" i="55"/>
  <c r="H381" i="55" a="1"/>
  <c r="H381" i="55"/>
  <c r="H79" i="55" a="1"/>
  <c r="H79" i="55"/>
  <c r="L79" i="55"/>
  <c r="H196" i="55" a="1"/>
  <c r="H196" i="55"/>
  <c r="H179" i="55" a="1"/>
  <c r="H179" i="55"/>
  <c r="L179" i="55"/>
  <c r="H91" i="55" a="1"/>
  <c r="H91" i="55"/>
  <c r="H345" i="55" a="1"/>
  <c r="H345" i="55"/>
  <c r="L345" i="55"/>
  <c r="H30" i="55" a="1"/>
  <c r="H30" i="55"/>
  <c r="L30" i="55"/>
  <c r="H380" i="55" a="1"/>
  <c r="H380" i="55"/>
  <c r="L380" i="55"/>
  <c r="H69" i="55" a="1"/>
  <c r="H69" i="55"/>
  <c r="L69" i="55"/>
  <c r="H183" i="55" a="1"/>
  <c r="H183" i="55"/>
  <c r="L183" i="55"/>
  <c r="H161" i="55" a="1"/>
  <c r="H161" i="55"/>
  <c r="L161" i="55"/>
  <c r="H40" i="55" a="1"/>
  <c r="H40" i="55"/>
  <c r="L40" i="55"/>
  <c r="H266" i="55" a="1"/>
  <c r="H266" i="55"/>
  <c r="L266" i="55"/>
  <c r="H322" i="55" a="1"/>
  <c r="H322" i="55"/>
  <c r="L322" i="55"/>
  <c r="H414" i="55" a="1"/>
  <c r="H414" i="55"/>
  <c r="L414" i="55"/>
  <c r="H65" i="55" a="1"/>
  <c r="H65" i="55"/>
  <c r="L65" i="55"/>
  <c r="H108" i="55" a="1"/>
  <c r="H108" i="55"/>
  <c r="L108" i="55"/>
  <c r="H371" i="55" a="1"/>
  <c r="H371" i="55"/>
  <c r="H209" i="55" a="1"/>
  <c r="H209" i="55"/>
  <c r="H419" i="55" a="1"/>
  <c r="H419" i="55"/>
  <c r="H215" i="55" a="1"/>
  <c r="H215" i="55"/>
  <c r="H431" i="55" a="1"/>
  <c r="H431" i="55"/>
  <c r="H111" i="55" a="1"/>
  <c r="H111" i="55"/>
  <c r="H461" i="55" a="1"/>
  <c r="H461" i="55"/>
  <c r="L461" i="55"/>
  <c r="H18" i="55" a="1"/>
  <c r="H18" i="55"/>
  <c r="L18" i="55"/>
  <c r="H223" i="55" a="1"/>
  <c r="H223" i="55"/>
  <c r="L223" i="55"/>
  <c r="H333" i="55" a="1"/>
  <c r="H333" i="55"/>
  <c r="L333" i="55"/>
  <c r="H382" i="55" a="1"/>
  <c r="H382" i="55"/>
  <c r="L382" i="55"/>
  <c r="H175" i="55" a="1"/>
  <c r="H175" i="55"/>
  <c r="L175" i="55"/>
  <c r="H383" i="55" a="1"/>
  <c r="H383" i="55"/>
  <c r="L383" i="55"/>
  <c r="H299" i="55" a="1"/>
  <c r="H299" i="55"/>
  <c r="L299" i="55"/>
  <c r="H57" i="55" a="1"/>
  <c r="H57" i="55"/>
  <c r="L57" i="55"/>
  <c r="H189" i="55" a="1"/>
  <c r="H189" i="55"/>
  <c r="L189" i="55"/>
  <c r="H210" i="55" a="1"/>
  <c r="H210" i="55"/>
  <c r="L210" i="55"/>
  <c r="H75" i="55" a="1"/>
  <c r="H75" i="55"/>
  <c r="L75" i="55"/>
  <c r="H386" i="55" a="1"/>
  <c r="H386" i="55"/>
  <c r="L386" i="55"/>
  <c r="H153" i="55" a="1"/>
  <c r="H153" i="55"/>
  <c r="L153" i="55"/>
  <c r="H157" i="55" a="1"/>
  <c r="H157" i="55"/>
  <c r="L157" i="55"/>
  <c r="H331" i="55" a="1"/>
  <c r="H331" i="55"/>
  <c r="L331" i="55"/>
  <c r="H363" i="55" a="1"/>
  <c r="H363" i="55"/>
  <c r="L363" i="55"/>
  <c r="H229" i="55" a="1"/>
  <c r="H229" i="55"/>
  <c r="L229" i="55"/>
  <c r="H378" i="55" a="1"/>
  <c r="H378" i="55"/>
  <c r="L378" i="55"/>
  <c r="H140" i="55" a="1"/>
  <c r="H140" i="55"/>
  <c r="L140" i="55"/>
  <c r="H158" i="55" a="1"/>
  <c r="H158" i="55"/>
  <c r="L158" i="55"/>
  <c r="H82" i="55" a="1"/>
  <c r="H82" i="55"/>
  <c r="L82" i="55"/>
  <c r="H318" i="55" a="1"/>
  <c r="H318" i="55"/>
  <c r="L318" i="55"/>
  <c r="H59" i="55" a="1"/>
  <c r="H59" i="55"/>
  <c r="L59" i="55"/>
  <c r="F17" i="70" a="1"/>
  <c r="F17" i="70"/>
  <c r="H80" i="55" a="1"/>
  <c r="H80" i="55"/>
  <c r="H408" i="55" a="1"/>
  <c r="H408" i="55"/>
  <c r="L408" i="55"/>
  <c r="H135" i="55" a="1"/>
  <c r="H135" i="55"/>
  <c r="H36" i="55" a="1"/>
  <c r="H36" i="55"/>
  <c r="H177" i="55" a="1"/>
  <c r="H177" i="55"/>
  <c r="L177" i="55"/>
  <c r="H355" i="55" a="1"/>
  <c r="H355" i="55"/>
  <c r="H51" i="55" a="1"/>
  <c r="H51" i="55"/>
  <c r="L51" i="55"/>
  <c r="H24" i="55" a="1"/>
  <c r="H24" i="55"/>
  <c r="H348" i="55" a="1"/>
  <c r="H348" i="55"/>
  <c r="H335" i="55" a="1"/>
  <c r="H335" i="55"/>
  <c r="H379" i="55" a="1"/>
  <c r="H379" i="55"/>
  <c r="H31" i="55" a="1"/>
  <c r="H31" i="55"/>
  <c r="H72" i="55" a="1"/>
  <c r="H72" i="55"/>
  <c r="H76" i="55" a="1"/>
  <c r="H76" i="55"/>
  <c r="H361" i="55" a="1"/>
  <c r="H361" i="55"/>
  <c r="H34" i="55" a="1"/>
  <c r="H34" i="55"/>
  <c r="H132" i="55" a="1"/>
  <c r="H132" i="55"/>
  <c r="H443" i="55" a="1"/>
  <c r="H443" i="55"/>
  <c r="H152" i="55" a="1"/>
  <c r="H152" i="55"/>
  <c r="H375" i="55" a="1"/>
  <c r="H375" i="55"/>
  <c r="H429" i="55" a="1"/>
  <c r="H429" i="55"/>
  <c r="H61" i="55" a="1"/>
  <c r="H61" i="55"/>
  <c r="H23" i="55" a="1"/>
  <c r="H23" i="55"/>
  <c r="L23" i="55"/>
  <c r="H354" i="55" a="1"/>
  <c r="H354" i="55"/>
  <c r="H137" i="55" a="1"/>
  <c r="H137" i="55"/>
  <c r="H252" i="55" a="1"/>
  <c r="H252" i="55"/>
  <c r="H259" i="55" a="1"/>
  <c r="H259" i="55"/>
  <c r="H77" i="55" a="1"/>
  <c r="H77" i="55"/>
  <c r="H96" i="55" a="1"/>
  <c r="H96" i="55"/>
  <c r="H49" i="55" a="1"/>
  <c r="H49" i="55"/>
  <c r="H159" i="55" a="1"/>
  <c r="H159" i="55"/>
  <c r="H154" i="55" a="1"/>
  <c r="H154" i="55"/>
  <c r="H366" i="55" a="1"/>
  <c r="H366" i="55"/>
  <c r="L366" i="55"/>
  <c r="H418" i="55" a="1"/>
  <c r="H418" i="55"/>
  <c r="L418" i="55"/>
  <c r="H412" i="55" a="1"/>
  <c r="H412" i="55"/>
  <c r="L412" i="55"/>
  <c r="H287" i="55" a="1"/>
  <c r="H287" i="55"/>
  <c r="L287" i="55"/>
  <c r="H392" i="55" a="1"/>
  <c r="H392" i="55"/>
  <c r="L392" i="55"/>
  <c r="H416" i="55" a="1"/>
  <c r="H416" i="55"/>
  <c r="L416" i="55"/>
  <c r="H85" i="55" a="1"/>
  <c r="H85" i="55"/>
  <c r="L85" i="55"/>
  <c r="H42" i="55" a="1"/>
  <c r="H42" i="55"/>
  <c r="L42" i="55"/>
  <c r="H449" i="55" a="1"/>
  <c r="H449" i="55"/>
  <c r="L449" i="55"/>
  <c r="E45" i="15" a="1"/>
  <c r="E45" i="15"/>
  <c r="I45" i="15"/>
  <c r="H22" i="55" a="1"/>
  <c r="H22" i="55"/>
  <c r="L22" i="55"/>
  <c r="H422" i="55" a="1"/>
  <c r="H422" i="55"/>
  <c r="L422" i="55"/>
  <c r="H78" i="55" a="1"/>
  <c r="H78" i="55"/>
  <c r="L78" i="55"/>
  <c r="H64" i="55" a="1"/>
  <c r="H64" i="55"/>
  <c r="H130" i="55" a="1"/>
  <c r="H130" i="55"/>
  <c r="H391" i="55" a="1"/>
  <c r="H391" i="55"/>
  <c r="H19" i="55" a="1"/>
  <c r="H19" i="55"/>
  <c r="L19" i="55"/>
  <c r="H166" i="55" a="1"/>
  <c r="H166" i="55"/>
  <c r="L166" i="55"/>
  <c r="H305" i="55" a="1"/>
  <c r="H305" i="55"/>
  <c r="L305" i="55"/>
  <c r="H343" i="55" a="1"/>
  <c r="H343" i="55"/>
  <c r="H73" i="55" a="1"/>
  <c r="H73" i="55"/>
  <c r="L73" i="55"/>
  <c r="H170" i="55" a="1"/>
  <c r="H170" i="55"/>
  <c r="H204" i="55" a="1"/>
  <c r="H204" i="55"/>
  <c r="H45" i="55" a="1"/>
  <c r="H45" i="55"/>
  <c r="H339" i="55" a="1"/>
  <c r="H339" i="55"/>
  <c r="H344" i="55" a="1"/>
  <c r="H344" i="55"/>
  <c r="L344" i="55"/>
  <c r="H156" i="55" a="1"/>
  <c r="H156" i="55"/>
  <c r="H376" i="55" a="1"/>
  <c r="H376" i="55"/>
  <c r="L376" i="55"/>
  <c r="H121" i="55" a="1"/>
  <c r="H121" i="55"/>
  <c r="L121" i="55"/>
  <c r="H398" i="55" a="1"/>
  <c r="H398" i="55"/>
  <c r="L398" i="55"/>
  <c r="H280" i="55" a="1"/>
  <c r="H280" i="55"/>
  <c r="L280" i="55"/>
  <c r="H234" i="55" a="1"/>
  <c r="H234" i="55"/>
  <c r="L234" i="55"/>
  <c r="H230" i="55" a="1"/>
  <c r="H230" i="55"/>
  <c r="L230" i="55"/>
  <c r="H367" i="55" a="1"/>
  <c r="H367" i="55"/>
  <c r="H123" i="55" a="1"/>
  <c r="H123" i="55"/>
  <c r="H41" i="55" a="1"/>
  <c r="H41" i="55"/>
  <c r="L41" i="55"/>
  <c r="H133" i="55" a="1"/>
  <c r="H133" i="55"/>
  <c r="L133" i="55"/>
  <c r="H388" i="55" a="1"/>
  <c r="H388" i="55"/>
  <c r="L388" i="55"/>
  <c r="H434" i="55" a="1"/>
  <c r="H434" i="55"/>
  <c r="L434" i="55"/>
  <c r="H389" i="55" a="1"/>
  <c r="H389" i="55"/>
  <c r="L389" i="55"/>
  <c r="H124" i="55" a="1"/>
  <c r="H124" i="55"/>
  <c r="L124" i="55"/>
  <c r="H351" i="55" a="1"/>
  <c r="H351" i="55"/>
  <c r="L351" i="55"/>
  <c r="H144" i="55" a="1"/>
  <c r="H144" i="55"/>
  <c r="L144" i="55"/>
  <c r="H273" i="55" a="1"/>
  <c r="H273" i="55"/>
  <c r="L273" i="55"/>
  <c r="H165" i="55" a="1"/>
  <c r="H165" i="55"/>
  <c r="L165" i="55"/>
  <c r="H272" i="55" a="1"/>
  <c r="H272" i="55"/>
  <c r="H246" i="55" a="1"/>
  <c r="H246" i="55"/>
  <c r="H228" i="55" a="1"/>
  <c r="H228" i="55"/>
  <c r="H256" i="55" a="1"/>
  <c r="H256" i="55"/>
  <c r="H89" i="55" a="1"/>
  <c r="H89" i="55"/>
  <c r="H95" i="55" a="1"/>
  <c r="H95" i="55"/>
  <c r="H103" i="55" a="1"/>
  <c r="H103" i="55"/>
  <c r="H221" i="55" a="1"/>
  <c r="H221" i="55"/>
  <c r="L221" i="55"/>
  <c r="H136" i="55" a="1"/>
  <c r="H136" i="55"/>
  <c r="L136" i="55"/>
  <c r="H396" i="55" a="1"/>
  <c r="H396" i="55"/>
  <c r="L396" i="55"/>
  <c r="H448" i="55" a="1"/>
  <c r="H448" i="55"/>
  <c r="L448" i="55"/>
  <c r="H304" i="55" a="1"/>
  <c r="H304" i="55"/>
  <c r="L304" i="55"/>
  <c r="H357" i="55" a="1"/>
  <c r="H357" i="55"/>
  <c r="L357" i="55"/>
  <c r="H360" i="55" a="1"/>
  <c r="H360" i="55"/>
  <c r="L360" i="55"/>
  <c r="H390" i="55" a="1"/>
  <c r="H390" i="55"/>
  <c r="L390" i="55"/>
  <c r="H306" i="55" a="1"/>
  <c r="H306" i="55"/>
  <c r="L306" i="55"/>
  <c r="H326" i="55" a="1"/>
  <c r="H326" i="55"/>
  <c r="L326" i="55"/>
  <c r="H399" i="55" a="1"/>
  <c r="H399" i="55"/>
  <c r="L399" i="55"/>
  <c r="H270" i="55" a="1"/>
  <c r="H270" i="55"/>
  <c r="L270" i="55"/>
  <c r="H127" i="55" a="1"/>
  <c r="H127" i="55"/>
  <c r="L127" i="55"/>
  <c r="H233" i="55" a="1"/>
  <c r="H233" i="55"/>
  <c r="L233" i="55"/>
  <c r="H350" i="55" a="1"/>
  <c r="H350" i="55"/>
  <c r="L350" i="55"/>
  <c r="H307" i="55" a="1"/>
  <c r="H307" i="55"/>
  <c r="L307" i="55"/>
  <c r="H407" i="55" a="1"/>
  <c r="H407" i="55"/>
  <c r="L407" i="55"/>
  <c r="H286" i="55" a="1"/>
  <c r="H286" i="55"/>
  <c r="L286" i="55"/>
  <c r="H97" i="55" a="1"/>
  <c r="H97" i="55"/>
  <c r="L97" i="55"/>
  <c r="H50" i="55" a="1"/>
  <c r="H50" i="55"/>
  <c r="L50" i="55"/>
  <c r="H199" i="55" a="1"/>
  <c r="H199" i="55"/>
  <c r="L199" i="55"/>
  <c r="H193" i="55" a="1"/>
  <c r="H193" i="55"/>
  <c r="L193" i="55"/>
  <c r="H131" i="55" a="1"/>
  <c r="H131" i="55"/>
  <c r="L131" i="55"/>
  <c r="H374" i="55" a="1"/>
  <c r="H374" i="55"/>
  <c r="L374" i="55"/>
  <c r="H60" i="55" a="1"/>
  <c r="H60" i="55"/>
  <c r="L60" i="55"/>
  <c r="H426" i="55" a="1"/>
  <c r="H426" i="55"/>
  <c r="L426" i="55"/>
  <c r="H122" i="55" a="1"/>
  <c r="H122" i="55"/>
  <c r="L122" i="55"/>
  <c r="H447" i="55" a="1"/>
  <c r="H447" i="55"/>
  <c r="L447" i="55"/>
  <c r="H284" i="55" a="1"/>
  <c r="H284" i="55"/>
  <c r="L284" i="55"/>
  <c r="H29" i="55" a="1"/>
  <c r="H29" i="55"/>
  <c r="H143" i="55" a="1"/>
  <c r="H143" i="55"/>
  <c r="L143" i="55"/>
  <c r="H56" i="55" a="1"/>
  <c r="H56" i="55"/>
  <c r="L56" i="55"/>
  <c r="H83" i="55" a="1"/>
  <c r="H83" i="55"/>
  <c r="L83" i="55"/>
  <c r="H421" i="55" a="1"/>
  <c r="H421" i="55"/>
  <c r="L421" i="55"/>
  <c r="H370" i="55" a="1"/>
  <c r="H370" i="55"/>
  <c r="L370" i="55"/>
  <c r="H216" i="55" a="1"/>
  <c r="H216" i="55"/>
  <c r="L216" i="55"/>
  <c r="E30" i="15" a="1"/>
  <c r="E30" i="15"/>
  <c r="E11" i="12" a="1"/>
  <c r="E11" i="12"/>
  <c r="E7" i="12" a="1"/>
  <c r="E7" i="12"/>
  <c r="E27" i="15" a="1"/>
  <c r="E27" i="15"/>
  <c r="F10" i="12" a="1"/>
  <c r="F10" i="12"/>
  <c r="H17" i="55" a="1"/>
  <c r="H17" i="55"/>
  <c r="L17" i="55"/>
  <c r="H87" i="55" a="1"/>
  <c r="H87" i="55"/>
  <c r="L87" i="55"/>
  <c r="E42" i="15" a="1"/>
  <c r="E42" i="15"/>
  <c r="H432" i="55" a="1"/>
  <c r="H432" i="55"/>
  <c r="L432" i="55"/>
  <c r="H114" i="55" a="1"/>
  <c r="H114" i="55"/>
  <c r="E17" i="15" a="1"/>
  <c r="E17" i="15"/>
  <c r="F8" i="12" a="1"/>
  <c r="F8" i="12"/>
  <c r="F21" i="15" a="1"/>
  <c r="F21" i="15"/>
  <c r="E20" i="70" a="1"/>
  <c r="E20" i="70"/>
  <c r="H470" i="55" a="1"/>
  <c r="H470" i="55"/>
  <c r="L470" i="55"/>
  <c r="H220" i="55" a="1"/>
  <c r="H220" i="55"/>
  <c r="L220" i="55"/>
  <c r="H456" i="55" a="1"/>
  <c r="H456" i="55"/>
  <c r="L456" i="55"/>
  <c r="H473" i="55" a="1"/>
  <c r="H473" i="55"/>
  <c r="L473" i="55"/>
  <c r="H243" i="55" a="1"/>
  <c r="H243" i="55"/>
  <c r="L243" i="55"/>
  <c r="H277" i="55" a="1"/>
  <c r="H277" i="55"/>
  <c r="L277" i="55"/>
  <c r="H440" i="55" a="1"/>
  <c r="H440" i="55"/>
  <c r="L440" i="55"/>
  <c r="H244" i="55" a="1"/>
  <c r="H244" i="55"/>
  <c r="L244" i="55"/>
  <c r="H239" i="55" a="1"/>
  <c r="H239" i="55"/>
  <c r="L239" i="55"/>
  <c r="H171" i="55" a="1"/>
  <c r="H171" i="55"/>
  <c r="L171" i="55"/>
  <c r="H401" i="55" a="1"/>
  <c r="H401" i="55"/>
  <c r="L401" i="55"/>
  <c r="H240" i="55" a="1"/>
  <c r="H240" i="55"/>
  <c r="L240" i="55"/>
  <c r="H454" i="55" a="1"/>
  <c r="H454" i="55"/>
  <c r="L454" i="55"/>
  <c r="H253" i="55" a="1"/>
  <c r="H253" i="55"/>
  <c r="L253" i="55"/>
  <c r="E9" i="12" a="1"/>
  <c r="E9" i="12"/>
  <c r="F20" i="70" a="1"/>
  <c r="F20" i="70"/>
  <c r="H437" i="55" a="1"/>
  <c r="H437" i="55"/>
  <c r="L437" i="55"/>
  <c r="H219" i="55" a="1"/>
  <c r="H219" i="55"/>
  <c r="L219" i="55"/>
  <c r="H439" i="55" a="1"/>
  <c r="H439" i="55"/>
  <c r="L439" i="55"/>
  <c r="H198" i="55" a="1"/>
  <c r="H198" i="55"/>
  <c r="L198" i="55"/>
  <c r="H466" i="55" a="1"/>
  <c r="H466" i="55"/>
  <c r="L466" i="55"/>
  <c r="H480" i="55" a="1"/>
  <c r="H480" i="55"/>
  <c r="L480" i="55"/>
  <c r="H300" i="55" a="1"/>
  <c r="H300" i="55"/>
  <c r="L300" i="55"/>
  <c r="H251" i="55" a="1"/>
  <c r="H251" i="55"/>
  <c r="L251" i="55"/>
  <c r="H238" i="55" a="1"/>
  <c r="H238" i="55"/>
  <c r="L238" i="55"/>
  <c r="E16" i="70" a="1"/>
  <c r="E16" i="70"/>
  <c r="E14" i="70" a="1"/>
  <c r="E14" i="70"/>
  <c r="H405" i="55" a="1"/>
  <c r="H405" i="55"/>
  <c r="L405" i="55"/>
  <c r="H93" i="55" a="1"/>
  <c r="H93" i="55"/>
  <c r="L93" i="55"/>
  <c r="H107" i="55" a="1"/>
  <c r="H107" i="55"/>
  <c r="L107" i="55"/>
  <c r="H279" i="55" a="1"/>
  <c r="H279" i="55"/>
  <c r="L279" i="55"/>
  <c r="H55" i="55" a="1"/>
  <c r="H55" i="55"/>
  <c r="H358" i="55" a="1"/>
  <c r="H358" i="55"/>
  <c r="L358" i="55"/>
  <c r="H413" i="55" a="1"/>
  <c r="H413" i="55"/>
  <c r="L413" i="55"/>
  <c r="H323" i="55" a="1"/>
  <c r="H323" i="55"/>
  <c r="L323" i="55"/>
  <c r="H11" i="55" a="1"/>
  <c r="H11" i="55"/>
  <c r="L11" i="55"/>
  <c r="H12" i="55" a="1"/>
  <c r="H12" i="55"/>
  <c r="L12" i="55"/>
  <c r="H222" i="55" a="1"/>
  <c r="H222" i="55"/>
  <c r="L222" i="55"/>
  <c r="H102" i="55" a="1"/>
  <c r="H102" i="55"/>
  <c r="E43" i="15" a="1"/>
  <c r="E43" i="15"/>
  <c r="E49" i="15" a="1"/>
  <c r="E49" i="15"/>
  <c r="H195" i="55" a="1"/>
  <c r="H195" i="55"/>
  <c r="L195" i="55"/>
  <c r="H262" i="55" a="1"/>
  <c r="H262" i="55"/>
  <c r="L262" i="55"/>
  <c r="H172" i="55" a="1"/>
  <c r="H172" i="55"/>
  <c r="L172" i="55"/>
  <c r="H38" i="55" a="1"/>
  <c r="H38" i="55"/>
  <c r="F27" i="15" a="1"/>
  <c r="F27" i="15"/>
  <c r="E10" i="12" a="1"/>
  <c r="E10" i="12"/>
  <c r="H117" i="55" a="1"/>
  <c r="H117" i="55"/>
  <c r="F11" i="12" a="1"/>
  <c r="F11" i="12"/>
  <c r="H11" i="12"/>
  <c r="H267" i="55" a="1"/>
  <c r="H267" i="55"/>
  <c r="L267" i="55"/>
  <c r="H43" i="55" a="1"/>
  <c r="H43" i="55"/>
  <c r="H52" i="55" a="1"/>
  <c r="H52" i="55"/>
  <c r="L52" i="55"/>
  <c r="E21" i="15" a="1"/>
  <c r="E21" i="15"/>
  <c r="F12" i="70" a="1"/>
  <c r="F12" i="70"/>
  <c r="H365" i="55" a="1"/>
  <c r="H365" i="55"/>
  <c r="L365" i="55"/>
  <c r="H288" i="55" a="1"/>
  <c r="H288" i="55"/>
  <c r="L288" i="55"/>
  <c r="H310" i="55" a="1"/>
  <c r="H310" i="55"/>
  <c r="L310" i="55"/>
  <c r="H445" i="55" a="1"/>
  <c r="H445" i="55"/>
  <c r="L445" i="55"/>
  <c r="H274" i="55" a="1"/>
  <c r="H274" i="55"/>
  <c r="L274" i="55"/>
  <c r="H406" i="55" a="1"/>
  <c r="H406" i="55"/>
  <c r="L406" i="55"/>
  <c r="H260" i="55" a="1"/>
  <c r="H260" i="55"/>
  <c r="L260" i="55"/>
  <c r="H465" i="55" a="1"/>
  <c r="H465" i="55"/>
  <c r="L465" i="55"/>
  <c r="F18" i="15" a="1"/>
  <c r="F18" i="15"/>
  <c r="H402" i="55" a="1"/>
  <c r="H402" i="55"/>
  <c r="L402" i="55"/>
  <c r="H312" i="55" a="1"/>
  <c r="H312" i="55"/>
  <c r="L312" i="55"/>
  <c r="H208" i="55" a="1"/>
  <c r="H208" i="55"/>
  <c r="L208" i="55"/>
  <c r="H176" i="55" a="1"/>
  <c r="H176" i="55"/>
  <c r="L176" i="55"/>
  <c r="H327" i="55" a="1"/>
  <c r="H327" i="55"/>
  <c r="L327" i="55"/>
  <c r="H455" i="55" a="1"/>
  <c r="H455" i="55"/>
  <c r="L455" i="55"/>
  <c r="H458" i="55" a="1"/>
  <c r="H458" i="55"/>
  <c r="L458" i="55"/>
  <c r="H296" i="55" a="1"/>
  <c r="H296" i="55"/>
  <c r="L296" i="55"/>
  <c r="H317" i="55" a="1"/>
  <c r="H317" i="55"/>
  <c r="L317" i="55"/>
  <c r="H225" i="55" a="1"/>
  <c r="H225" i="55"/>
  <c r="L225" i="55"/>
  <c r="H302" i="55" a="1"/>
  <c r="H302" i="55"/>
  <c r="L302" i="55"/>
  <c r="H192" i="55" a="1"/>
  <c r="H192" i="55"/>
  <c r="L192" i="55"/>
  <c r="H289" i="55" a="1"/>
  <c r="H289" i="55"/>
  <c r="L289" i="55"/>
  <c r="H70" i="55" a="1"/>
  <c r="H70" i="55"/>
  <c r="E12" i="12" a="1"/>
  <c r="E12" i="12"/>
  <c r="E33" i="15" a="1"/>
  <c r="E33" i="15"/>
  <c r="F11" i="70" a="1"/>
  <c r="F11" i="70"/>
  <c r="H373" i="55" a="1"/>
  <c r="H373" i="55"/>
  <c r="L373" i="55"/>
  <c r="H372" i="55" a="1"/>
  <c r="H372" i="55"/>
  <c r="L372" i="55"/>
  <c r="H359" i="55" a="1"/>
  <c r="H359" i="55"/>
  <c r="L359" i="55"/>
  <c r="H342" i="55" a="1"/>
  <c r="H342" i="55"/>
  <c r="L342" i="55"/>
  <c r="H427" i="55" a="1"/>
  <c r="H427" i="55"/>
  <c r="H424" i="55" a="1"/>
  <c r="H424" i="55"/>
  <c r="L424" i="55"/>
  <c r="H126" i="55" a="1"/>
  <c r="H126" i="55"/>
  <c r="H356" i="55" a="1"/>
  <c r="H356" i="55"/>
  <c r="L356" i="55"/>
  <c r="H269" i="55" a="1"/>
  <c r="H269" i="55"/>
  <c r="L269" i="55"/>
  <c r="H292" i="55" a="1"/>
  <c r="H292" i="55"/>
  <c r="L292" i="55"/>
  <c r="H163" i="55" a="1"/>
  <c r="H163" i="55"/>
  <c r="L163" i="55"/>
  <c r="H364" i="55" a="1"/>
  <c r="H364" i="55"/>
  <c r="L364" i="55"/>
  <c r="H397" i="55" a="1"/>
  <c r="H397" i="55"/>
  <c r="L397" i="55"/>
  <c r="E14" i="12" a="1"/>
  <c r="E14" i="12"/>
  <c r="E12" i="15" a="1"/>
  <c r="E12" i="15"/>
  <c r="F14" i="15" a="1"/>
  <c r="F14" i="15"/>
  <c r="E8" i="70" a="1"/>
  <c r="E8" i="70"/>
  <c r="E9" i="70" a="1"/>
  <c r="E9" i="70"/>
  <c r="F28" i="15" a="1"/>
  <c r="F28" i="15"/>
  <c r="F10" i="70" a="1"/>
  <c r="F10" i="70"/>
  <c r="H194" i="55" a="1"/>
  <c r="H194" i="55"/>
  <c r="F12" i="12" a="1"/>
  <c r="F12" i="12"/>
  <c r="H47" i="55" a="1"/>
  <c r="H47" i="55"/>
  <c r="L47" i="55"/>
  <c r="H92" i="55" a="1"/>
  <c r="H92" i="55"/>
  <c r="L92" i="55"/>
  <c r="H224" i="55" a="1"/>
  <c r="H224" i="55"/>
  <c r="L224" i="55"/>
  <c r="H81" i="55" a="1"/>
  <c r="H81" i="55"/>
  <c r="L81" i="55"/>
  <c r="E19" i="15" a="1"/>
  <c r="E19" i="15"/>
  <c r="H242" i="55" a="1"/>
  <c r="H242" i="55"/>
  <c r="L242" i="55"/>
  <c r="F15" i="70" a="1"/>
  <c r="F15" i="70"/>
  <c r="H188" i="55" a="1"/>
  <c r="H188" i="55"/>
  <c r="L188" i="55"/>
  <c r="H410" i="55" a="1"/>
  <c r="H410" i="55"/>
  <c r="L410" i="55"/>
  <c r="H313" i="55" a="1"/>
  <c r="H313" i="55"/>
  <c r="L313" i="55"/>
  <c r="H316" i="55" a="1"/>
  <c r="H316" i="55"/>
  <c r="L316" i="55"/>
  <c r="H468" i="55" a="1"/>
  <c r="H468" i="55"/>
  <c r="L468" i="55"/>
  <c r="H290" i="55" a="1"/>
  <c r="H290" i="55"/>
  <c r="L290" i="55"/>
  <c r="E25" i="15" a="1"/>
  <c r="E25" i="15"/>
  <c r="E26" i="15"/>
  <c r="J16" i="55" a="1"/>
  <c r="J16" i="55"/>
  <c r="H325" i="55" a="1"/>
  <c r="H325" i="55"/>
  <c r="L325" i="55"/>
  <c r="H438" i="55" a="1"/>
  <c r="H438" i="55"/>
  <c r="L438" i="55"/>
  <c r="H281" i="55" a="1"/>
  <c r="H281" i="55"/>
  <c r="L281" i="55"/>
  <c r="H324" i="55" a="1"/>
  <c r="H324" i="55"/>
  <c r="L324" i="55"/>
  <c r="H467" i="55" a="1"/>
  <c r="H467" i="55"/>
  <c r="L467" i="55"/>
  <c r="H250" i="55" a="1"/>
  <c r="H250" i="55"/>
  <c r="L250" i="55"/>
  <c r="F29" i="15" a="1"/>
  <c r="F29" i="15"/>
  <c r="F38" i="15" a="1"/>
  <c r="F38" i="15"/>
  <c r="E40" i="15" a="1"/>
  <c r="E40" i="15"/>
  <c r="F35" i="15" a="1"/>
  <c r="F35" i="15"/>
  <c r="H328" i="55" a="1"/>
  <c r="H328" i="55"/>
  <c r="L328" i="55"/>
  <c r="F6" i="12" a="1"/>
  <c r="F6" i="12"/>
  <c r="F16" i="70" a="1"/>
  <c r="F16" i="70"/>
  <c r="H16" i="70"/>
  <c r="H479" i="55" a="1"/>
  <c r="H479" i="55"/>
  <c r="L479" i="55"/>
  <c r="E10" i="70" a="1"/>
  <c r="E10" i="70"/>
  <c r="F10" i="15" a="1"/>
  <c r="F10" i="15"/>
  <c r="E29" i="15" a="1"/>
  <c r="E29" i="15"/>
  <c r="H99" i="55" a="1"/>
  <c r="H99" i="55"/>
  <c r="L99" i="55"/>
  <c r="H63" i="55" a="1"/>
  <c r="H63" i="55"/>
  <c r="L63" i="55"/>
  <c r="H118" i="55" a="1"/>
  <c r="H118" i="55"/>
  <c r="L118" i="55"/>
  <c r="H180" i="55" a="1"/>
  <c r="H180" i="55"/>
  <c r="L180" i="55"/>
  <c r="H120" i="55" a="1"/>
  <c r="H120" i="55"/>
  <c r="H44" i="55" a="1"/>
  <c r="H44" i="55"/>
  <c r="L44" i="55"/>
  <c r="H337" i="55" a="1"/>
  <c r="H337" i="55"/>
  <c r="L337" i="55"/>
  <c r="H395" i="55" a="1"/>
  <c r="H395" i="55"/>
  <c r="L395" i="55"/>
  <c r="H446" i="55" a="1"/>
  <c r="H446" i="55"/>
  <c r="L446" i="55"/>
  <c r="H178" i="55" a="1"/>
  <c r="H178" i="55"/>
  <c r="L178" i="55"/>
  <c r="H226" i="55" a="1"/>
  <c r="H226" i="55"/>
  <c r="L226" i="55"/>
  <c r="H334" i="55" a="1"/>
  <c r="H334" i="55"/>
  <c r="L334" i="55"/>
  <c r="H106" i="55" a="1"/>
  <c r="H106" i="55"/>
  <c r="E12" i="70" a="1"/>
  <c r="E12" i="70"/>
  <c r="H368" i="55" a="1"/>
  <c r="H368" i="55"/>
  <c r="L368" i="55"/>
  <c r="H66" i="55" a="1"/>
  <c r="H66" i="55"/>
  <c r="L66" i="55"/>
  <c r="H453" i="55" a="1"/>
  <c r="H453" i="55"/>
  <c r="L453" i="55"/>
  <c r="H71" i="55" a="1"/>
  <c r="H71" i="55"/>
  <c r="L71" i="55"/>
  <c r="F9" i="70" a="1"/>
  <c r="F9" i="70"/>
  <c r="E8" i="12" a="1"/>
  <c r="E8" i="12"/>
  <c r="H146" i="55" a="1"/>
  <c r="H146" i="55"/>
  <c r="H303" i="55" a="1"/>
  <c r="H303" i="55"/>
  <c r="L303" i="55"/>
  <c r="H112" i="55" a="1"/>
  <c r="H112" i="55"/>
  <c r="L112" i="55"/>
  <c r="E13" i="12" a="1"/>
  <c r="E13" i="12"/>
  <c r="H125" i="55" a="1"/>
  <c r="H125" i="55"/>
  <c r="E11" i="70" a="1"/>
  <c r="E11" i="70"/>
  <c r="E14" i="15" a="1"/>
  <c r="E14" i="15"/>
  <c r="F8" i="70" a="1"/>
  <c r="F8" i="70"/>
  <c r="E23" i="15" a="1"/>
  <c r="E23" i="15"/>
  <c r="E17" i="70" a="1"/>
  <c r="E17" i="70"/>
  <c r="G17" i="70"/>
  <c r="H258" i="55" a="1"/>
  <c r="H258" i="55"/>
  <c r="L258" i="55"/>
  <c r="H191" i="55" a="1"/>
  <c r="H191" i="55"/>
  <c r="L191" i="55"/>
  <c r="H217" i="55" a="1"/>
  <c r="H217" i="55"/>
  <c r="L217" i="55"/>
  <c r="H227" i="55" a="1"/>
  <c r="H227" i="55"/>
  <c r="L227" i="55"/>
  <c r="H197" i="55" a="1"/>
  <c r="H197" i="55"/>
  <c r="L197" i="55"/>
  <c r="H241" i="55" a="1"/>
  <c r="H241" i="55"/>
  <c r="L241" i="55"/>
  <c r="H255" i="55" a="1"/>
  <c r="H255" i="55"/>
  <c r="L255" i="55"/>
  <c r="H187" i="55" a="1"/>
  <c r="H187" i="55"/>
  <c r="L187" i="55"/>
  <c r="H254" i="55" a="1"/>
  <c r="H254" i="55"/>
  <c r="L254" i="55"/>
  <c r="H231" i="55" a="1"/>
  <c r="H231" i="55"/>
  <c r="L231" i="55"/>
  <c r="H276" i="55" a="1"/>
  <c r="H276" i="55"/>
  <c r="L276" i="55"/>
  <c r="H232" i="55" a="1"/>
  <c r="H232" i="55"/>
  <c r="L232" i="55"/>
  <c r="H457" i="55" a="1"/>
  <c r="H457" i="55"/>
  <c r="L457" i="55"/>
  <c r="H245" i="55" a="1"/>
  <c r="H245" i="55"/>
  <c r="L245" i="55"/>
  <c r="H404" i="55" a="1"/>
  <c r="H404" i="55"/>
  <c r="L404" i="55"/>
  <c r="H301" i="55" a="1"/>
  <c r="H301" i="55"/>
  <c r="L301" i="55"/>
  <c r="H173" i="55" a="1"/>
  <c r="H173" i="55"/>
  <c r="L173" i="55"/>
  <c r="H202" i="55" a="1"/>
  <c r="H202" i="55"/>
  <c r="L202" i="55"/>
  <c r="H201" i="55" a="1"/>
  <c r="H201" i="55"/>
  <c r="L201" i="55"/>
  <c r="F37" i="15" a="1"/>
  <c r="F37" i="15"/>
  <c r="H142" i="55" a="1"/>
  <c r="H142" i="55"/>
  <c r="L142" i="55"/>
  <c r="E22" i="15" a="1"/>
  <c r="E22" i="15"/>
  <c r="F19" i="15" a="1"/>
  <c r="F19" i="15"/>
  <c r="H478" i="55" a="1"/>
  <c r="H478" i="55"/>
  <c r="L478" i="55"/>
  <c r="F19" i="70" a="1"/>
  <c r="F19" i="70"/>
  <c r="E10" i="15" a="1"/>
  <c r="E10" i="15"/>
  <c r="H460" i="55" a="1"/>
  <c r="H460" i="55"/>
  <c r="L460" i="55"/>
  <c r="H203" i="55" a="1"/>
  <c r="H203" i="55"/>
  <c r="L203" i="55"/>
  <c r="F14" i="70" a="1"/>
  <c r="F14" i="70"/>
  <c r="H14" i="70"/>
  <c r="H436" i="55" a="1"/>
  <c r="H436" i="55"/>
  <c r="L436" i="55"/>
  <c r="H168" i="55" a="1"/>
  <c r="H168" i="55"/>
  <c r="L168" i="55"/>
  <c r="H463" i="55" a="1"/>
  <c r="H463" i="55"/>
  <c r="L463" i="55"/>
  <c r="F13" i="70" a="1"/>
  <c r="F13" i="70"/>
  <c r="E28" i="15" a="1"/>
  <c r="E28" i="15"/>
  <c r="G28" i="15"/>
  <c r="F15" i="15" a="1"/>
  <c r="F15" i="15"/>
  <c r="H104" i="55" a="1"/>
  <c r="H104" i="55"/>
  <c r="H84" i="55" a="1"/>
  <c r="H84" i="55"/>
  <c r="L84" i="55"/>
  <c r="H353" i="55" a="1"/>
  <c r="H353" i="55"/>
  <c r="F9" i="12" a="1"/>
  <c r="F9" i="12"/>
  <c r="H9" i="12"/>
  <c r="F12" i="15" a="1"/>
  <c r="F12" i="15"/>
  <c r="F7" i="12" a="1"/>
  <c r="F7" i="12"/>
  <c r="H472" i="55" a="1"/>
  <c r="H472" i="55"/>
  <c r="L472" i="55"/>
  <c r="H213" i="55" a="1"/>
  <c r="H213" i="55"/>
  <c r="L213" i="55"/>
  <c r="H263" i="55" a="1"/>
  <c r="H263" i="55"/>
  <c r="L263" i="55"/>
  <c r="H441" i="55" a="1"/>
  <c r="H441" i="55"/>
  <c r="L441" i="55"/>
  <c r="E6" i="70" a="1"/>
  <c r="E6" i="70"/>
  <c r="H181" i="55" a="1"/>
  <c r="H181" i="55"/>
  <c r="L181" i="55"/>
  <c r="E18" i="15" a="1"/>
  <c r="E18" i="15"/>
  <c r="E35" i="15" a="1"/>
  <c r="E35" i="15"/>
  <c r="E15" i="70" a="1"/>
  <c r="E15" i="70"/>
  <c r="G15" i="70"/>
  <c r="H476" i="55" a="1"/>
  <c r="H476" i="55"/>
  <c r="L476" i="55"/>
  <c r="H291" i="55" a="1"/>
  <c r="H291" i="55"/>
  <c r="L291" i="55"/>
  <c r="H10" i="55" a="1"/>
  <c r="H10" i="55"/>
  <c r="F23" i="15" a="1"/>
  <c r="F23" i="15"/>
  <c r="E7" i="70" a="1"/>
  <c r="E7" i="70"/>
  <c r="G7" i="70"/>
  <c r="H62" i="55" a="1"/>
  <c r="H62" i="55"/>
  <c r="L62" i="55"/>
  <c r="H139" i="55" a="1"/>
  <c r="H139" i="55"/>
  <c r="E15" i="15" a="1"/>
  <c r="E15" i="15"/>
  <c r="F30" i="15" a="1"/>
  <c r="F30" i="15"/>
  <c r="F22" i="15" a="1"/>
  <c r="F22" i="15"/>
  <c r="H477" i="55" a="1"/>
  <c r="H477" i="55"/>
  <c r="L477" i="55"/>
  <c r="H400" i="55" a="1"/>
  <c r="H400" i="55"/>
  <c r="L400" i="55"/>
  <c r="H249" i="55" a="1"/>
  <c r="H249" i="55"/>
  <c r="L249" i="55"/>
  <c r="H237" i="55" a="1"/>
  <c r="H237" i="55"/>
  <c r="L237" i="55"/>
  <c r="H16" i="55" a="1"/>
  <c r="H16" i="55"/>
  <c r="H205" i="55" a="1"/>
  <c r="H205" i="55"/>
  <c r="L205" i="55"/>
  <c r="H285" i="55" a="1"/>
  <c r="H285" i="55"/>
  <c r="L285" i="55"/>
  <c r="H474" i="55" a="1"/>
  <c r="H474" i="55"/>
  <c r="L474" i="55"/>
  <c r="E6" i="12" a="1"/>
  <c r="E6" i="12"/>
  <c r="E38" i="15" a="1"/>
  <c r="E38" i="15"/>
  <c r="H462" i="55" a="1"/>
  <c r="H462" i="55"/>
  <c r="L462" i="55"/>
  <c r="H185" i="55" a="1"/>
  <c r="H185" i="55"/>
  <c r="L185" i="55"/>
  <c r="H430" i="55" a="1"/>
  <c r="H430" i="55"/>
  <c r="H138" i="55" a="1"/>
  <c r="H138" i="55"/>
  <c r="L138" i="55"/>
  <c r="E50" i="15" a="1"/>
  <c r="E50" i="15"/>
  <c r="I50" i="15"/>
  <c r="H37" i="55" a="1"/>
  <c r="H37" i="55"/>
  <c r="L37" i="55"/>
  <c r="H155" i="55" a="1"/>
  <c r="H155" i="55"/>
  <c r="H409" i="55" a="1"/>
  <c r="H409" i="55"/>
  <c r="L409" i="55"/>
  <c r="F17" i="15" a="1"/>
  <c r="F17" i="15"/>
  <c r="H17" i="15"/>
  <c r="F33" i="15" a="1"/>
  <c r="F33" i="15"/>
  <c r="H464" i="55" a="1"/>
  <c r="H464" i="55"/>
  <c r="L464" i="55"/>
  <c r="H264" i="55" a="1"/>
  <c r="H264" i="55"/>
  <c r="L264" i="55"/>
  <c r="H20" i="55" a="1"/>
  <c r="H20" i="55"/>
  <c r="H218" i="55" a="1"/>
  <c r="H218" i="55"/>
  <c r="L218" i="55"/>
  <c r="H184" i="55" a="1"/>
  <c r="H184" i="55"/>
  <c r="L184" i="55"/>
  <c r="H475" i="55" a="1"/>
  <c r="H475" i="55"/>
  <c r="L475" i="55"/>
  <c r="F25" i="15" a="1"/>
  <c r="F25" i="15"/>
  <c r="F26" i="15"/>
  <c r="H271" i="55" a="1"/>
  <c r="H271" i="55"/>
  <c r="L271" i="55"/>
  <c r="F18" i="70" a="1"/>
  <c r="F18" i="70"/>
  <c r="E37" i="15" a="1"/>
  <c r="E37" i="15"/>
  <c r="H214" i="55" a="1"/>
  <c r="H214" i="55"/>
  <c r="L214" i="55"/>
  <c r="H200" i="55" a="1"/>
  <c r="H200" i="55"/>
  <c r="L200" i="55"/>
  <c r="H294" i="55" a="1"/>
  <c r="H294" i="55"/>
  <c r="L294" i="55"/>
  <c r="E18" i="70" a="1"/>
  <c r="E18" i="70"/>
  <c r="H247" i="55" a="1"/>
  <c r="H247" i="55"/>
  <c r="L247" i="55"/>
  <c r="F13" i="12" a="1"/>
  <c r="F13" i="12"/>
  <c r="H32" i="55" a="1"/>
  <c r="H32" i="55"/>
  <c r="L32" i="55"/>
  <c r="H28" i="55" a="1"/>
  <c r="H28" i="55"/>
  <c r="L28" i="55"/>
  <c r="H384" i="55" a="1"/>
  <c r="H384" i="55"/>
  <c r="H7" i="12"/>
  <c r="G11" i="70"/>
  <c r="G12" i="70"/>
  <c r="H12" i="12"/>
  <c r="H13" i="12"/>
  <c r="G14" i="12"/>
  <c r="G8" i="12"/>
  <c r="G10" i="70"/>
  <c r="G10" i="12"/>
  <c r="G21" i="15"/>
  <c r="H23" i="15"/>
  <c r="H20" i="70"/>
  <c r="H37" i="15"/>
  <c r="J155" i="55" a="1"/>
  <c r="J155" i="55"/>
  <c r="L155" i="55"/>
  <c r="G8" i="70"/>
  <c r="J29" i="55" a="1"/>
  <c r="J29" i="55"/>
  <c r="J170" i="55" a="1"/>
  <c r="J170" i="55"/>
  <c r="L170" i="55"/>
  <c r="H18" i="70"/>
  <c r="H9" i="70"/>
  <c r="L29" i="55"/>
  <c r="J20" i="55" a="1"/>
  <c r="J20" i="55"/>
  <c r="L20" i="55"/>
  <c r="E39" i="15"/>
  <c r="G38" i="15"/>
  <c r="G15" i="15"/>
  <c r="E16" i="15"/>
  <c r="G35" i="15"/>
  <c r="E36" i="15"/>
  <c r="H15" i="15"/>
  <c r="H16" i="15"/>
  <c r="F16" i="15"/>
  <c r="E24" i="15"/>
  <c r="G14" i="15"/>
  <c r="F11" i="15"/>
  <c r="H10" i="15"/>
  <c r="H11" i="15"/>
  <c r="H6" i="12"/>
  <c r="F16" i="12"/>
  <c r="I40" i="15"/>
  <c r="E41" i="15"/>
  <c r="I41" i="15"/>
  <c r="H28" i="15"/>
  <c r="E13" i="15"/>
  <c r="G12" i="15"/>
  <c r="G13" i="15"/>
  <c r="G33" i="15"/>
  <c r="E34" i="15"/>
  <c r="G11" i="12"/>
  <c r="H7" i="70"/>
  <c r="J411" i="55" a="1"/>
  <c r="J411" i="55"/>
  <c r="J164" i="55" a="1"/>
  <c r="J164" i="55"/>
  <c r="L164" i="55"/>
  <c r="J55" i="55" a="1"/>
  <c r="J55" i="55"/>
  <c r="J367" i="55" a="1"/>
  <c r="J367" i="55"/>
  <c r="L367" i="55"/>
  <c r="J27" i="55" a="1"/>
  <c r="J27" i="55"/>
  <c r="J384" i="55" a="1"/>
  <c r="J384" i="55"/>
  <c r="J352" i="55" a="1"/>
  <c r="J352" i="55"/>
  <c r="J387" i="55" a="1"/>
  <c r="J387" i="55"/>
  <c r="L387" i="55"/>
  <c r="J332" i="55" a="1"/>
  <c r="J332" i="55"/>
  <c r="J450" i="55" a="1"/>
  <c r="J450" i="55"/>
  <c r="J139" i="55" a="1"/>
  <c r="J139" i="55"/>
  <c r="F43" i="15" a="1"/>
  <c r="F43" i="15"/>
  <c r="I43" i="15"/>
  <c r="J141" i="55" a="1"/>
  <c r="J141" i="55"/>
  <c r="J132" i="55" a="1"/>
  <c r="J132" i="55"/>
  <c r="J429" i="55" a="1"/>
  <c r="J429" i="55"/>
  <c r="J272" i="55" a="1"/>
  <c r="J272" i="55"/>
  <c r="L272" i="55"/>
  <c r="J89" i="55" a="1"/>
  <c r="J89" i="55"/>
  <c r="L89" i="55"/>
  <c r="J130" i="55" a="1"/>
  <c r="J130" i="55"/>
  <c r="J36" i="55" a="1"/>
  <c r="J36" i="55"/>
  <c r="J58" i="55" a="1"/>
  <c r="J58" i="55"/>
  <c r="L58" i="55"/>
  <c r="J319" i="55" a="1"/>
  <c r="J319" i="55"/>
  <c r="J137" i="55" a="1"/>
  <c r="J137" i="55"/>
  <c r="L137" i="55"/>
  <c r="J96" i="55" a="1"/>
  <c r="J96" i="55"/>
  <c r="J24" i="55" a="1"/>
  <c r="J24" i="55"/>
  <c r="L24" i="55"/>
  <c r="J248" i="55" a="1"/>
  <c r="J248" i="55"/>
  <c r="L248" i="55"/>
  <c r="J128" i="55" a="1"/>
  <c r="J128" i="55"/>
  <c r="J38" i="55" a="1"/>
  <c r="J38" i="55"/>
  <c r="L38" i="55"/>
  <c r="J34" i="55" a="1"/>
  <c r="J34" i="55"/>
  <c r="L34" i="55"/>
  <c r="J167" i="55" a="1"/>
  <c r="J167" i="55"/>
  <c r="L167" i="55"/>
  <c r="J45" i="55" a="1"/>
  <c r="J45" i="55"/>
  <c r="J419" i="55" a="1"/>
  <c r="J419" i="55"/>
  <c r="J43" i="55" a="1"/>
  <c r="J43" i="55"/>
  <c r="L43" i="55"/>
  <c r="L384" i="55"/>
  <c r="H33" i="15"/>
  <c r="F34" i="15"/>
  <c r="H34" i="15"/>
  <c r="G6" i="12"/>
  <c r="E16" i="12"/>
  <c r="L139" i="55"/>
  <c r="F13" i="15"/>
  <c r="H12" i="15"/>
  <c r="H13" i="15"/>
  <c r="F24" i="15"/>
  <c r="F39" i="15"/>
  <c r="H38" i="15"/>
  <c r="H15" i="70"/>
  <c r="G9" i="70"/>
  <c r="L55" i="55"/>
  <c r="H21" i="15"/>
  <c r="H10" i="12"/>
  <c r="G30" i="15"/>
  <c r="G31" i="15"/>
  <c r="E31" i="15"/>
  <c r="E32" i="15"/>
  <c r="L96" i="55"/>
  <c r="L429" i="55"/>
  <c r="L132" i="55"/>
  <c r="L100" i="55"/>
  <c r="L332" i="55"/>
  <c r="L27" i="55"/>
  <c r="L352" i="55"/>
  <c r="J430" i="55" a="1"/>
  <c r="J430" i="55"/>
  <c r="J297" i="55" a="1"/>
  <c r="J297" i="55"/>
  <c r="J381" i="55" a="1"/>
  <c r="J381" i="55"/>
  <c r="L381" i="55"/>
  <c r="J311" i="55" a="1"/>
  <c r="J311" i="55"/>
  <c r="J115" i="55" a="1"/>
  <c r="J115" i="55"/>
  <c r="L115" i="55"/>
  <c r="F44" i="15" a="1"/>
  <c r="F44" i="15"/>
  <c r="I44" i="15"/>
  <c r="J169" i="55" a="1"/>
  <c r="J169" i="55"/>
  <c r="L169" i="55"/>
  <c r="J190" i="55" a="1"/>
  <c r="J190" i="55"/>
  <c r="L190" i="55"/>
  <c r="J120" i="55" a="1"/>
  <c r="J120" i="55"/>
  <c r="J98" i="55" a="1"/>
  <c r="J98" i="55"/>
  <c r="J125" i="55" a="1"/>
  <c r="J125" i="55"/>
  <c r="L125" i="55"/>
  <c r="J394" i="55" a="1"/>
  <c r="J394" i="55"/>
  <c r="L394" i="55"/>
  <c r="J119" i="55" a="1"/>
  <c r="J119" i="55"/>
  <c r="L119" i="55"/>
  <c r="J443" i="55" a="1"/>
  <c r="J443" i="55"/>
  <c r="L443" i="55"/>
  <c r="J61" i="55" a="1"/>
  <c r="J61" i="55"/>
  <c r="L61" i="55"/>
  <c r="J246" i="55" a="1"/>
  <c r="J246" i="55"/>
  <c r="L246" i="55"/>
  <c r="J95" i="55" a="1"/>
  <c r="J95" i="55"/>
  <c r="J391" i="55" a="1"/>
  <c r="J391" i="55"/>
  <c r="J435" i="55" a="1"/>
  <c r="J435" i="55"/>
  <c r="L435" i="55"/>
  <c r="J46" i="55" a="1"/>
  <c r="J46" i="55"/>
  <c r="L46" i="55"/>
  <c r="J126" i="55" a="1"/>
  <c r="J126" i="55"/>
  <c r="L126" i="55"/>
  <c r="J252" i="55" a="1"/>
  <c r="J252" i="55"/>
  <c r="L252" i="55"/>
  <c r="J49" i="55" a="1"/>
  <c r="J49" i="55"/>
  <c r="L49" i="55"/>
  <c r="J348" i="55" a="1"/>
  <c r="J348" i="55"/>
  <c r="L348" i="55"/>
  <c r="J146" i="55" a="1"/>
  <c r="J146" i="55"/>
  <c r="L146" i="55"/>
  <c r="J204" i="55" a="1"/>
  <c r="J204" i="55"/>
  <c r="J72" i="55" a="1"/>
  <c r="J72" i="55"/>
  <c r="L72" i="55"/>
  <c r="J268" i="55" a="1"/>
  <c r="J268" i="55"/>
  <c r="L268" i="55"/>
  <c r="J275" i="55" a="1"/>
  <c r="J275" i="55"/>
  <c r="J353" i="55" a="1"/>
  <c r="J353" i="55"/>
  <c r="J215" i="55" a="1"/>
  <c r="J215" i="55"/>
  <c r="L215" i="55"/>
  <c r="J145" i="55" a="1"/>
  <c r="J145" i="55"/>
  <c r="L145" i="55"/>
  <c r="L16" i="55"/>
  <c r="E20" i="15"/>
  <c r="G18" i="15"/>
  <c r="L149" i="55"/>
  <c r="H149" i="55"/>
  <c r="E11" i="15"/>
  <c r="E51" i="15"/>
  <c r="G10" i="15"/>
  <c r="G11" i="15"/>
  <c r="J15" i="55"/>
  <c r="H19" i="15"/>
  <c r="G23" i="15"/>
  <c r="L120" i="55"/>
  <c r="H29" i="15"/>
  <c r="G25" i="15"/>
  <c r="G26" i="15"/>
  <c r="H18" i="15"/>
  <c r="J149" i="55"/>
  <c r="F20" i="15"/>
  <c r="G14" i="70"/>
  <c r="H8" i="12"/>
  <c r="G27" i="15"/>
  <c r="L45" i="55"/>
  <c r="L391" i="55"/>
  <c r="L36" i="55"/>
  <c r="H17" i="70"/>
  <c r="L419" i="55"/>
  <c r="L297" i="55"/>
  <c r="L450" i="55"/>
  <c r="L141" i="55"/>
  <c r="L311" i="55"/>
  <c r="L411" i="55"/>
  <c r="L128" i="55"/>
  <c r="H14" i="12"/>
  <c r="J393" i="55" a="1"/>
  <c r="J393" i="55"/>
  <c r="L393" i="55"/>
  <c r="J80" i="55" a="1"/>
  <c r="J80" i="55"/>
  <c r="L80" i="55"/>
  <c r="J362" i="55" a="1"/>
  <c r="J362" i="55"/>
  <c r="L362" i="55"/>
  <c r="J196" i="55" a="1"/>
  <c r="J196" i="55"/>
  <c r="J355" i="55" a="1"/>
  <c r="J355" i="55"/>
  <c r="L355" i="55"/>
  <c r="J25" i="55" a="1"/>
  <c r="J25" i="55"/>
  <c r="J33" i="55" a="1"/>
  <c r="J33" i="55"/>
  <c r="J116" i="55" a="1"/>
  <c r="J116" i="55"/>
  <c r="L116" i="55"/>
  <c r="J278" i="55" a="1"/>
  <c r="J278" i="55"/>
  <c r="J459" i="55" a="1"/>
  <c r="J459" i="55"/>
  <c r="L459" i="55"/>
  <c r="F46" i="15" a="1"/>
  <c r="F46" i="15"/>
  <c r="I46" i="15"/>
  <c r="J67" i="55" a="1"/>
  <c r="J67" i="55"/>
  <c r="L67" i="55"/>
  <c r="J117" i="55" a="1"/>
  <c r="J117" i="55"/>
  <c r="L117" i="55"/>
  <c r="J321" i="55" a="1"/>
  <c r="J321" i="55"/>
  <c r="L321" i="55"/>
  <c r="J152" i="55" a="1"/>
  <c r="J152" i="55"/>
  <c r="F49" i="15" a="1"/>
  <c r="F49" i="15"/>
  <c r="I49" i="15"/>
  <c r="J228" i="55" a="1"/>
  <c r="J228" i="55"/>
  <c r="L228" i="55"/>
  <c r="J103" i="55" a="1"/>
  <c r="J103" i="55"/>
  <c r="L103" i="55"/>
  <c r="J102" i="55" a="1"/>
  <c r="J102" i="55"/>
  <c r="L102" i="55"/>
  <c r="J70" i="55" a="1"/>
  <c r="J70" i="55"/>
  <c r="L70" i="55"/>
  <c r="J106" i="55" a="1"/>
  <c r="J106" i="55"/>
  <c r="L106" i="55"/>
  <c r="J343" i="55" a="1"/>
  <c r="J343" i="55"/>
  <c r="L343" i="55"/>
  <c r="J259" i="55" a="1"/>
  <c r="J259" i="55"/>
  <c r="L259" i="55"/>
  <c r="J159" i="55" a="1"/>
  <c r="J159" i="55"/>
  <c r="L159" i="55"/>
  <c r="J335" i="55" a="1"/>
  <c r="J335" i="55"/>
  <c r="L335" i="55"/>
  <c r="F42" i="15" a="1"/>
  <c r="F42" i="15"/>
  <c r="I42" i="15"/>
  <c r="J31" i="55" a="1"/>
  <c r="J31" i="55"/>
  <c r="L31" i="55"/>
  <c r="J76" i="55" a="1"/>
  <c r="J76" i="55"/>
  <c r="L76" i="55"/>
  <c r="J235" i="55" a="1"/>
  <c r="J235" i="55"/>
  <c r="L235" i="55"/>
  <c r="J182" i="55" a="1"/>
  <c r="J182" i="55"/>
  <c r="L182" i="55"/>
  <c r="J371" i="55" a="1"/>
  <c r="J371" i="55"/>
  <c r="L371" i="55"/>
  <c r="J431" i="55" a="1"/>
  <c r="J431" i="55"/>
  <c r="L431" i="55"/>
  <c r="L430" i="55"/>
  <c r="H25" i="15"/>
  <c r="H26" i="15"/>
  <c r="J484" i="55"/>
  <c r="H22" i="15"/>
  <c r="G18" i="70"/>
  <c r="G37" i="15"/>
  <c r="F31" i="15"/>
  <c r="F32" i="15"/>
  <c r="H30" i="15"/>
  <c r="H31" i="15"/>
  <c r="H14" i="55"/>
  <c r="L353" i="55"/>
  <c r="G22" i="15"/>
  <c r="L484" i="55"/>
  <c r="H484" i="55"/>
  <c r="H8" i="70"/>
  <c r="G13" i="12"/>
  <c r="G29" i="15"/>
  <c r="G32" i="15"/>
  <c r="H35" i="15"/>
  <c r="F36" i="15"/>
  <c r="H36" i="15"/>
  <c r="G19" i="15"/>
  <c r="L15" i="55"/>
  <c r="H15" i="55"/>
  <c r="H10" i="70"/>
  <c r="H14" i="15"/>
  <c r="H11" i="70"/>
  <c r="G12" i="12"/>
  <c r="H12" i="70"/>
  <c r="H27" i="15"/>
  <c r="G16" i="70"/>
  <c r="G9" i="12"/>
  <c r="G20" i="70"/>
  <c r="G17" i="15"/>
  <c r="G7" i="12"/>
  <c r="L95" i="55"/>
  <c r="L204" i="55"/>
  <c r="L130" i="55"/>
  <c r="L152" i="55"/>
  <c r="L196" i="55"/>
  <c r="L278" i="55"/>
  <c r="L275" i="55"/>
  <c r="L98" i="55"/>
  <c r="L25" i="55"/>
  <c r="L319" i="55"/>
  <c r="L33" i="55"/>
  <c r="H150" i="55" a="1"/>
  <c r="H150" i="55"/>
  <c r="H236" i="55" a="1"/>
  <c r="H236" i="55"/>
  <c r="L236" i="55"/>
  <c r="H471" i="55" a="1"/>
  <c r="H471" i="55"/>
  <c r="L471" i="55"/>
  <c r="J10" i="55" a="1"/>
  <c r="J10" i="55"/>
  <c r="J14" i="55"/>
  <c r="H212" i="55" a="1"/>
  <c r="H212" i="55"/>
  <c r="L212" i="55"/>
  <c r="H403" i="55" a="1"/>
  <c r="H403" i="55"/>
  <c r="L403" i="55"/>
  <c r="J150" i="55" a="1"/>
  <c r="J150" i="55"/>
  <c r="H257" i="55" a="1"/>
  <c r="H257" i="55"/>
  <c r="L257" i="55"/>
  <c r="H295" i="55" a="1"/>
  <c r="H295" i="55"/>
  <c r="L295" i="55"/>
  <c r="F6" i="70" a="1"/>
  <c r="F6" i="70"/>
  <c r="G6" i="70"/>
  <c r="E19" i="70" a="1"/>
  <c r="E19" i="70"/>
  <c r="G19" i="70"/>
  <c r="H469" i="55" a="1"/>
  <c r="H469" i="55"/>
  <c r="L469" i="55"/>
  <c r="H315" i="55" a="1"/>
  <c r="H315" i="55"/>
  <c r="L315" i="55"/>
  <c r="H21" i="55" a="1"/>
  <c r="H21" i="55"/>
  <c r="L21" i="55"/>
  <c r="H314" i="55" a="1"/>
  <c r="H314" i="55"/>
  <c r="L314" i="55"/>
  <c r="E13" i="70" a="1"/>
  <c r="E13" i="70"/>
  <c r="G13" i="70"/>
  <c r="H329" i="55" a="1"/>
  <c r="H329" i="55"/>
  <c r="L329" i="55"/>
  <c r="J261" i="55" a="1"/>
  <c r="J261" i="55"/>
  <c r="L261" i="55"/>
  <c r="J68" i="55" a="1"/>
  <c r="J68" i="55"/>
  <c r="L68" i="55"/>
  <c r="J427" i="55" a="1"/>
  <c r="J427" i="55"/>
  <c r="L427" i="55"/>
  <c r="J156" i="55" a="1"/>
  <c r="J156" i="55"/>
  <c r="L156" i="55"/>
  <c r="J91" i="55" a="1"/>
  <c r="J91" i="55"/>
  <c r="L91" i="55"/>
  <c r="J160" i="55" a="1"/>
  <c r="J160" i="55"/>
  <c r="L160" i="55"/>
  <c r="J339" i="55" a="1"/>
  <c r="J339" i="55"/>
  <c r="L339" i="55"/>
  <c r="J338" i="55" a="1"/>
  <c r="J338" i="55"/>
  <c r="L338" i="55"/>
  <c r="J293" i="55" a="1"/>
  <c r="J293" i="55"/>
  <c r="L293" i="55"/>
  <c r="J433" i="55" a="1"/>
  <c r="J433" i="55"/>
  <c r="L433" i="55"/>
  <c r="J207" i="55" a="1"/>
  <c r="J207" i="55"/>
  <c r="L207" i="55"/>
  <c r="J26" i="55" a="1"/>
  <c r="J26" i="55"/>
  <c r="L26" i="55"/>
  <c r="J481" i="55" a="1"/>
  <c r="J481" i="55"/>
  <c r="L481" i="55"/>
  <c r="J349" i="55" a="1"/>
  <c r="J349" i="55"/>
  <c r="L349" i="55"/>
  <c r="J104" i="55" a="1"/>
  <c r="J104" i="55"/>
  <c r="L104" i="55"/>
  <c r="J375" i="55" a="1"/>
  <c r="J375" i="55"/>
  <c r="L375" i="55"/>
  <c r="J114" i="55" a="1"/>
  <c r="J114" i="55"/>
  <c r="L114" i="55"/>
  <c r="J256" i="55" a="1"/>
  <c r="J256" i="55"/>
  <c r="L256" i="55"/>
  <c r="J64" i="55" a="1"/>
  <c r="J64" i="55"/>
  <c r="L64" i="55"/>
  <c r="J135" i="55" a="1"/>
  <c r="J135" i="55"/>
  <c r="L135" i="55"/>
  <c r="J134" i="55" a="1"/>
  <c r="J134" i="55"/>
  <c r="L134" i="55"/>
  <c r="J206" i="55" a="1"/>
  <c r="J206" i="55"/>
  <c r="L206" i="55"/>
  <c r="J354" i="55" a="1"/>
  <c r="J354" i="55"/>
  <c r="L354" i="55"/>
  <c r="J77" i="55" a="1"/>
  <c r="J77" i="55"/>
  <c r="L77" i="55"/>
  <c r="J154" i="55" a="1"/>
  <c r="J154" i="55"/>
  <c r="L154" i="55"/>
  <c r="J379" i="55" a="1"/>
  <c r="J379" i="55"/>
  <c r="L379" i="55"/>
  <c r="J123" i="55" a="1"/>
  <c r="J123" i="55"/>
  <c r="L123" i="55"/>
  <c r="J194" i="55" a="1"/>
  <c r="J194" i="55"/>
  <c r="L194" i="55"/>
  <c r="J361" i="55" a="1"/>
  <c r="J361" i="55"/>
  <c r="L361" i="55"/>
  <c r="J129" i="55" a="1"/>
  <c r="J129" i="55"/>
  <c r="L129" i="55"/>
  <c r="J86" i="55" a="1"/>
  <c r="J86" i="55"/>
  <c r="L86" i="55"/>
  <c r="J209" i="55" a="1"/>
  <c r="J209" i="55"/>
  <c r="L209" i="55"/>
  <c r="J111" i="55" a="1"/>
  <c r="J111" i="55"/>
  <c r="L111" i="55"/>
  <c r="J346" i="55" a="1"/>
  <c r="J346" i="55"/>
  <c r="L346" i="55"/>
  <c r="F51" i="15"/>
  <c r="H32" i="15"/>
  <c r="H20" i="15"/>
  <c r="I15" i="55"/>
  <c r="J148" i="55"/>
  <c r="I149" i="55"/>
  <c r="G22" i="70"/>
  <c r="J483" i="55"/>
  <c r="I484" i="55"/>
  <c r="H19" i="70"/>
  <c r="G20" i="15"/>
  <c r="G16" i="12"/>
  <c r="F22" i="70"/>
  <c r="H6" i="70"/>
  <c r="E22" i="70"/>
  <c r="H13" i="70"/>
  <c r="H148" i="55"/>
  <c r="G149" i="55"/>
  <c r="H24" i="15"/>
  <c r="H16" i="12"/>
  <c r="J15" i="15"/>
  <c r="G16" i="15"/>
  <c r="H483" i="55"/>
  <c r="G484" i="55"/>
  <c r="L150" i="55"/>
  <c r="L483" i="55"/>
  <c r="K484" i="55"/>
  <c r="G15" i="55"/>
  <c r="L148" i="55"/>
  <c r="K149" i="55"/>
  <c r="G24" i="15"/>
  <c r="G36" i="15"/>
  <c r="G39" i="15"/>
  <c r="L10" i="55"/>
  <c r="L14" i="55"/>
  <c r="K15" i="55"/>
  <c r="H39" i="15"/>
  <c r="J38" i="15"/>
  <c r="G34" i="15"/>
  <c r="H51" i="15"/>
  <c r="G51" i="15"/>
  <c r="H22" i="70"/>
  <c r="H53" i="15"/>
</calcChain>
</file>

<file path=xl/sharedStrings.xml><?xml version="1.0" encoding="utf-8"?>
<sst xmlns="http://schemas.openxmlformats.org/spreadsheetml/2006/main" count="18492" uniqueCount="1387">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</sst>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indexed="12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53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4" fontId="32" fillId="0" borderId="16" xfId="77" applyNumberFormat="1" applyFont="1" applyBorder="1" applyAlignment="1">
      <alignment vertical="center" wrapText="1"/>
    </xf>
    <xf numFmtId="49" fontId="57" fillId="0" borderId="16" xfId="74" applyNumberFormat="1" applyFont="1" applyBorder="1" applyAlignment="1">
      <alignment horizontal="center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164" fontId="32" fillId="0" borderId="16" xfId="77" applyNumberFormat="1" applyFont="1" applyBorder="1" applyAlignment="1">
      <alignment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21" xfId="0" applyFont="1" applyBorder="1" applyAlignment="1">
      <alignment vertical="center"/>
    </xf>
    <xf numFmtId="0" fontId="33" fillId="0" borderId="16" xfId="0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64" fontId="33" fillId="0" borderId="16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68" fillId="0" borderId="0" xfId="0" applyFont="1" applyFill="1"/>
    <xf numFmtId="0" fontId="69" fillId="0" borderId="16" xfId="77" applyNumberFormat="1" applyFont="1" applyFill="1" applyBorder="1" applyAlignment="1">
      <alignment horizontal="center" vertical="center"/>
    </xf>
    <xf numFmtId="0" fontId="70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23" xfId="29" applyNumberFormat="1" applyFont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1" fillId="0" borderId="16" xfId="76" quotePrefix="1" applyNumberFormat="1" applyFont="1" applyFill="1" applyBorder="1" applyAlignment="1">
      <alignment horizontal="center" vertical="center"/>
    </xf>
    <xf numFmtId="164" fontId="33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43" fontId="33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71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1" fillId="0" borderId="16" xfId="77" applyNumberFormat="1" applyFont="1" applyFill="1" applyBorder="1" applyAlignment="1">
      <alignment horizontal="center" vertical="center"/>
    </xf>
    <xf numFmtId="14" fontId="71" fillId="0" borderId="16" xfId="76" applyNumberFormat="1" applyFont="1" applyFill="1" applyBorder="1" applyAlignment="1">
      <alignment horizontal="center" vertical="center"/>
    </xf>
    <xf numFmtId="14" fontId="71" fillId="0" borderId="16" xfId="54" applyNumberFormat="1" applyFont="1" applyFill="1" applyBorder="1" applyAlignment="1">
      <alignment horizontal="center" vertical="center"/>
    </xf>
    <xf numFmtId="164" fontId="71" fillId="0" borderId="16" xfId="54" quotePrefix="1" applyNumberFormat="1" applyFont="1" applyFill="1" applyBorder="1" applyAlignment="1">
      <alignment horizontal="left" vertical="center"/>
    </xf>
    <xf numFmtId="3" fontId="71" fillId="0" borderId="16" xfId="46" applyFont="1" applyBorder="1" applyAlignment="1">
      <alignment vertical="center"/>
    </xf>
    <xf numFmtId="164" fontId="71" fillId="0" borderId="16" xfId="29" applyNumberFormat="1" applyFont="1" applyFill="1" applyBorder="1" applyAlignment="1">
      <alignment horizontal="left" vertical="center"/>
    </xf>
    <xf numFmtId="164" fontId="71" fillId="0" borderId="16" xfId="29" quotePrefix="1" applyNumberFormat="1" applyFont="1" applyFill="1" applyBorder="1" applyAlignment="1">
      <alignment horizontal="left" vertical="center"/>
    </xf>
    <xf numFmtId="1" fontId="71" fillId="0" borderId="16" xfId="54" quotePrefix="1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43" fontId="33" fillId="0" borderId="21" xfId="29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3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5" fillId="0" borderId="16" xfId="29" applyNumberFormat="1" applyFont="1" applyBorder="1" applyAlignment="1">
      <alignment vertical="center"/>
    </xf>
    <xf numFmtId="164" fontId="75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6" fillId="0" borderId="19" xfId="98" applyFont="1" applyFill="1" applyBorder="1" applyAlignment="1">
      <alignment vertical="center"/>
    </xf>
    <xf numFmtId="164" fontId="76" fillId="29" borderId="19" xfId="29" applyNumberFormat="1" applyFont="1" applyFill="1" applyBorder="1" applyAlignment="1">
      <alignment horizontal="right" vertical="center"/>
    </xf>
    <xf numFmtId="164" fontId="76" fillId="0" borderId="19" xfId="29" applyNumberFormat="1" applyFont="1" applyBorder="1" applyAlignment="1">
      <alignment vertical="center"/>
    </xf>
    <xf numFmtId="164" fontId="76" fillId="0" borderId="19" xfId="29" applyNumberFormat="1" applyFont="1" applyFill="1" applyBorder="1" applyAlignment="1">
      <alignment vertical="center"/>
    </xf>
    <xf numFmtId="43" fontId="76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6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7" fillId="0" borderId="2" xfId="93" applyFont="1" applyBorder="1" applyAlignment="1">
      <alignment horizontal="center" vertical="center"/>
    </xf>
    <xf numFmtId="164" fontId="77" fillId="0" borderId="2" xfId="94" applyNumberFormat="1" applyFont="1" applyBorder="1" applyAlignment="1">
      <alignment horizontal="center" vertical="center"/>
    </xf>
    <xf numFmtId="0" fontId="78" fillId="0" borderId="0" xfId="93" applyFont="1" applyAlignment="1">
      <alignment vertical="center"/>
    </xf>
    <xf numFmtId="0" fontId="77" fillId="0" borderId="0" xfId="93" applyFont="1" applyAlignment="1">
      <alignment vertical="center"/>
    </xf>
    <xf numFmtId="0" fontId="77" fillId="0" borderId="16" xfId="93" applyFont="1" applyBorder="1" applyAlignment="1">
      <alignment horizontal="center" vertical="center"/>
    </xf>
    <xf numFmtId="0" fontId="77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7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9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4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A2" sqref="A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96"/>
      <c r="B1" s="396"/>
      <c r="C1" s="397"/>
      <c r="D1" s="397"/>
      <c r="E1" s="398"/>
      <c r="F1" s="398"/>
      <c r="G1" s="398"/>
      <c r="H1" s="398"/>
      <c r="I1" s="398"/>
      <c r="J1" s="398"/>
      <c r="K1" s="398"/>
      <c r="L1" s="398"/>
    </row>
    <row r="2" spans="1:12" ht="15">
      <c r="A2" s="396" t="str">
        <f>TH!A1</f>
        <v>Đơn vị: CÔNG TY TNHH SX TM KIM DUNG PHÁT</v>
      </c>
      <c r="B2" s="396"/>
      <c r="C2" s="397"/>
      <c r="D2" s="397"/>
      <c r="E2" s="398"/>
      <c r="F2" s="398"/>
      <c r="G2" s="398"/>
      <c r="H2" s="398"/>
      <c r="I2" s="398"/>
      <c r="J2" s="398"/>
      <c r="K2" s="398"/>
      <c r="L2" s="398"/>
    </row>
    <row r="3" spans="1:12" ht="15">
      <c r="A3" s="398" t="str">
        <f>TH!A2</f>
        <v>Địa chỉ: 1A227/1 Ấp 1, Phạm Văn Hai, Bình Chánh, TPHCM</v>
      </c>
      <c r="B3" s="396"/>
      <c r="C3" s="397"/>
      <c r="D3" s="397"/>
      <c r="E3" s="398"/>
      <c r="F3" s="398"/>
      <c r="G3" s="398"/>
      <c r="H3" s="398"/>
      <c r="I3" s="398"/>
      <c r="J3" s="398"/>
      <c r="K3" s="398"/>
      <c r="L3" s="398"/>
    </row>
    <row r="4" spans="1:12" ht="15">
      <c r="A4" s="398"/>
      <c r="B4" s="398"/>
      <c r="C4" s="397"/>
      <c r="D4" s="397"/>
      <c r="E4" s="398"/>
      <c r="F4" s="398"/>
      <c r="G4" s="398"/>
      <c r="H4" s="398"/>
      <c r="I4" s="398"/>
      <c r="J4" s="398"/>
      <c r="K4" s="398"/>
      <c r="L4" s="398"/>
    </row>
    <row r="5" spans="1:12" ht="36" customHeight="1">
      <c r="A5" s="399"/>
      <c r="B5" s="399"/>
      <c r="C5" s="400"/>
      <c r="D5" s="422" t="s">
        <v>337</v>
      </c>
      <c r="E5" s="399"/>
      <c r="F5" s="399"/>
      <c r="G5" s="399"/>
      <c r="H5" s="399"/>
      <c r="I5" s="398"/>
      <c r="J5" s="398"/>
      <c r="K5" s="398"/>
      <c r="L5" s="398"/>
    </row>
    <row r="6" spans="1:12" ht="15">
      <c r="A6" s="399"/>
      <c r="B6" s="399"/>
      <c r="C6" s="400"/>
      <c r="D6" s="401" t="s">
        <v>338</v>
      </c>
      <c r="E6" s="399"/>
      <c r="F6" s="399"/>
      <c r="G6" s="399"/>
      <c r="H6" s="399"/>
      <c r="I6" s="398"/>
      <c r="J6" s="398"/>
      <c r="K6" s="398"/>
      <c r="L6" s="398"/>
    </row>
    <row r="7" spans="1:12" ht="6.75" customHeight="1">
      <c r="A7" s="398"/>
      <c r="B7" s="398"/>
      <c r="C7" s="397"/>
      <c r="D7" s="397"/>
      <c r="E7" s="398"/>
      <c r="F7" s="398"/>
      <c r="G7" s="398"/>
      <c r="H7" s="398"/>
      <c r="I7" s="398"/>
      <c r="J7" s="398"/>
      <c r="K7" s="398"/>
      <c r="L7" s="398"/>
    </row>
    <row r="8" spans="1:12" ht="20.25" customHeight="1">
      <c r="A8" s="782" t="s">
        <v>1383</v>
      </c>
      <c r="B8" s="782" t="s">
        <v>335</v>
      </c>
      <c r="C8" s="778" t="s">
        <v>34</v>
      </c>
      <c r="D8" s="779"/>
      <c r="E8" s="778" t="s">
        <v>35</v>
      </c>
      <c r="F8" s="779"/>
      <c r="G8" s="778" t="s">
        <v>336</v>
      </c>
      <c r="H8" s="779"/>
      <c r="I8" s="398"/>
      <c r="J8" s="398"/>
      <c r="K8" s="398"/>
      <c r="L8" s="398"/>
    </row>
    <row r="9" spans="1:12" ht="20.25" customHeight="1">
      <c r="A9" s="783"/>
      <c r="B9" s="783"/>
      <c r="C9" s="402" t="s">
        <v>39</v>
      </c>
      <c r="D9" s="402" t="s">
        <v>40</v>
      </c>
      <c r="E9" s="402" t="s">
        <v>39</v>
      </c>
      <c r="F9" s="402" t="s">
        <v>40</v>
      </c>
      <c r="G9" s="402" t="s">
        <v>39</v>
      </c>
      <c r="H9" s="402" t="s">
        <v>40</v>
      </c>
      <c r="I9" s="398"/>
      <c r="J9" s="398"/>
      <c r="K9" s="398"/>
      <c r="L9" s="398"/>
    </row>
    <row r="10" spans="1:12" ht="20.25" customHeight="1">
      <c r="A10" s="403" t="s">
        <v>44</v>
      </c>
      <c r="B10" s="404" t="s">
        <v>45</v>
      </c>
      <c r="C10" s="405"/>
      <c r="D10" s="405"/>
      <c r="E10" s="405">
        <f t="array" ref="E10">SUM(IF(A10=KHN,TH))</f>
        <v>2719780204</v>
      </c>
      <c r="F10" s="405">
        <f t="array" ref="F10">SUM(IF(A10=KHC,TH))</f>
        <v>1108360582</v>
      </c>
      <c r="G10" s="406">
        <f>MAX(C10+E10-D10-F10,0)</f>
        <v>1611419622</v>
      </c>
      <c r="H10" s="406">
        <f>MAX(D10+F10-E10-C10,0)</f>
        <v>0</v>
      </c>
      <c r="I10" s="397"/>
      <c r="J10" s="398"/>
      <c r="K10" s="398"/>
      <c r="L10" s="398"/>
    </row>
    <row r="11" spans="1:12" ht="20.25" customHeight="1">
      <c r="A11" s="407" t="s">
        <v>16</v>
      </c>
      <c r="B11" s="407" t="s">
        <v>46</v>
      </c>
      <c r="C11" s="408">
        <f t="shared" ref="C11:H11" si="0">C10</f>
        <v>0</v>
      </c>
      <c r="D11" s="408">
        <f t="shared" si="0"/>
        <v>0</v>
      </c>
      <c r="E11" s="408">
        <f t="shared" si="0"/>
        <v>2719780204</v>
      </c>
      <c r="F11" s="408">
        <f t="shared" si="0"/>
        <v>1108360582</v>
      </c>
      <c r="G11" s="408">
        <f t="shared" si="0"/>
        <v>1611419622</v>
      </c>
      <c r="H11" s="408">
        <f t="shared" si="0"/>
        <v>0</v>
      </c>
      <c r="I11" s="397"/>
      <c r="J11" s="398"/>
      <c r="K11" s="398"/>
      <c r="L11" s="398"/>
    </row>
    <row r="12" spans="1:12" ht="20.25" customHeight="1">
      <c r="A12" s="404" t="s">
        <v>23</v>
      </c>
      <c r="B12" s="404" t="s">
        <v>47</v>
      </c>
      <c r="C12" s="405">
        <v>0</v>
      </c>
      <c r="D12" s="405">
        <v>0</v>
      </c>
      <c r="E12" s="405">
        <f t="array" ref="E12">SUM(IF(A12=KHN,TH))</f>
        <v>1619564840</v>
      </c>
      <c r="F12" s="405">
        <f t="array" ref="F12">SUM(IF(A12=KHC,TH))</f>
        <v>1599112401</v>
      </c>
      <c r="G12" s="406">
        <f>MAX(C12+E12-D12-F12,0)</f>
        <v>20452439</v>
      </c>
      <c r="H12" s="406">
        <f>MAX(D12+F12-E12-C12,0)</f>
        <v>0</v>
      </c>
      <c r="I12" s="397"/>
      <c r="J12" s="397"/>
      <c r="K12" s="409"/>
      <c r="L12" s="409"/>
    </row>
    <row r="13" spans="1:12" ht="20.25" customHeight="1">
      <c r="A13" s="407" t="s">
        <v>48</v>
      </c>
      <c r="B13" s="407" t="s">
        <v>49</v>
      </c>
      <c r="C13" s="408">
        <f t="shared" ref="C13:H13" si="1">C12</f>
        <v>0</v>
      </c>
      <c r="D13" s="408">
        <f t="shared" si="1"/>
        <v>0</v>
      </c>
      <c r="E13" s="408">
        <f t="shared" si="1"/>
        <v>1619564840</v>
      </c>
      <c r="F13" s="408">
        <f t="shared" si="1"/>
        <v>1599112401</v>
      </c>
      <c r="G13" s="408">
        <f t="shared" si="1"/>
        <v>20452439</v>
      </c>
      <c r="H13" s="408">
        <f t="shared" si="1"/>
        <v>0</v>
      </c>
      <c r="I13" s="397"/>
      <c r="J13" s="397"/>
      <c r="K13" s="397"/>
      <c r="L13" s="397"/>
    </row>
    <row r="14" spans="1:12" ht="20.25" customHeight="1">
      <c r="A14" s="407" t="s">
        <v>237</v>
      </c>
      <c r="B14" s="407" t="s">
        <v>247</v>
      </c>
      <c r="C14" s="408"/>
      <c r="D14" s="408"/>
      <c r="E14" s="410">
        <f t="array" ref="E14">SUM(IF(A14=KHN,TH))</f>
        <v>1299769030</v>
      </c>
      <c r="F14" s="410">
        <f t="array" ref="F14">SUM(IF(A14=KHC,TH))</f>
        <v>1108286061</v>
      </c>
      <c r="G14" s="408">
        <f>MAX(C14+E14-D14-F14,0)</f>
        <v>191482969</v>
      </c>
      <c r="H14" s="408">
        <f>MAX(D14+F14-E14-C14,0)</f>
        <v>0</v>
      </c>
      <c r="I14" s="397"/>
      <c r="J14" s="397"/>
      <c r="K14" s="397"/>
      <c r="L14" s="397"/>
    </row>
    <row r="15" spans="1:12" ht="20.25" customHeight="1">
      <c r="A15" s="404" t="s">
        <v>9</v>
      </c>
      <c r="B15" s="404" t="s">
        <v>50</v>
      </c>
      <c r="C15" s="405"/>
      <c r="D15" s="405"/>
      <c r="E15" s="405">
        <f t="array" ref="E15">SUM(IF(A15=KHN,TH))</f>
        <v>122714395</v>
      </c>
      <c r="F15" s="405">
        <f t="array" ref="F15">SUM(IF(A15=KHC,TH))</f>
        <v>115599418</v>
      </c>
      <c r="G15" s="406">
        <f>MAX(C15+E15-D15-F15,0)</f>
        <v>7114977</v>
      </c>
      <c r="H15" s="406">
        <f>MAX(D15+F15-E15-C15,0)</f>
        <v>0</v>
      </c>
      <c r="I15" s="397"/>
      <c r="J15" s="397">
        <f>L15-G15</f>
        <v>0</v>
      </c>
      <c r="K15" s="397"/>
      <c r="L15" s="397">
        <v>7114977</v>
      </c>
    </row>
    <row r="16" spans="1:12" ht="20.25" customHeight="1">
      <c r="A16" s="407" t="s">
        <v>51</v>
      </c>
      <c r="B16" s="407" t="s">
        <v>52</v>
      </c>
      <c r="C16" s="408">
        <f t="shared" ref="C16:H16" si="2">C15</f>
        <v>0</v>
      </c>
      <c r="D16" s="408">
        <f t="shared" si="2"/>
        <v>0</v>
      </c>
      <c r="E16" s="408">
        <f t="shared" si="2"/>
        <v>122714395</v>
      </c>
      <c r="F16" s="408">
        <f t="shared" si="2"/>
        <v>115599418</v>
      </c>
      <c r="G16" s="408">
        <f t="shared" si="2"/>
        <v>7114977</v>
      </c>
      <c r="H16" s="408">
        <f t="shared" si="2"/>
        <v>0</v>
      </c>
      <c r="I16" s="397"/>
      <c r="J16" s="397"/>
      <c r="K16" s="397"/>
      <c r="L16" s="397"/>
    </row>
    <row r="17" spans="1:12" ht="20.25" customHeight="1">
      <c r="A17" s="411" t="s">
        <v>744</v>
      </c>
      <c r="B17" s="407" t="s">
        <v>745</v>
      </c>
      <c r="C17" s="408"/>
      <c r="D17" s="408">
        <v>0</v>
      </c>
      <c r="E17" s="410">
        <f t="array" ref="E17">SUM(IF(A17=KHN,TH))</f>
        <v>15583625</v>
      </c>
      <c r="F17" s="410">
        <f t="array" ref="F17">SUM(IF(A17=KHC,TH))</f>
        <v>11016806</v>
      </c>
      <c r="G17" s="408">
        <f t="shared" ref="G17:G30" si="3">MAX(C17+E17-D17-F17,0)</f>
        <v>4566819</v>
      </c>
      <c r="H17" s="408">
        <f t="shared" ref="H17:H30" si="4">MAX(D17+F17-E17-C17,0)</f>
        <v>0</v>
      </c>
      <c r="I17" s="397"/>
      <c r="J17" s="397"/>
      <c r="K17" s="397"/>
      <c r="L17" s="397"/>
    </row>
    <row r="18" spans="1:12" ht="20.25" customHeight="1">
      <c r="A18" s="404" t="s">
        <v>147</v>
      </c>
      <c r="B18" s="404" t="s">
        <v>148</v>
      </c>
      <c r="C18" s="405"/>
      <c r="D18" s="405"/>
      <c r="E18" s="405">
        <f t="array" ref="E18">SUM(IF(A18=KHN,TH))</f>
        <v>805145217</v>
      </c>
      <c r="F18" s="405">
        <f t="array" ref="F18">SUM(IF(A18=KHC,TH))</f>
        <v>803751979</v>
      </c>
      <c r="G18" s="406">
        <f t="shared" si="3"/>
        <v>1393238</v>
      </c>
      <c r="H18" s="406">
        <f t="shared" si="4"/>
        <v>0</v>
      </c>
      <c r="I18" s="397"/>
      <c r="J18" s="397"/>
      <c r="K18" s="397"/>
      <c r="L18" s="397"/>
    </row>
    <row r="19" spans="1:12" ht="20.25" customHeight="1">
      <c r="A19" s="404" t="s">
        <v>149</v>
      </c>
      <c r="B19" s="404" t="s">
        <v>150</v>
      </c>
      <c r="C19" s="405"/>
      <c r="D19" s="405"/>
      <c r="E19" s="405">
        <f t="array" ref="E19">SUM(IF(A19=KHN,TH))</f>
        <v>15142970</v>
      </c>
      <c r="F19" s="405">
        <f t="array" ref="F19">SUM(IF(A19=KHC,TH))</f>
        <v>13892970</v>
      </c>
      <c r="G19" s="405">
        <f t="shared" si="3"/>
        <v>1250000</v>
      </c>
      <c r="H19" s="405">
        <f t="shared" si="4"/>
        <v>0</v>
      </c>
      <c r="I19" s="397"/>
      <c r="J19" s="397"/>
      <c r="K19" s="397"/>
      <c r="L19" s="397"/>
    </row>
    <row r="20" spans="1:12" ht="20.25" customHeight="1">
      <c r="A20" s="407" t="s">
        <v>151</v>
      </c>
      <c r="B20" s="407" t="s">
        <v>152</v>
      </c>
      <c r="C20" s="408">
        <f>C18+C19</f>
        <v>0</v>
      </c>
      <c r="D20" s="408">
        <f>D18+D19</f>
        <v>0</v>
      </c>
      <c r="E20" s="408">
        <f>E18+E19</f>
        <v>820288187</v>
      </c>
      <c r="F20" s="408">
        <f>F18+F19</f>
        <v>817644949</v>
      </c>
      <c r="G20" s="408">
        <f t="shared" si="3"/>
        <v>2643238</v>
      </c>
      <c r="H20" s="408">
        <f t="shared" si="4"/>
        <v>0</v>
      </c>
      <c r="I20" s="397"/>
      <c r="J20" s="397"/>
      <c r="K20" s="397"/>
      <c r="L20" s="397"/>
    </row>
    <row r="21" spans="1:12" ht="20.25" customHeight="1">
      <c r="A21" s="407" t="s">
        <v>153</v>
      </c>
      <c r="B21" s="407" t="s">
        <v>154</v>
      </c>
      <c r="C21" s="408"/>
      <c r="D21" s="408">
        <v>0</v>
      </c>
      <c r="E21" s="410">
        <f t="array" ref="E21">SUM(IF(A21=KHN,TH))</f>
        <v>957706400</v>
      </c>
      <c r="F21" s="410">
        <f t="array" ref="F21">SUM(IF(A21=KHC,TH))</f>
        <v>957706400</v>
      </c>
      <c r="G21" s="408">
        <f t="shared" si="3"/>
        <v>0</v>
      </c>
      <c r="H21" s="408">
        <f t="shared" si="4"/>
        <v>0</v>
      </c>
      <c r="I21" s="397"/>
      <c r="J21" s="397"/>
      <c r="K21" s="397"/>
      <c r="L21" s="397"/>
    </row>
    <row r="22" spans="1:12" ht="20.25" customHeight="1">
      <c r="A22" s="407" t="s">
        <v>155</v>
      </c>
      <c r="B22" s="407" t="s">
        <v>156</v>
      </c>
      <c r="C22" s="408"/>
      <c r="D22" s="408"/>
      <c r="E22" s="410">
        <f t="array" ref="E22">SUM(IF(A22=KHN,TH))</f>
        <v>957706400</v>
      </c>
      <c r="F22" s="410">
        <f t="array" ref="F22">SUM(IF(A22=KHC,TH))</f>
        <v>957706400</v>
      </c>
      <c r="G22" s="408">
        <f t="shared" si="3"/>
        <v>0</v>
      </c>
      <c r="H22" s="408">
        <f t="shared" si="4"/>
        <v>0</v>
      </c>
      <c r="I22" s="397"/>
      <c r="J22" s="397"/>
      <c r="K22" s="397"/>
      <c r="L22" s="397"/>
    </row>
    <row r="23" spans="1:12" ht="20.25" customHeight="1">
      <c r="A23" s="412" t="s">
        <v>157</v>
      </c>
      <c r="B23" s="413" t="s">
        <v>158</v>
      </c>
      <c r="C23" s="414"/>
      <c r="D23" s="414"/>
      <c r="E23" s="405">
        <f t="array" ref="E23">SUM(IF(A23=KHN,TH))</f>
        <v>365000000</v>
      </c>
      <c r="F23" s="405">
        <f t="array" ref="F23">SUM(IF(A23=KHC,TH))</f>
        <v>0</v>
      </c>
      <c r="G23" s="414">
        <f t="shared" si="3"/>
        <v>365000000</v>
      </c>
      <c r="H23" s="414">
        <f t="shared" si="4"/>
        <v>0</v>
      </c>
      <c r="I23" s="397"/>
      <c r="J23" s="397"/>
      <c r="K23" s="397"/>
      <c r="L23" s="397"/>
    </row>
    <row r="24" spans="1:12" ht="20.25" customHeight="1">
      <c r="A24" s="407" t="s">
        <v>159</v>
      </c>
      <c r="B24" s="407" t="s">
        <v>160</v>
      </c>
      <c r="C24" s="408">
        <f t="shared" ref="C24:H24" si="5">SUM(C23:C23)</f>
        <v>0</v>
      </c>
      <c r="D24" s="408">
        <f t="shared" si="5"/>
        <v>0</v>
      </c>
      <c r="E24" s="408">
        <f t="shared" si="5"/>
        <v>365000000</v>
      </c>
      <c r="F24" s="408">
        <f t="shared" si="5"/>
        <v>0</v>
      </c>
      <c r="G24" s="408">
        <f t="shared" si="5"/>
        <v>365000000</v>
      </c>
      <c r="H24" s="408">
        <f t="shared" si="5"/>
        <v>0</v>
      </c>
      <c r="I24" s="397"/>
      <c r="J24" s="397"/>
      <c r="K24" s="397"/>
      <c r="L24" s="397"/>
    </row>
    <row r="25" spans="1:12" ht="20.25" customHeight="1">
      <c r="A25" s="404" t="s">
        <v>238</v>
      </c>
      <c r="B25" s="404" t="s">
        <v>244</v>
      </c>
      <c r="C25" s="405"/>
      <c r="D25" s="405"/>
      <c r="E25" s="405">
        <f t="array" ref="E25">SUM(IF(A25=KHN,TH))</f>
        <v>0</v>
      </c>
      <c r="F25" s="405">
        <f t="array" ref="F25">SUM(IF(A25=KHC,TH))</f>
        <v>37250000</v>
      </c>
      <c r="G25" s="405">
        <f>MAX(C25+E25-D25-F25,0)</f>
        <v>0</v>
      </c>
      <c r="H25" s="405">
        <f>MAX(D25+F25-E25-C25,0)</f>
        <v>37250000</v>
      </c>
      <c r="I25" s="397"/>
      <c r="J25" s="397"/>
      <c r="K25" s="397"/>
      <c r="L25" s="397"/>
    </row>
    <row r="26" spans="1:12" ht="20.25" customHeight="1">
      <c r="A26" s="407" t="s">
        <v>245</v>
      </c>
      <c r="B26" s="407" t="s">
        <v>246</v>
      </c>
      <c r="C26" s="408">
        <f>C25</f>
        <v>0</v>
      </c>
      <c r="D26" s="408">
        <f t="shared" ref="D26:H26" si="6">D25</f>
        <v>0</v>
      </c>
      <c r="E26" s="408">
        <f t="shared" si="6"/>
        <v>0</v>
      </c>
      <c r="F26" s="408">
        <f t="shared" si="6"/>
        <v>37250000</v>
      </c>
      <c r="G26" s="408">
        <f t="shared" si="6"/>
        <v>0</v>
      </c>
      <c r="H26" s="408">
        <f t="shared" si="6"/>
        <v>37250000</v>
      </c>
      <c r="I26" s="397"/>
      <c r="J26" s="397"/>
      <c r="K26" s="397"/>
      <c r="L26" s="397"/>
    </row>
    <row r="27" spans="1:12" ht="20.25" customHeight="1">
      <c r="A27" s="407" t="s">
        <v>8</v>
      </c>
      <c r="B27" s="407" t="s">
        <v>53</v>
      </c>
      <c r="C27" s="408"/>
      <c r="D27" s="408"/>
      <c r="E27" s="410">
        <f t="array" ref="E27">SUM(IF(A27=KHN,TH))</f>
        <v>1113798421</v>
      </c>
      <c r="F27" s="410">
        <f t="array" ref="F27">SUM(IF(A27=KHC,TH))</f>
        <v>1254317242</v>
      </c>
      <c r="G27" s="408">
        <f t="shared" si="3"/>
        <v>0</v>
      </c>
      <c r="H27" s="408">
        <f t="shared" si="4"/>
        <v>140518821</v>
      </c>
      <c r="I27" s="397"/>
      <c r="J27" s="397"/>
      <c r="K27" s="397"/>
      <c r="L27" s="397"/>
    </row>
    <row r="28" spans="1:12" ht="20.25" customHeight="1">
      <c r="A28" s="415" t="s">
        <v>707</v>
      </c>
      <c r="B28" s="404" t="s">
        <v>706</v>
      </c>
      <c r="C28" s="405"/>
      <c r="D28" s="405"/>
      <c r="E28" s="405">
        <f t="array" ref="E28">SUM(IF(A28=KHN,TH))</f>
        <v>115599418</v>
      </c>
      <c r="F28" s="405">
        <f t="array" ref="F28">SUM(IF(A28=KHC,TH))</f>
        <v>115599418</v>
      </c>
      <c r="G28" s="405">
        <f t="shared" ref="G28" si="7">MAX(C28+E28-D28-F28,0)</f>
        <v>0</v>
      </c>
      <c r="H28" s="405">
        <f t="shared" ref="H28" si="8">MAX(D28+F28-E28-C28,0)</f>
        <v>0</v>
      </c>
      <c r="I28" s="397"/>
      <c r="J28" s="397"/>
      <c r="K28" s="397"/>
      <c r="L28" s="397"/>
    </row>
    <row r="29" spans="1:12" ht="20.25" customHeight="1">
      <c r="A29" s="404" t="s">
        <v>54</v>
      </c>
      <c r="B29" s="404" t="s">
        <v>55</v>
      </c>
      <c r="C29" s="405"/>
      <c r="D29" s="405"/>
      <c r="E29" s="405">
        <f t="array" ref="E29">SUM(IF(A29=KHN,TH))</f>
        <v>0</v>
      </c>
      <c r="F29" s="405">
        <f t="array" ref="F29">SUM(IF(A29=KHC,TH))</f>
        <v>22244468</v>
      </c>
      <c r="G29" s="405">
        <f t="shared" si="3"/>
        <v>0</v>
      </c>
      <c r="H29" s="405">
        <f t="shared" si="4"/>
        <v>22244468</v>
      </c>
      <c r="I29" s="397"/>
      <c r="J29" s="397"/>
      <c r="K29" s="397"/>
      <c r="L29" s="397"/>
    </row>
    <row r="30" spans="1:12" ht="20.25" customHeight="1">
      <c r="A30" s="415" t="s">
        <v>56</v>
      </c>
      <c r="B30" s="416" t="s">
        <v>57</v>
      </c>
      <c r="C30" s="417"/>
      <c r="D30" s="417"/>
      <c r="E30" s="417">
        <f t="array" ref="E30">SUM(IF(A30=KHN,TH))</f>
        <v>2000000</v>
      </c>
      <c r="F30" s="417">
        <f t="array" ref="F30">SUM(IF(A30=KHC,TH))</f>
        <v>2000000</v>
      </c>
      <c r="G30" s="417">
        <f t="shared" si="3"/>
        <v>0</v>
      </c>
      <c r="H30" s="417">
        <f t="shared" si="4"/>
        <v>0</v>
      </c>
      <c r="I30" s="397"/>
      <c r="J30" s="397"/>
      <c r="K30" s="397"/>
      <c r="L30" s="397"/>
    </row>
    <row r="31" spans="1:12" ht="20.25" customHeight="1">
      <c r="A31" s="404" t="s">
        <v>17</v>
      </c>
      <c r="B31" s="423" t="s">
        <v>58</v>
      </c>
      <c r="C31" s="405">
        <f>C30</f>
        <v>0</v>
      </c>
      <c r="D31" s="405">
        <f t="shared" ref="D31:H31" si="9">D30</f>
        <v>0</v>
      </c>
      <c r="E31" s="405">
        <f t="shared" si="9"/>
        <v>2000000</v>
      </c>
      <c r="F31" s="405">
        <f t="shared" si="9"/>
        <v>2000000</v>
      </c>
      <c r="G31" s="405">
        <f t="shared" si="9"/>
        <v>0</v>
      </c>
      <c r="H31" s="405">
        <f t="shared" si="9"/>
        <v>0</v>
      </c>
      <c r="I31" s="397"/>
      <c r="J31" s="397"/>
      <c r="K31" s="397"/>
      <c r="L31" s="397"/>
    </row>
    <row r="32" spans="1:12" ht="20.25" customHeight="1">
      <c r="A32" s="407" t="s">
        <v>59</v>
      </c>
      <c r="B32" s="407" t="s">
        <v>60</v>
      </c>
      <c r="C32" s="408">
        <f>C29+C31+C28</f>
        <v>0</v>
      </c>
      <c r="D32" s="408">
        <f t="shared" ref="D32:H32" si="10">D29+D31+D28</f>
        <v>0</v>
      </c>
      <c r="E32" s="408">
        <f t="shared" si="10"/>
        <v>117599418</v>
      </c>
      <c r="F32" s="408">
        <f t="shared" si="10"/>
        <v>139843886</v>
      </c>
      <c r="G32" s="408">
        <f t="shared" si="10"/>
        <v>0</v>
      </c>
      <c r="H32" s="408">
        <f t="shared" si="10"/>
        <v>22244468</v>
      </c>
      <c r="I32" s="397"/>
      <c r="J32" s="397"/>
      <c r="K32" s="397"/>
      <c r="L32" s="397"/>
    </row>
    <row r="33" spans="1:12" ht="20.25" customHeight="1">
      <c r="A33" s="404" t="s">
        <v>240</v>
      </c>
      <c r="B33" s="404" t="s">
        <v>241</v>
      </c>
      <c r="C33" s="405">
        <v>0</v>
      </c>
      <c r="D33" s="405">
        <v>0</v>
      </c>
      <c r="E33" s="405">
        <f t="array" ref="E33">SUM(IF(A33=KHN,TH))</f>
        <v>105090478</v>
      </c>
      <c r="F33" s="405">
        <f t="array" ref="F33">SUM(IF(A33=KHC,TH))</f>
        <v>105090478</v>
      </c>
      <c r="G33" s="405">
        <f t="shared" ref="G33:G34" si="11">MAX(C33+E33-D33-F33,0)</f>
        <v>0</v>
      </c>
      <c r="H33" s="405">
        <f t="shared" ref="H33:H34" si="12">MAX(D33+F33-E33-C33,0)</f>
        <v>0</v>
      </c>
      <c r="I33" s="397"/>
      <c r="J33" s="397"/>
      <c r="K33" s="397"/>
      <c r="L33" s="397"/>
    </row>
    <row r="34" spans="1:12" ht="20.25" customHeight="1">
      <c r="A34" s="407" t="s">
        <v>242</v>
      </c>
      <c r="B34" s="407" t="s">
        <v>243</v>
      </c>
      <c r="C34" s="408">
        <f>C33</f>
        <v>0</v>
      </c>
      <c r="D34" s="408">
        <f>D33</f>
        <v>0</v>
      </c>
      <c r="E34" s="408">
        <f>E33</f>
        <v>105090478</v>
      </c>
      <c r="F34" s="408">
        <f>F33</f>
        <v>105090478</v>
      </c>
      <c r="G34" s="408">
        <f t="shared" si="11"/>
        <v>0</v>
      </c>
      <c r="H34" s="408">
        <f t="shared" si="12"/>
        <v>0</v>
      </c>
      <c r="I34" s="397"/>
      <c r="J34" s="397"/>
      <c r="K34" s="397"/>
      <c r="L34" s="397"/>
    </row>
    <row r="35" spans="1:12" ht="20.25" customHeight="1">
      <c r="A35" s="404" t="s">
        <v>24</v>
      </c>
      <c r="B35" s="404" t="s">
        <v>61</v>
      </c>
      <c r="C35" s="405"/>
      <c r="D35" s="405"/>
      <c r="E35" s="405">
        <f t="array" ref="E35">SUM(IF(A35=KHN,TH))</f>
        <v>0</v>
      </c>
      <c r="F35" s="405">
        <f t="array" ref="F35">SUM(IF(A35=KHC,TH))</f>
        <v>1900000000</v>
      </c>
      <c r="G35" s="406">
        <f>MAX(C35+E35-D35-F35,0)</f>
        <v>0</v>
      </c>
      <c r="H35" s="406">
        <f>MAX(D35+F35-E35-C35,0)</f>
        <v>1900000000</v>
      </c>
      <c r="I35" s="397"/>
      <c r="J35" s="397"/>
      <c r="K35" s="397"/>
      <c r="L35" s="397"/>
    </row>
    <row r="36" spans="1:12" ht="20.25" customHeight="1">
      <c r="A36" s="407" t="s">
        <v>62</v>
      </c>
      <c r="B36" s="407" t="s">
        <v>63</v>
      </c>
      <c r="C36" s="408">
        <v>0</v>
      </c>
      <c r="D36" s="408">
        <f>D35</f>
        <v>0</v>
      </c>
      <c r="E36" s="408">
        <f>E35</f>
        <v>0</v>
      </c>
      <c r="F36" s="408">
        <f>F35</f>
        <v>1900000000</v>
      </c>
      <c r="G36" s="408">
        <f>MAX(C36+E36-D36-F36,0)</f>
        <v>0</v>
      </c>
      <c r="H36" s="408">
        <f>MAX(D36+F36-E36-C36,0)</f>
        <v>1900000000</v>
      </c>
      <c r="I36" s="397"/>
      <c r="J36" s="397"/>
      <c r="K36" s="397"/>
      <c r="L36" s="397"/>
    </row>
    <row r="37" spans="1:12" ht="20.25" customHeight="1">
      <c r="A37" s="403" t="s">
        <v>64</v>
      </c>
      <c r="B37" s="404" t="s">
        <v>65</v>
      </c>
      <c r="C37" s="405"/>
      <c r="D37" s="405"/>
      <c r="E37" s="405">
        <f t="array" ref="E37">SUM(IF(A37=KHN,TH))</f>
        <v>0</v>
      </c>
      <c r="F37" s="405">
        <f t="array" ref="F37">SUM(IF(A37=KHC,TH))</f>
        <v>0</v>
      </c>
      <c r="G37" s="406">
        <f>MAX(C37+E37-D37-F37,0)</f>
        <v>0</v>
      </c>
      <c r="H37" s="406">
        <f>MAX(D37+F37-E37-C37,0)</f>
        <v>0</v>
      </c>
      <c r="I37" s="397"/>
      <c r="J37" s="397"/>
      <c r="K37" s="397"/>
      <c r="L37" s="397"/>
    </row>
    <row r="38" spans="1:12" ht="20.25" customHeight="1">
      <c r="A38" s="404" t="s">
        <v>66</v>
      </c>
      <c r="B38" s="404" t="s">
        <v>67</v>
      </c>
      <c r="C38" s="405"/>
      <c r="D38" s="405"/>
      <c r="E38" s="405">
        <f t="array" ref="E38">SUM(IF(A38=TH!$L$10:$L$2834,TH!$K$10:$K$2834))</f>
        <v>0</v>
      </c>
      <c r="F38" s="405">
        <f t="array" ref="F38">SUM(IF(A38=TH!$M$10:$M$2834,TH!$K$10:$K$2834))</f>
        <v>102666775</v>
      </c>
      <c r="G38" s="405">
        <f>MAX(C38+E38-D38-F38,0)</f>
        <v>0</v>
      </c>
      <c r="H38" s="405">
        <f>MAX(D38+F38-E38-C38,0)</f>
        <v>102666775</v>
      </c>
      <c r="I38" s="397"/>
      <c r="J38" s="300">
        <f>L38-H38</f>
        <v>22244468</v>
      </c>
      <c r="K38" s="397"/>
      <c r="L38" s="397">
        <v>124911243</v>
      </c>
    </row>
    <row r="39" spans="1:12" ht="20.25" customHeight="1">
      <c r="A39" s="407" t="s">
        <v>68</v>
      </c>
      <c r="B39" s="407" t="s">
        <v>69</v>
      </c>
      <c r="C39" s="408">
        <f t="shared" ref="C39:H39" si="13">C38+C37</f>
        <v>0</v>
      </c>
      <c r="D39" s="408">
        <f t="shared" si="13"/>
        <v>0</v>
      </c>
      <c r="E39" s="408">
        <f t="shared" si="13"/>
        <v>0</v>
      </c>
      <c r="F39" s="408">
        <f t="shared" si="13"/>
        <v>102666775</v>
      </c>
      <c r="G39" s="408">
        <f t="shared" si="13"/>
        <v>0</v>
      </c>
      <c r="H39" s="408">
        <f t="shared" si="13"/>
        <v>102666775</v>
      </c>
      <c r="I39" s="397"/>
      <c r="J39" s="397"/>
      <c r="K39" s="397"/>
      <c r="L39" s="397"/>
    </row>
    <row r="40" spans="1:12" ht="20.25" customHeight="1">
      <c r="A40" s="403" t="s">
        <v>163</v>
      </c>
      <c r="B40" s="404" t="s">
        <v>164</v>
      </c>
      <c r="C40" s="405"/>
      <c r="D40" s="405"/>
      <c r="E40" s="405">
        <f t="array" ref="E40">SUM(IF(A40=KHN,TH))</f>
        <v>1155993872</v>
      </c>
      <c r="F40" s="405">
        <f t="array" ref="F40">SUM(IF(A40=KHC,TH))</f>
        <v>1155993872</v>
      </c>
      <c r="G40" s="406"/>
      <c r="H40" s="406"/>
      <c r="I40" s="397">
        <f>E40-F40</f>
        <v>0</v>
      </c>
      <c r="J40" s="397"/>
      <c r="K40" s="397"/>
      <c r="L40" s="397"/>
    </row>
    <row r="41" spans="1:12" ht="20.25" customHeight="1">
      <c r="A41" s="407" t="s">
        <v>165</v>
      </c>
      <c r="B41" s="407" t="s">
        <v>166</v>
      </c>
      <c r="C41" s="408"/>
      <c r="D41" s="408"/>
      <c r="E41" s="408">
        <f>E40</f>
        <v>1155993872</v>
      </c>
      <c r="F41" s="408">
        <f>F40</f>
        <v>1155993872</v>
      </c>
      <c r="G41" s="408"/>
      <c r="H41" s="408"/>
      <c r="I41" s="397">
        <f>E41-F41</f>
        <v>0</v>
      </c>
      <c r="J41" s="397"/>
      <c r="K41" s="397"/>
      <c r="L41" s="397"/>
    </row>
    <row r="42" spans="1:12" ht="20.25" customHeight="1">
      <c r="A42" s="407" t="s">
        <v>37</v>
      </c>
      <c r="B42" s="407" t="s">
        <v>70</v>
      </c>
      <c r="C42" s="408"/>
      <c r="D42" s="408"/>
      <c r="E42" s="410">
        <f t="array" ref="E42">SUM(IF(A42=KHN,TH))</f>
        <v>954983</v>
      </c>
      <c r="F42" s="410">
        <f t="array" ref="F42">SUM(IF(A42=KHC,TH))</f>
        <v>954983</v>
      </c>
      <c r="G42" s="408"/>
      <c r="H42" s="408"/>
      <c r="I42" s="397">
        <f t="shared" ref="I42:I50" si="14">E42-F42</f>
        <v>0</v>
      </c>
      <c r="J42" s="397"/>
      <c r="K42" s="397"/>
      <c r="L42" s="397"/>
    </row>
    <row r="43" spans="1:12" ht="20.25" customHeight="1">
      <c r="A43" s="407" t="s">
        <v>161</v>
      </c>
      <c r="B43" s="407" t="s">
        <v>162</v>
      </c>
      <c r="C43" s="408"/>
      <c r="D43" s="408"/>
      <c r="E43" s="410">
        <f t="array" ref="E43">SUM(IF(A43=KHN,TH))</f>
        <v>957706400</v>
      </c>
      <c r="F43" s="410">
        <f t="array" ref="F43">SUM(IF(A43=KHC,TH))</f>
        <v>957706400</v>
      </c>
      <c r="G43" s="408"/>
      <c r="H43" s="408"/>
      <c r="I43" s="397">
        <f t="shared" si="14"/>
        <v>0</v>
      </c>
      <c r="J43" s="397"/>
      <c r="K43" s="397"/>
      <c r="L43" s="397"/>
    </row>
    <row r="44" spans="1:12" ht="20.25" customHeight="1">
      <c r="A44" s="407" t="s">
        <v>71</v>
      </c>
      <c r="B44" s="407" t="s">
        <v>72</v>
      </c>
      <c r="C44" s="408"/>
      <c r="D44" s="408"/>
      <c r="E44" s="410">
        <f t="array" ref="E44">SUM(IF(A44=KHN,TH))</f>
        <v>0</v>
      </c>
      <c r="F44" s="410">
        <f t="array" ref="F44">SUM(IF(A44=KHC,TH))</f>
        <v>0</v>
      </c>
      <c r="G44" s="408"/>
      <c r="H44" s="408"/>
      <c r="I44" s="397">
        <f t="shared" si="14"/>
        <v>0</v>
      </c>
      <c r="J44" s="397"/>
      <c r="K44" s="397"/>
      <c r="L44" s="397"/>
    </row>
    <row r="45" spans="1:12" ht="20.25" customHeight="1">
      <c r="A45" s="411" t="s">
        <v>239</v>
      </c>
      <c r="B45" s="407" t="s">
        <v>304</v>
      </c>
      <c r="C45" s="408"/>
      <c r="D45" s="408"/>
      <c r="E45" s="410">
        <f t="array" ref="E45">SUM(IF(A45=KHN,TH))</f>
        <v>3939014</v>
      </c>
      <c r="F45" s="410">
        <f t="array" ref="F45">SUM(IF(A45=KHC,TH))</f>
        <v>3939014</v>
      </c>
      <c r="G45" s="408"/>
      <c r="H45" s="408"/>
      <c r="I45" s="397">
        <f>E45-F45</f>
        <v>0</v>
      </c>
      <c r="J45" s="397"/>
      <c r="K45" s="397"/>
      <c r="L45" s="397"/>
    </row>
    <row r="46" spans="1:12" ht="20.25" customHeight="1">
      <c r="A46" s="407" t="s">
        <v>73</v>
      </c>
      <c r="B46" s="407" t="s">
        <v>74</v>
      </c>
      <c r="C46" s="408"/>
      <c r="D46" s="408"/>
      <c r="E46" s="410">
        <f t="array" ref="E46">SUM(IF(A46=KHN,TH))</f>
        <v>68192198</v>
      </c>
      <c r="F46" s="410">
        <f t="array" ref="F46">SUM(IF(A46=KHC,TH))</f>
        <v>68192198</v>
      </c>
      <c r="G46" s="408"/>
      <c r="H46" s="408"/>
      <c r="I46" s="397">
        <f t="shared" si="14"/>
        <v>0</v>
      </c>
      <c r="J46" s="397"/>
      <c r="K46" s="397"/>
      <c r="L46" s="397"/>
    </row>
    <row r="47" spans="1:12" ht="20.25" customHeight="1">
      <c r="A47" s="411" t="s">
        <v>75</v>
      </c>
      <c r="B47" s="407" t="s">
        <v>76</v>
      </c>
      <c r="C47" s="408"/>
      <c r="D47" s="408"/>
      <c r="E47" s="410">
        <f t="array" ref="E47">SUM(IF(A47=KHN,TH))</f>
        <v>0</v>
      </c>
      <c r="F47" s="410">
        <f t="array" ref="F47">SUM(IF(A47=KHC,TH))</f>
        <v>0</v>
      </c>
      <c r="G47" s="408"/>
      <c r="H47" s="408"/>
      <c r="I47" s="397">
        <f t="shared" si="14"/>
        <v>0</v>
      </c>
      <c r="J47" s="397"/>
      <c r="K47" s="397"/>
      <c r="L47" s="397"/>
    </row>
    <row r="48" spans="1:12" ht="20.25" customHeight="1">
      <c r="A48" s="407" t="s">
        <v>77</v>
      </c>
      <c r="B48" s="407" t="s">
        <v>78</v>
      </c>
      <c r="C48" s="408"/>
      <c r="D48" s="408"/>
      <c r="E48" s="410">
        <f t="array" ref="E48">SUM(IF(A48=KHN,TH))</f>
        <v>2200000</v>
      </c>
      <c r="F48" s="410">
        <f t="array" ref="F48">SUM(IF(A48=KHC,TH))</f>
        <v>2200000</v>
      </c>
      <c r="G48" s="408"/>
      <c r="H48" s="408"/>
      <c r="I48" s="397">
        <f t="shared" si="14"/>
        <v>0</v>
      </c>
      <c r="J48" s="397"/>
      <c r="K48" s="397"/>
      <c r="L48" s="397"/>
    </row>
    <row r="49" spans="1:12" ht="20.25" customHeight="1">
      <c r="A49" s="411" t="s">
        <v>79</v>
      </c>
      <c r="B49" s="407" t="s">
        <v>80</v>
      </c>
      <c r="C49" s="408"/>
      <c r="D49" s="408"/>
      <c r="E49" s="410">
        <f t="array" ref="E49">SUM(IF(A49=KHN,TH))</f>
        <v>22244468</v>
      </c>
      <c r="F49" s="410">
        <f t="array" ref="F49">SUM(IF(A49=KHC,TH))</f>
        <v>22244468</v>
      </c>
      <c r="G49" s="408"/>
      <c r="H49" s="408"/>
      <c r="I49" s="397">
        <f t="shared" si="14"/>
        <v>0</v>
      </c>
      <c r="J49" s="397"/>
      <c r="K49" s="397"/>
      <c r="L49" s="397"/>
    </row>
    <row r="50" spans="1:12" ht="20.25" customHeight="1">
      <c r="A50" s="407" t="s">
        <v>81</v>
      </c>
      <c r="B50" s="407" t="s">
        <v>82</v>
      </c>
      <c r="C50" s="408"/>
      <c r="D50" s="408"/>
      <c r="E50" s="418">
        <f t="array" ref="E50">SUM(IF(A50=KHN,TH))</f>
        <v>1156948855</v>
      </c>
      <c r="F50" s="418">
        <f t="array" ref="F50">SUM(IF(A50=TH!$M$10:$M$2834,TH!$K$10:$K$2834))</f>
        <v>1156948855</v>
      </c>
      <c r="G50" s="408"/>
      <c r="H50" s="408"/>
      <c r="I50" s="397">
        <f t="shared" si="14"/>
        <v>0</v>
      </c>
      <c r="J50" s="397"/>
      <c r="K50" s="397"/>
      <c r="L50" s="397"/>
    </row>
    <row r="51" spans="1:12" ht="20.25" customHeight="1">
      <c r="A51" s="780" t="s">
        <v>36</v>
      </c>
      <c r="B51" s="781"/>
      <c r="C51" s="419">
        <f>C11+C13+C14+C16+C17+C20+C21+C22+C24+C26+C27+C32+C34+C36+C39+C41+C42+C43+C44+C45+C46+C47+C48+C49+C50</f>
        <v>0</v>
      </c>
      <c r="D51" s="419">
        <f t="shared" ref="D51:H51" si="15">D11+D13+D14+D16+D17+D20+D21+D22+D24+D26+D27+D32+D34+D36+D39+D41+D42+D43+D44+D45+D46+D47+D48+D49+D50</f>
        <v>0</v>
      </c>
      <c r="E51" s="419">
        <f t="shared" si="15"/>
        <v>13582781188</v>
      </c>
      <c r="F51" s="419">
        <f t="shared" si="15"/>
        <v>13582781188</v>
      </c>
      <c r="G51" s="419">
        <f t="shared" si="15"/>
        <v>2202680064</v>
      </c>
      <c r="H51" s="419">
        <f t="shared" si="15"/>
        <v>2202680064</v>
      </c>
      <c r="I51" s="397"/>
      <c r="J51" s="397"/>
      <c r="K51" s="397"/>
      <c r="L51" s="397"/>
    </row>
    <row r="52" spans="1:12" ht="15">
      <c r="A52" s="398"/>
      <c r="B52" s="398"/>
      <c r="C52" s="397"/>
      <c r="D52" s="397"/>
      <c r="E52" s="420"/>
      <c r="F52" s="421"/>
      <c r="G52" s="398"/>
      <c r="H52" s="398"/>
      <c r="I52" s="398"/>
      <c r="J52" s="398"/>
      <c r="K52" s="398"/>
      <c r="L52" s="398"/>
    </row>
    <row r="53" spans="1:12" ht="15">
      <c r="A53" s="398"/>
      <c r="B53" s="398"/>
      <c r="C53" s="397"/>
      <c r="D53" s="397"/>
      <c r="E53" s="421"/>
      <c r="F53" s="398"/>
      <c r="G53" s="398"/>
      <c r="H53" s="421">
        <f>G51-H51</f>
        <v>0</v>
      </c>
      <c r="I53" s="398"/>
      <c r="J53" s="398"/>
      <c r="K53" s="398"/>
      <c r="L53" s="398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837"/>
  <sheetViews>
    <sheetView tabSelected="1" topLeftCell="A7" workbookViewId="0">
      <pane ySplit="3" topLeftCell="A31" activePane="bottomLeft" state="frozen"/>
      <selection activeCell="A7" sqref="A7"/>
      <selection pane="bottomLeft" activeCell="F28" sqref="F28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1371</v>
      </c>
      <c r="B1" s="6"/>
      <c r="C1" s="6"/>
      <c r="D1" s="7"/>
      <c r="E1" s="7"/>
      <c r="F1" s="8"/>
      <c r="G1" s="222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21"/>
      <c r="Z1" s="121"/>
    </row>
    <row r="2" spans="1:26" ht="15">
      <c r="A2" s="1" t="s">
        <v>1372</v>
      </c>
      <c r="B2" s="6"/>
      <c r="C2" s="6"/>
      <c r="D2" s="7"/>
      <c r="E2" s="7"/>
      <c r="F2" s="7"/>
      <c r="G2" s="222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21"/>
      <c r="Z2" s="121"/>
    </row>
    <row r="3" spans="1:26">
      <c r="A3" s="126"/>
      <c r="B3" s="7"/>
      <c r="C3" s="7"/>
      <c r="D3" s="7"/>
      <c r="E3" s="7"/>
      <c r="F3" s="7"/>
      <c r="G3" s="222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21"/>
      <c r="Z3" s="121"/>
    </row>
    <row r="4" spans="1:26" ht="22.5">
      <c r="A4" s="126"/>
      <c r="B4" s="17"/>
      <c r="C4" s="802" t="s">
        <v>83</v>
      </c>
      <c r="D4" s="802"/>
      <c r="E4" s="802"/>
      <c r="F4" s="802"/>
      <c r="G4" s="802"/>
      <c r="H4" s="802"/>
      <c r="I4" s="802"/>
      <c r="J4" s="802"/>
      <c r="K4" s="802"/>
      <c r="L4" s="802"/>
      <c r="M4" s="802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</row>
    <row r="5" spans="1:26" ht="14.25">
      <c r="A5" s="126"/>
      <c r="B5" s="17"/>
      <c r="C5" s="803"/>
      <c r="D5" s="803"/>
      <c r="E5" s="803"/>
      <c r="F5" s="803"/>
      <c r="G5" s="803"/>
      <c r="H5" s="803"/>
      <c r="I5" s="803"/>
      <c r="J5" s="803"/>
      <c r="K5" s="803"/>
      <c r="L5" s="803"/>
      <c r="M5" s="803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</row>
    <row r="6" spans="1:26">
      <c r="A6" s="126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21"/>
      <c r="Z6" s="121"/>
    </row>
    <row r="7" spans="1:26" ht="24.75" customHeight="1">
      <c r="A7" s="784" t="s">
        <v>106</v>
      </c>
      <c r="B7" s="786" t="s">
        <v>91</v>
      </c>
      <c r="C7" s="804" t="s">
        <v>19</v>
      </c>
      <c r="D7" s="805" t="s">
        <v>1</v>
      </c>
      <c r="E7" s="806"/>
      <c r="F7" s="804" t="s">
        <v>0</v>
      </c>
      <c r="G7" s="808" t="s">
        <v>105</v>
      </c>
      <c r="H7" s="788" t="s">
        <v>41</v>
      </c>
      <c r="I7" s="799" t="s">
        <v>236</v>
      </c>
      <c r="J7" s="800"/>
      <c r="K7" s="804" t="s">
        <v>145</v>
      </c>
      <c r="L7" s="807" t="s">
        <v>84</v>
      </c>
      <c r="M7" s="807"/>
      <c r="N7" s="797" t="s">
        <v>759</v>
      </c>
      <c r="O7" s="791" t="s">
        <v>44</v>
      </c>
      <c r="P7" s="792"/>
      <c r="Q7" s="793"/>
      <c r="R7" s="791" t="s">
        <v>48</v>
      </c>
      <c r="S7" s="792"/>
      <c r="T7" s="793"/>
      <c r="U7" s="789" t="str">
        <f>CTTK!$E$7</f>
        <v>642</v>
      </c>
      <c r="V7" s="801" t="s">
        <v>151</v>
      </c>
      <c r="W7" s="801"/>
      <c r="X7" s="801"/>
      <c r="Y7" s="801" t="s">
        <v>334</v>
      </c>
      <c r="Z7" s="121"/>
    </row>
    <row r="8" spans="1:26" ht="24.75" customHeight="1">
      <c r="A8" s="785"/>
      <c r="B8" s="787"/>
      <c r="C8" s="804"/>
      <c r="D8" s="123" t="s">
        <v>15</v>
      </c>
      <c r="E8" s="122" t="s">
        <v>30</v>
      </c>
      <c r="F8" s="804"/>
      <c r="G8" s="809"/>
      <c r="H8" s="788"/>
      <c r="I8" s="148" t="s">
        <v>190</v>
      </c>
      <c r="J8" s="148" t="s">
        <v>191</v>
      </c>
      <c r="K8" s="804"/>
      <c r="L8" s="124" t="s">
        <v>21</v>
      </c>
      <c r="M8" s="124" t="s">
        <v>22</v>
      </c>
      <c r="N8" s="798"/>
      <c r="O8" s="794"/>
      <c r="P8" s="795"/>
      <c r="Q8" s="796"/>
      <c r="R8" s="794"/>
      <c r="S8" s="795"/>
      <c r="T8" s="796"/>
      <c r="U8" s="790"/>
      <c r="V8" s="801"/>
      <c r="W8" s="801"/>
      <c r="X8" s="801"/>
      <c r="Y8" s="801"/>
      <c r="Z8" s="121"/>
    </row>
    <row r="9" spans="1:26">
      <c r="A9" s="127">
        <v>1</v>
      </c>
      <c r="B9" s="128">
        <v>2</v>
      </c>
      <c r="C9" s="127">
        <v>3</v>
      </c>
      <c r="D9" s="128">
        <v>4</v>
      </c>
      <c r="E9" s="127">
        <v>5</v>
      </c>
      <c r="F9" s="128">
        <v>6</v>
      </c>
      <c r="G9" s="127">
        <v>7</v>
      </c>
      <c r="H9" s="128">
        <v>8</v>
      </c>
      <c r="I9" s="127">
        <v>9</v>
      </c>
      <c r="J9" s="128">
        <v>10</v>
      </c>
      <c r="K9" s="127">
        <v>11</v>
      </c>
      <c r="L9" s="128">
        <v>12</v>
      </c>
      <c r="M9" s="127">
        <v>13</v>
      </c>
      <c r="N9" s="128">
        <v>16</v>
      </c>
      <c r="O9" s="129">
        <v>17</v>
      </c>
      <c r="P9" s="128">
        <v>18</v>
      </c>
      <c r="Q9" s="129">
        <v>19</v>
      </c>
      <c r="R9" s="128">
        <v>20</v>
      </c>
      <c r="S9" s="128"/>
      <c r="T9" s="128"/>
      <c r="U9" s="129">
        <v>27</v>
      </c>
      <c r="V9" s="128">
        <v>19</v>
      </c>
      <c r="W9" s="128">
        <v>20</v>
      </c>
      <c r="X9" s="128"/>
      <c r="Y9" s="128">
        <v>21</v>
      </c>
      <c r="Z9" s="121"/>
    </row>
    <row r="10" spans="1:26" ht="15.75" customHeight="1">
      <c r="A10" s="125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9"/>
      <c r="J10" s="139"/>
      <c r="K10" s="24">
        <f>CDPS!D38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30"/>
    </row>
    <row r="11" spans="1:26" ht="15.75" customHeight="1">
      <c r="A11" s="125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9"/>
      <c r="J11" s="139"/>
      <c r="K11" s="24">
        <f>SUMIF(KHC,L11,TH)</f>
        <v>115599418</v>
      </c>
      <c r="L11" s="26" t="s">
        <v>707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30"/>
    </row>
    <row r="12" spans="1:26" ht="15.75" customHeight="1">
      <c r="A12" s="125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9"/>
      <c r="J12" s="139"/>
      <c r="K12" s="24">
        <f>SUMIF(KHN,M12,TH)</f>
        <v>957706400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30"/>
    </row>
    <row r="13" spans="1:26" ht="15.75" customHeight="1">
      <c r="A13" s="125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40"/>
      <c r="J13" s="140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/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30"/>
    </row>
    <row r="14" spans="1:26" ht="15.75" customHeight="1">
      <c r="A14" s="125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1382</v>
      </c>
      <c r="G14" s="22"/>
      <c r="H14" s="23"/>
      <c r="I14" s="139"/>
      <c r="J14" s="139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30"/>
    </row>
    <row r="15" spans="1:26" ht="15.75" customHeight="1">
      <c r="A15" s="125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9"/>
      <c r="J15" s="139"/>
      <c r="K15" s="24">
        <f>SUMIF(KHN,M15,TH)</f>
        <v>3939014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30"/>
    </row>
    <row r="16" spans="1:26" ht="15.75" customHeight="1">
      <c r="A16" s="125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9"/>
      <c r="J16" s="139"/>
      <c r="K16" s="24">
        <f>SUMIF(KHN,M16,TH)</f>
        <v>68192198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>x</v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30"/>
    </row>
    <row r="17" spans="1:26" ht="15.75" customHeight="1">
      <c r="A17" s="125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9"/>
      <c r="J17" s="139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30"/>
    </row>
    <row r="18" spans="1:26" ht="15.75" customHeight="1">
      <c r="A18" s="125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9"/>
      <c r="J18" s="139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30"/>
    </row>
    <row r="19" spans="1:26" ht="15.75" customHeight="1">
      <c r="A19" s="125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9"/>
      <c r="J19" s="139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30"/>
    </row>
    <row r="20" spans="1:26" ht="15.75" customHeight="1">
      <c r="A20" s="125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9"/>
      <c r="J20" s="139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30"/>
    </row>
    <row r="21" spans="1:26" ht="15.75" customHeight="1">
      <c r="A21" s="125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1381</v>
      </c>
      <c r="G21" s="22"/>
      <c r="H21" s="23"/>
      <c r="I21" s="139"/>
      <c r="J21" s="139"/>
      <c r="K21" s="24">
        <v>102666775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30"/>
    </row>
    <row r="22" spans="1:26" ht="15.75" customHeight="1">
      <c r="A22" s="125" t="str">
        <f>IF(B22&lt;&gt;"",IF(AND(B22&gt;=_TM1,B22&lt;=_TM2,OR(TH!L22="1111",TH!M22="1111")),TH!D22,""),"")</f>
        <v/>
      </c>
      <c r="B22" s="11">
        <f t="shared" ref="B22:B85" si="3">IF(C22&lt;&gt;"",MONTH(C22),"")</f>
        <v>4</v>
      </c>
      <c r="C22" s="110">
        <f>E22</f>
        <v>40634</v>
      </c>
      <c r="D22" s="110" t="s">
        <v>409</v>
      </c>
      <c r="E22" s="110">
        <v>40634</v>
      </c>
      <c r="F22" s="114" t="s">
        <v>763</v>
      </c>
      <c r="G22" s="240"/>
      <c r="H22" s="4" t="s">
        <v>340</v>
      </c>
      <c r="I22" s="141"/>
      <c r="J22" s="141"/>
      <c r="K22" s="238">
        <v>1700000000</v>
      </c>
      <c r="L22" s="239" t="s">
        <v>44</v>
      </c>
      <c r="M22" s="239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35"/>
    </row>
    <row r="23" spans="1:26" ht="15.75" customHeight="1">
      <c r="A23" s="125" t="str">
        <f>IF(B23&lt;&gt;"",IF(AND(B23&gt;=_TM1,B23&lt;=_TM2,OR(TH!L23="1111",TH!M23="1111")),TH!D23,""),"")</f>
        <v/>
      </c>
      <c r="B23" s="11">
        <f t="shared" si="3"/>
        <v>4</v>
      </c>
      <c r="C23" s="110">
        <f>E23</f>
        <v>40634</v>
      </c>
      <c r="D23" s="110" t="s">
        <v>410</v>
      </c>
      <c r="E23" s="110">
        <v>40634</v>
      </c>
      <c r="F23" s="114" t="s">
        <v>763</v>
      </c>
      <c r="G23" s="240"/>
      <c r="H23" s="4" t="s">
        <v>760</v>
      </c>
      <c r="I23" s="141"/>
      <c r="J23" s="141"/>
      <c r="K23" s="238">
        <v>100000000</v>
      </c>
      <c r="L23" s="239" t="s">
        <v>44</v>
      </c>
      <c r="M23" s="239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35"/>
    </row>
    <row r="24" spans="1:26" ht="15.75" customHeight="1">
      <c r="A24" s="125" t="str">
        <f>IF(B24&lt;&gt;"",IF(AND(B24&gt;=_TM1,B24&lt;=_TM2,OR(TH!L24="1111",TH!M24="1111")),TH!D24,""),"")</f>
        <v/>
      </c>
      <c r="B24" s="11">
        <f t="shared" si="3"/>
        <v>4</v>
      </c>
      <c r="C24" s="110">
        <f>E24</f>
        <v>40634</v>
      </c>
      <c r="D24" s="110" t="s">
        <v>637</v>
      </c>
      <c r="E24" s="110">
        <v>40634</v>
      </c>
      <c r="F24" s="114" t="s">
        <v>763</v>
      </c>
      <c r="G24" s="240"/>
      <c r="H24" s="4" t="s">
        <v>761</v>
      </c>
      <c r="I24" s="141"/>
      <c r="J24" s="141"/>
      <c r="K24" s="238">
        <v>100000000</v>
      </c>
      <c r="L24" s="239" t="s">
        <v>44</v>
      </c>
      <c r="M24" s="239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35"/>
    </row>
    <row r="25" spans="1:26" ht="15.75" customHeight="1">
      <c r="A25" s="125" t="str">
        <f>IF(B25&lt;&gt;"",IF(AND(B25&gt;=_TM1,B25&lt;=_TM2,OR(TH!L25="1111",TH!M25="1111")),TH!D25,""),"")</f>
        <v/>
      </c>
      <c r="B25" s="11">
        <f t="shared" si="3"/>
        <v>4</v>
      </c>
      <c r="C25" s="110">
        <v>40634</v>
      </c>
      <c r="D25" s="110" t="s">
        <v>411</v>
      </c>
      <c r="E25" s="12">
        <v>40630</v>
      </c>
      <c r="F25" s="114" t="s">
        <v>396</v>
      </c>
      <c r="G25" s="248" t="s">
        <v>397</v>
      </c>
      <c r="H25" s="4" t="s">
        <v>371</v>
      </c>
      <c r="I25" s="141"/>
      <c r="J25" s="141"/>
      <c r="K25" s="13">
        <v>318182</v>
      </c>
      <c r="L25" s="239" t="s">
        <v>744</v>
      </c>
      <c r="M25" s="239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35">
        <v>4</v>
      </c>
    </row>
    <row r="26" spans="1:26" ht="15.75" customHeight="1">
      <c r="A26" s="125" t="str">
        <f>IF(B26&lt;&gt;"",IF(AND(B26&gt;=_TM1,B26&lt;=_TM2,OR(TH!L26="1111",TH!M26="1111")),TH!D26,""),"")</f>
        <v/>
      </c>
      <c r="B26" s="11">
        <f t="shared" si="3"/>
        <v>4</v>
      </c>
      <c r="C26" s="110">
        <v>40634</v>
      </c>
      <c r="D26" s="110" t="s">
        <v>411</v>
      </c>
      <c r="E26" s="12">
        <v>40630</v>
      </c>
      <c r="F26" s="114" t="s">
        <v>398</v>
      </c>
      <c r="G26" s="248" t="s">
        <v>397</v>
      </c>
      <c r="H26" s="4" t="s">
        <v>371</v>
      </c>
      <c r="I26" s="141"/>
      <c r="J26" s="141"/>
      <c r="K26" s="13">
        <v>31818</v>
      </c>
      <c r="L26" s="239" t="s">
        <v>9</v>
      </c>
      <c r="M26" s="239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35">
        <v>4</v>
      </c>
    </row>
    <row r="27" spans="1:26" ht="15.75" customHeight="1">
      <c r="A27" s="125" t="str">
        <f>IF(B27&lt;&gt;"",IF(AND(B27&gt;=_TM1,B27&lt;=_TM2,OR(TH!L27="1111",TH!M27="1111")),TH!D27,""),"")</f>
        <v/>
      </c>
      <c r="B27" s="11">
        <f t="shared" si="3"/>
        <v>4</v>
      </c>
      <c r="C27" s="110">
        <v>40634</v>
      </c>
      <c r="D27" s="110" t="s">
        <v>411</v>
      </c>
      <c r="E27" s="12">
        <v>40631</v>
      </c>
      <c r="F27" s="114" t="s">
        <v>399</v>
      </c>
      <c r="G27" s="221" t="s">
        <v>401</v>
      </c>
      <c r="H27" s="4" t="s">
        <v>371</v>
      </c>
      <c r="I27" s="141"/>
      <c r="J27" s="141"/>
      <c r="K27" s="13">
        <v>377273</v>
      </c>
      <c r="L27" s="239" t="s">
        <v>744</v>
      </c>
      <c r="M27" s="239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35">
        <v>4</v>
      </c>
    </row>
    <row r="28" spans="1:26" ht="15.75" customHeight="1">
      <c r="A28" s="125" t="str">
        <f>IF(B28&lt;&gt;"",IF(AND(B28&gt;=_TM1,B28&lt;=_TM2,OR(TH!L28="1111",TH!M28="1111")),TH!D28,""),"")</f>
        <v/>
      </c>
      <c r="B28" s="11">
        <f t="shared" si="3"/>
        <v>4</v>
      </c>
      <c r="C28" s="110">
        <v>40634</v>
      </c>
      <c r="D28" s="110" t="s">
        <v>411</v>
      </c>
      <c r="E28" s="12">
        <v>40631</v>
      </c>
      <c r="F28" s="114" t="s">
        <v>400</v>
      </c>
      <c r="G28" s="221" t="s">
        <v>401</v>
      </c>
      <c r="H28" s="4" t="s">
        <v>371</v>
      </c>
      <c r="I28" s="141"/>
      <c r="J28" s="141"/>
      <c r="K28" s="13">
        <v>37727</v>
      </c>
      <c r="L28" s="239" t="s">
        <v>9</v>
      </c>
      <c r="M28" s="239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35">
        <v>4</v>
      </c>
    </row>
    <row r="29" spans="1:26" ht="15.75" customHeight="1">
      <c r="A29" s="125" t="str">
        <f>IF(B29&lt;&gt;"",IF(AND(B29&gt;=_TM1,B29&lt;=_TM2,OR(TH!L29="1111",TH!M29="1111")),TH!D29,""),"")</f>
        <v/>
      </c>
      <c r="B29" s="11">
        <f t="shared" si="3"/>
        <v>4</v>
      </c>
      <c r="C29" s="110">
        <v>40634</v>
      </c>
      <c r="D29" s="110" t="s">
        <v>412</v>
      </c>
      <c r="E29" s="12">
        <v>40623</v>
      </c>
      <c r="F29" s="15" t="s">
        <v>404</v>
      </c>
      <c r="G29" s="221" t="s">
        <v>402</v>
      </c>
      <c r="H29" s="20" t="s">
        <v>403</v>
      </c>
      <c r="I29" s="141"/>
      <c r="J29" s="141"/>
      <c r="K29" s="249">
        <v>50000</v>
      </c>
      <c r="L29" s="239" t="s">
        <v>73</v>
      </c>
      <c r="M29" s="239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>x</v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35"/>
    </row>
    <row r="30" spans="1:26" ht="15.75" customHeight="1">
      <c r="A30" s="125" t="str">
        <f>IF(B30&lt;&gt;"",IF(AND(B30&gt;=_TM1,B30&lt;=_TM2,OR(TH!L30="1111",TH!M30="1111")),TH!D30,""),"")</f>
        <v/>
      </c>
      <c r="B30" s="11">
        <f t="shared" si="3"/>
        <v>4</v>
      </c>
      <c r="C30" s="110">
        <v>40634</v>
      </c>
      <c r="D30" s="110" t="s">
        <v>413</v>
      </c>
      <c r="E30" s="12">
        <v>40619</v>
      </c>
      <c r="F30" s="15" t="s">
        <v>406</v>
      </c>
      <c r="G30" s="221" t="s">
        <v>405</v>
      </c>
      <c r="H30" s="20" t="s">
        <v>408</v>
      </c>
      <c r="I30" s="141"/>
      <c r="J30" s="141"/>
      <c r="K30" s="13">
        <v>363636</v>
      </c>
      <c r="L30" s="239" t="s">
        <v>73</v>
      </c>
      <c r="M30" s="239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>x</v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35">
        <v>4</v>
      </c>
    </row>
    <row r="31" spans="1:26" ht="15.75" customHeight="1">
      <c r="A31" s="125" t="str">
        <f>IF(B31&lt;&gt;"",IF(AND(B31&gt;=_TM1,B31&lt;=_TM2,OR(TH!L31="1111",TH!M31="1111")),TH!D31,""),"")</f>
        <v/>
      </c>
      <c r="B31" s="11">
        <f t="shared" si="3"/>
        <v>4</v>
      </c>
      <c r="C31" s="110">
        <v>40634</v>
      </c>
      <c r="D31" s="110" t="s">
        <v>413</v>
      </c>
      <c r="E31" s="12">
        <v>40619</v>
      </c>
      <c r="F31" s="15" t="s">
        <v>407</v>
      </c>
      <c r="G31" s="221" t="s">
        <v>405</v>
      </c>
      <c r="H31" s="20" t="s">
        <v>408</v>
      </c>
      <c r="I31" s="141"/>
      <c r="J31" s="141"/>
      <c r="K31" s="13">
        <v>36364</v>
      </c>
      <c r="L31" s="239" t="s">
        <v>9</v>
      </c>
      <c r="M31" s="239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35">
        <v>4</v>
      </c>
    </row>
    <row r="32" spans="1:26" ht="15.75" customHeight="1">
      <c r="A32" s="125" t="str">
        <f>IF(B32&lt;&gt;"",IF(AND(B32&gt;=_TM1,B32&lt;=_TM2,OR(TH!L32="1111",TH!M32="1111")),TH!D32,""),"")</f>
        <v/>
      </c>
      <c r="B32" s="11">
        <f t="shared" si="3"/>
        <v>4</v>
      </c>
      <c r="C32" s="110">
        <f t="shared" ref="C32:C63" si="4">E32</f>
        <v>40636</v>
      </c>
      <c r="D32" s="110" t="s">
        <v>414</v>
      </c>
      <c r="E32" s="110">
        <v>40636</v>
      </c>
      <c r="F32" s="114" t="s">
        <v>381</v>
      </c>
      <c r="G32" s="248" t="s">
        <v>380</v>
      </c>
      <c r="H32" s="4" t="s">
        <v>371</v>
      </c>
      <c r="I32" s="141"/>
      <c r="J32" s="141"/>
      <c r="K32" s="238">
        <v>472727</v>
      </c>
      <c r="L32" s="239" t="s">
        <v>744</v>
      </c>
      <c r="M32" s="239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35">
        <v>4</v>
      </c>
    </row>
    <row r="33" spans="1:26" ht="15.75" customHeight="1">
      <c r="A33" s="125" t="str">
        <f>IF(B33&lt;&gt;"",IF(AND(B33&gt;=_TM1,B33&lt;=_TM2,OR(TH!L33="1111",TH!M33="1111")),TH!D33,""),"")</f>
        <v/>
      </c>
      <c r="B33" s="11">
        <f t="shared" si="3"/>
        <v>4</v>
      </c>
      <c r="C33" s="110">
        <f t="shared" si="4"/>
        <v>40636</v>
      </c>
      <c r="D33" s="110" t="s">
        <v>414</v>
      </c>
      <c r="E33" s="110">
        <v>40636</v>
      </c>
      <c r="F33" s="114" t="s">
        <v>373</v>
      </c>
      <c r="G33" s="248" t="s">
        <v>380</v>
      </c>
      <c r="H33" s="4" t="s">
        <v>371</v>
      </c>
      <c r="I33" s="141"/>
      <c r="J33" s="141"/>
      <c r="K33" s="238">
        <v>47273</v>
      </c>
      <c r="L33" s="239" t="s">
        <v>9</v>
      </c>
      <c r="M33" s="239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35">
        <v>4</v>
      </c>
    </row>
    <row r="34" spans="1:26" ht="15.75" customHeight="1">
      <c r="A34" s="125" t="str">
        <f>IF(B34&lt;&gt;"",IF(AND(B34&gt;=_TM1,B34&lt;=_TM2,OR(TH!L34="1111",TH!M34="1111")),TH!D34,""),"")</f>
        <v/>
      </c>
      <c r="B34" s="11">
        <f t="shared" si="3"/>
        <v>4</v>
      </c>
      <c r="C34" s="110">
        <f t="shared" si="4"/>
        <v>40637</v>
      </c>
      <c r="D34" s="110" t="s">
        <v>415</v>
      </c>
      <c r="E34" s="12">
        <v>40637</v>
      </c>
      <c r="F34" s="15" t="s">
        <v>392</v>
      </c>
      <c r="G34" s="221" t="s">
        <v>394</v>
      </c>
      <c r="H34" s="20" t="s">
        <v>395</v>
      </c>
      <c r="I34" s="141"/>
      <c r="J34" s="141"/>
      <c r="K34" s="13">
        <v>6299080</v>
      </c>
      <c r="L34" s="239" t="s">
        <v>744</v>
      </c>
      <c r="M34" s="239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35">
        <v>4</v>
      </c>
    </row>
    <row r="35" spans="1:26" ht="15.75" customHeight="1">
      <c r="A35" s="125" t="str">
        <f>IF(B35&lt;&gt;"",IF(AND(B35&gt;=_TM1,B35&lt;=_TM2,OR(TH!L35="1111",TH!M35="1111")),TH!D35,""),"")</f>
        <v/>
      </c>
      <c r="B35" s="11">
        <f t="shared" si="3"/>
        <v>4</v>
      </c>
      <c r="C35" s="110">
        <f t="shared" si="4"/>
        <v>40637</v>
      </c>
      <c r="D35" s="110" t="s">
        <v>415</v>
      </c>
      <c r="E35" s="12">
        <v>40637</v>
      </c>
      <c r="F35" s="15" t="s">
        <v>393</v>
      </c>
      <c r="G35" s="221" t="s">
        <v>394</v>
      </c>
      <c r="H35" s="20" t="s">
        <v>395</v>
      </c>
      <c r="I35" s="141"/>
      <c r="J35" s="141"/>
      <c r="K35" s="13">
        <v>629908</v>
      </c>
      <c r="L35" s="239" t="s">
        <v>9</v>
      </c>
      <c r="M35" s="239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35">
        <v>4</v>
      </c>
    </row>
    <row r="36" spans="1:26" ht="15.75" customHeight="1">
      <c r="A36" s="125" t="str">
        <f>IF(B36&lt;&gt;"",IF(AND(B36&gt;=_TM1,B36&lt;=_TM2,OR(TH!L36="1111",TH!M36="1111")),TH!D36,""),"")</f>
        <v/>
      </c>
      <c r="B36" s="11">
        <f t="shared" si="3"/>
        <v>4</v>
      </c>
      <c r="C36" s="110">
        <f t="shared" si="4"/>
        <v>40638</v>
      </c>
      <c r="D36" s="110" t="s">
        <v>416</v>
      </c>
      <c r="E36" s="110">
        <v>40638</v>
      </c>
      <c r="F36" s="114" t="s">
        <v>383</v>
      </c>
      <c r="G36" s="248" t="s">
        <v>382</v>
      </c>
      <c r="H36" s="4" t="s">
        <v>371</v>
      </c>
      <c r="I36" s="141"/>
      <c r="J36" s="141"/>
      <c r="K36" s="238">
        <v>618181</v>
      </c>
      <c r="L36" s="239" t="s">
        <v>744</v>
      </c>
      <c r="M36" s="239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35">
        <v>4</v>
      </c>
    </row>
    <row r="37" spans="1:26" ht="15.75" customHeight="1">
      <c r="A37" s="125" t="str">
        <f>IF(B37&lt;&gt;"",IF(AND(B37&gt;=_TM1,B37&lt;=_TM2,OR(TH!L37="1111",TH!M37="1111")),TH!D37,""),"")</f>
        <v/>
      </c>
      <c r="B37" s="11">
        <f t="shared" si="3"/>
        <v>4</v>
      </c>
      <c r="C37" s="110">
        <f t="shared" si="4"/>
        <v>40638</v>
      </c>
      <c r="D37" s="110" t="s">
        <v>416</v>
      </c>
      <c r="E37" s="110">
        <v>40638</v>
      </c>
      <c r="F37" s="114" t="s">
        <v>373</v>
      </c>
      <c r="G37" s="248" t="s">
        <v>382</v>
      </c>
      <c r="H37" s="4" t="s">
        <v>371</v>
      </c>
      <c r="I37" s="141"/>
      <c r="J37" s="141"/>
      <c r="K37" s="238">
        <v>61818</v>
      </c>
      <c r="L37" s="239" t="s">
        <v>9</v>
      </c>
      <c r="M37" s="239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35">
        <v>4</v>
      </c>
    </row>
    <row r="38" spans="1:26" ht="15.75" customHeight="1">
      <c r="A38" s="125" t="str">
        <f>IF(B38&lt;&gt;"",IF(AND(B38&gt;=_TM1,B38&lt;=_TM2,OR(TH!L38="1111",TH!M38="1111")),TH!D38,""),"")</f>
        <v/>
      </c>
      <c r="B38" s="11">
        <f t="shared" si="3"/>
        <v>4</v>
      </c>
      <c r="C38" s="110">
        <f t="shared" si="4"/>
        <v>40638</v>
      </c>
      <c r="D38" s="110" t="s">
        <v>417</v>
      </c>
      <c r="E38" s="110">
        <v>40638</v>
      </c>
      <c r="F38" s="114" t="s">
        <v>385</v>
      </c>
      <c r="G38" s="248" t="s">
        <v>384</v>
      </c>
      <c r="H38" s="4" t="s">
        <v>387</v>
      </c>
      <c r="I38" s="141"/>
      <c r="J38" s="141"/>
      <c r="K38" s="238">
        <v>2000000</v>
      </c>
      <c r="L38" s="239" t="s">
        <v>73</v>
      </c>
      <c r="M38" s="239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>x</v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35">
        <v>4</v>
      </c>
    </row>
    <row r="39" spans="1:26" ht="15.75" customHeight="1">
      <c r="A39" s="125" t="str">
        <f>IF(B39&lt;&gt;"",IF(AND(B39&gt;=_TM1,B39&lt;=_TM2,OR(TH!L39="1111",TH!M39="1111")),TH!D39,""),"")</f>
        <v/>
      </c>
      <c r="B39" s="11">
        <f t="shared" si="3"/>
        <v>4</v>
      </c>
      <c r="C39" s="110">
        <f t="shared" si="4"/>
        <v>40638</v>
      </c>
      <c r="D39" s="110" t="s">
        <v>417</v>
      </c>
      <c r="E39" s="110">
        <v>40638</v>
      </c>
      <c r="F39" s="114" t="s">
        <v>386</v>
      </c>
      <c r="G39" s="248" t="s">
        <v>384</v>
      </c>
      <c r="H39" s="4" t="s">
        <v>387</v>
      </c>
      <c r="I39" s="141"/>
      <c r="J39" s="141"/>
      <c r="K39" s="238">
        <v>200000</v>
      </c>
      <c r="L39" s="239" t="s">
        <v>9</v>
      </c>
      <c r="M39" s="239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35">
        <v>4</v>
      </c>
    </row>
    <row r="40" spans="1:26" ht="15.75" customHeight="1">
      <c r="A40" s="125" t="str">
        <f>IF(B40&lt;&gt;"",IF(AND(B40&gt;=_TM1,B40&lt;=_TM2,OR(TH!L40="1111",TH!M40="1111")),TH!D40,""),"")</f>
        <v/>
      </c>
      <c r="B40" s="11">
        <f t="shared" si="3"/>
        <v>4</v>
      </c>
      <c r="C40" s="110">
        <f t="shared" si="4"/>
        <v>40638</v>
      </c>
      <c r="D40" s="110" t="s">
        <v>418</v>
      </c>
      <c r="E40" s="110">
        <v>40638</v>
      </c>
      <c r="F40" s="114" t="s">
        <v>389</v>
      </c>
      <c r="G40" s="248" t="s">
        <v>388</v>
      </c>
      <c r="H40" s="4" t="s">
        <v>391</v>
      </c>
      <c r="I40" s="141"/>
      <c r="J40" s="141"/>
      <c r="K40" s="238">
        <v>108000</v>
      </c>
      <c r="L40" s="239" t="s">
        <v>73</v>
      </c>
      <c r="M40" s="239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>x</v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35">
        <v>4</v>
      </c>
    </row>
    <row r="41" spans="1:26" ht="15.75" customHeight="1">
      <c r="A41" s="125" t="str">
        <f>IF(B41&lt;&gt;"",IF(AND(B41&gt;=_TM1,B41&lt;=_TM2,OR(TH!L41="1111",TH!M41="1111")),TH!D41,""),"")</f>
        <v/>
      </c>
      <c r="B41" s="11">
        <f t="shared" si="3"/>
        <v>4</v>
      </c>
      <c r="C41" s="110">
        <f t="shared" si="4"/>
        <v>40638</v>
      </c>
      <c r="D41" s="110" t="s">
        <v>418</v>
      </c>
      <c r="E41" s="110">
        <v>40638</v>
      </c>
      <c r="F41" s="114" t="s">
        <v>390</v>
      </c>
      <c r="G41" s="248" t="s">
        <v>388</v>
      </c>
      <c r="H41" s="4" t="s">
        <v>391</v>
      </c>
      <c r="I41" s="141"/>
      <c r="J41" s="141"/>
      <c r="K41" s="13">
        <v>10800</v>
      </c>
      <c r="L41" s="239" t="s">
        <v>9</v>
      </c>
      <c r="M41" s="239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35">
        <v>4</v>
      </c>
    </row>
    <row r="42" spans="1:26" ht="15.75" customHeight="1">
      <c r="A42" s="125" t="str">
        <f>IF(B42&lt;&gt;"",IF(AND(B42&gt;=_TM1,B42&lt;=_TM2,OR(TH!L42="1111",TH!M42="1111")),TH!D42,""),"")</f>
        <v/>
      </c>
      <c r="B42" s="11">
        <f t="shared" si="3"/>
        <v>4</v>
      </c>
      <c r="C42" s="110">
        <f t="shared" si="4"/>
        <v>40640</v>
      </c>
      <c r="D42" s="110" t="s">
        <v>419</v>
      </c>
      <c r="E42" s="110">
        <v>40640</v>
      </c>
      <c r="F42" s="114" t="s">
        <v>339</v>
      </c>
      <c r="G42" s="240" t="s">
        <v>307</v>
      </c>
      <c r="H42" s="19" t="s">
        <v>340</v>
      </c>
      <c r="I42" s="141"/>
      <c r="J42" s="141"/>
      <c r="K42" s="238">
        <v>200000000</v>
      </c>
      <c r="L42" s="239" t="s">
        <v>23</v>
      </c>
      <c r="M42" s="239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35"/>
    </row>
    <row r="43" spans="1:26" ht="15.75" customHeight="1">
      <c r="A43" s="125" t="str">
        <f>IF(B43&lt;&gt;"",IF(AND(B43&gt;=_TM1,B43&lt;=_TM2,OR(TH!L43="1111",TH!M43="1111")),TH!D43,""),"")</f>
        <v/>
      </c>
      <c r="B43" s="11">
        <f t="shared" si="3"/>
        <v>4</v>
      </c>
      <c r="C43" s="110">
        <f t="shared" si="4"/>
        <v>40642</v>
      </c>
      <c r="D43" s="110" t="s">
        <v>634</v>
      </c>
      <c r="E43" s="110">
        <v>40642</v>
      </c>
      <c r="F43" s="114" t="s">
        <v>1025</v>
      </c>
      <c r="G43" s="248" t="s">
        <v>375</v>
      </c>
      <c r="H43" s="4" t="s">
        <v>476</v>
      </c>
      <c r="I43" s="141"/>
      <c r="J43" s="141"/>
      <c r="K43" s="238">
        <v>5947392</v>
      </c>
      <c r="L43" s="239" t="s">
        <v>8</v>
      </c>
      <c r="M43" s="239" t="s">
        <v>44</v>
      </c>
      <c r="N43" s="25" t="str">
        <f>IF(AND('331-CT'!$E$7=TH!H43,OR(L43="331",M43="331")),"331",IF(AND(OR(L43="131",M43="131"),H43='131-CT'!$E$7),"131",""))</f>
        <v>331</v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>x</v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35"/>
    </row>
    <row r="44" spans="1:26" ht="15.75" customHeight="1">
      <c r="A44" s="125" t="str">
        <f>IF(B44&lt;&gt;"",IF(AND(B44&gt;=_TM1,B44&lt;=_TM2,OR(TH!L44="1111",TH!M44="1111")),TH!D44,""),"")</f>
        <v/>
      </c>
      <c r="B44" s="11">
        <f t="shared" si="3"/>
        <v>4</v>
      </c>
      <c r="C44" s="110">
        <f t="shared" si="4"/>
        <v>40642</v>
      </c>
      <c r="D44" s="110" t="s">
        <v>674</v>
      </c>
      <c r="E44" s="110">
        <v>40642</v>
      </c>
      <c r="F44" s="114" t="s">
        <v>376</v>
      </c>
      <c r="G44" s="248" t="s">
        <v>375</v>
      </c>
      <c r="H44" s="4" t="s">
        <v>476</v>
      </c>
      <c r="I44" s="141">
        <v>50</v>
      </c>
      <c r="J44" s="141">
        <v>15998</v>
      </c>
      <c r="K44" s="238">
        <f>ROUND(I44*J44,0)</f>
        <v>799900</v>
      </c>
      <c r="L44" s="239" t="s">
        <v>147</v>
      </c>
      <c r="M44" s="239" t="s">
        <v>8</v>
      </c>
      <c r="N44" s="25" t="str">
        <f>IF(AND('331-CT'!$E$7=TH!H44,OR(L44="331",M44="331")),"331",IF(AND(OR(L44="131",M44="131"),H44='131-CT'!$E$7),"131",""))</f>
        <v>331</v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35">
        <v>4</v>
      </c>
    </row>
    <row r="45" spans="1:26" ht="15.75" customHeight="1">
      <c r="A45" s="125" t="str">
        <f>IF(B45&lt;&gt;"",IF(AND(B45&gt;=_TM1,B45&lt;=_TM2,OR(TH!L45="1111",TH!M45="1111")),TH!D45,""),"")</f>
        <v/>
      </c>
      <c r="B45" s="11">
        <f t="shared" si="3"/>
        <v>4</v>
      </c>
      <c r="C45" s="110">
        <f t="shared" si="4"/>
        <v>40642</v>
      </c>
      <c r="D45" s="110" t="s">
        <v>674</v>
      </c>
      <c r="E45" s="110">
        <v>40642</v>
      </c>
      <c r="F45" s="114" t="s">
        <v>377</v>
      </c>
      <c r="G45" s="248" t="s">
        <v>375</v>
      </c>
      <c r="H45" s="4" t="s">
        <v>476</v>
      </c>
      <c r="I45" s="141">
        <v>50</v>
      </c>
      <c r="J45" s="141">
        <v>10830</v>
      </c>
      <c r="K45" s="238">
        <f>ROUND(I45*J45,0)</f>
        <v>541500</v>
      </c>
      <c r="L45" s="239" t="s">
        <v>147</v>
      </c>
      <c r="M45" s="239" t="s">
        <v>8</v>
      </c>
      <c r="N45" s="25" t="str">
        <f>IF(AND('331-CT'!$E$7=TH!H45,OR(L45="331",M45="331")),"331",IF(AND(OR(L45="131",M45="131"),H45='131-CT'!$E$7),"131",""))</f>
        <v>331</v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35">
        <v>4</v>
      </c>
    </row>
    <row r="46" spans="1:26" ht="15.75" customHeight="1">
      <c r="A46" s="125" t="str">
        <f>IF(B46&lt;&gt;"",IF(AND(B46&gt;=_TM1,B46&lt;=_TM2,OR(TH!L46="1111",TH!M46="1111")),TH!D46,""),"")</f>
        <v/>
      </c>
      <c r="B46" s="11">
        <f t="shared" si="3"/>
        <v>4</v>
      </c>
      <c r="C46" s="110">
        <f t="shared" si="4"/>
        <v>40642</v>
      </c>
      <c r="D46" s="110" t="s">
        <v>674</v>
      </c>
      <c r="E46" s="110">
        <v>40642</v>
      </c>
      <c r="F46" s="114" t="s">
        <v>378</v>
      </c>
      <c r="G46" s="248" t="s">
        <v>375</v>
      </c>
      <c r="H46" s="4" t="s">
        <v>476</v>
      </c>
      <c r="I46" s="141">
        <v>10</v>
      </c>
      <c r="J46" s="141">
        <v>36792</v>
      </c>
      <c r="K46" s="238">
        <f>ROUND(I46*J46,0)</f>
        <v>367920</v>
      </c>
      <c r="L46" s="239" t="s">
        <v>147</v>
      </c>
      <c r="M46" s="239" t="s">
        <v>8</v>
      </c>
      <c r="N46" s="25" t="str">
        <f>IF(AND('331-CT'!$E$7=TH!H46,OR(L46="331",M46="331")),"331",IF(AND(OR(L46="131",M46="131"),H46='131-CT'!$E$7),"131",""))</f>
        <v>331</v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35">
        <v>4</v>
      </c>
    </row>
    <row r="47" spans="1:26" ht="15.75" customHeight="1">
      <c r="A47" s="125" t="str">
        <f>IF(B47&lt;&gt;"",IF(AND(B47&gt;=_TM1,B47&lt;=_TM2,OR(TH!L47="1111",TH!M47="1111")),TH!D47,""),"")</f>
        <v/>
      </c>
      <c r="B47" s="11">
        <f t="shared" si="3"/>
        <v>4</v>
      </c>
      <c r="C47" s="110">
        <f t="shared" si="4"/>
        <v>40642</v>
      </c>
      <c r="D47" s="110" t="s">
        <v>674</v>
      </c>
      <c r="E47" s="110">
        <v>40642</v>
      </c>
      <c r="F47" s="114" t="s">
        <v>379</v>
      </c>
      <c r="G47" s="248" t="s">
        <v>375</v>
      </c>
      <c r="H47" s="4" t="s">
        <v>476</v>
      </c>
      <c r="I47" s="141">
        <v>152</v>
      </c>
      <c r="J47" s="141">
        <v>24325</v>
      </c>
      <c r="K47" s="238">
        <f>ROUND(I47*J47,0)</f>
        <v>3697400</v>
      </c>
      <c r="L47" s="239" t="s">
        <v>147</v>
      </c>
      <c r="M47" s="239" t="s">
        <v>8</v>
      </c>
      <c r="N47" s="25" t="str">
        <f>IF(AND('331-CT'!$E$7=TH!H47,OR(L47="331",M47="331")),"331",IF(AND(OR(L47="131",M47="131"),H47='131-CT'!$E$7),"131",""))</f>
        <v>331</v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35">
        <v>4</v>
      </c>
    </row>
    <row r="48" spans="1:26" ht="15.75" customHeight="1">
      <c r="A48" s="125" t="str">
        <f>IF(B48&lt;&gt;"",IF(AND(B48&gt;=_TM1,B48&lt;=_TM2,OR(TH!L48="1111",TH!M48="1111")),TH!D48,""),"")</f>
        <v/>
      </c>
      <c r="B48" s="11">
        <f t="shared" si="3"/>
        <v>4</v>
      </c>
      <c r="C48" s="110">
        <f t="shared" si="4"/>
        <v>40642</v>
      </c>
      <c r="D48" s="110" t="s">
        <v>674</v>
      </c>
      <c r="E48" s="110">
        <v>40642</v>
      </c>
      <c r="F48" s="114" t="s">
        <v>357</v>
      </c>
      <c r="G48" s="248" t="s">
        <v>375</v>
      </c>
      <c r="H48" s="4" t="s">
        <v>476</v>
      </c>
      <c r="I48" s="141"/>
      <c r="J48" s="141"/>
      <c r="K48" s="238">
        <v>540672</v>
      </c>
      <c r="L48" s="239" t="s">
        <v>9</v>
      </c>
      <c r="M48" s="239" t="s">
        <v>8</v>
      </c>
      <c r="N48" s="25" t="str">
        <f>IF(AND('331-CT'!$E$7=TH!H48,OR(L48="331",M48="331")),"331",IF(AND(OR(L48="131",M48="131"),H48='131-CT'!$E$7),"131",""))</f>
        <v>331</v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/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35">
        <v>4</v>
      </c>
    </row>
    <row r="49" spans="1:26" ht="15.75" customHeight="1">
      <c r="A49" s="125" t="str">
        <f>IF(B49&lt;&gt;"",IF(AND(B49&gt;=_TM1,B49&lt;=_TM2,OR(TH!L49="1111",TH!M49="1111")),TH!D49,""),"")</f>
        <v/>
      </c>
      <c r="B49" s="11">
        <f t="shared" si="3"/>
        <v>4</v>
      </c>
      <c r="C49" s="12">
        <f t="shared" si="4"/>
        <v>40644</v>
      </c>
      <c r="D49" s="110" t="s">
        <v>635</v>
      </c>
      <c r="E49" s="110">
        <v>40644</v>
      </c>
      <c r="F49" s="15" t="s">
        <v>614</v>
      </c>
      <c r="G49" s="248" t="s">
        <v>367</v>
      </c>
      <c r="H49" s="4" t="s">
        <v>368</v>
      </c>
      <c r="I49" s="141"/>
      <c r="J49" s="141"/>
      <c r="K49" s="13">
        <v>1292500</v>
      </c>
      <c r="L49" s="14" t="s">
        <v>8</v>
      </c>
      <c r="M49" s="14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35"/>
    </row>
    <row r="50" spans="1:26" ht="15.75" customHeight="1">
      <c r="A50" s="125" t="str">
        <f>IF(B50&lt;&gt;"",IF(AND(B50&gt;=_TM1,B50&lt;=_TM2,OR(TH!L50="1111",TH!M50="1111")),TH!D50,""),"")</f>
        <v/>
      </c>
      <c r="B50" s="11">
        <f t="shared" si="3"/>
        <v>4</v>
      </c>
      <c r="C50" s="12">
        <f t="shared" si="4"/>
        <v>40644</v>
      </c>
      <c r="D50" s="110" t="s">
        <v>636</v>
      </c>
      <c r="E50" s="110">
        <v>40644</v>
      </c>
      <c r="F50" s="15" t="s">
        <v>504</v>
      </c>
      <c r="G50" s="248" t="s">
        <v>370</v>
      </c>
      <c r="H50" s="4" t="s">
        <v>369</v>
      </c>
      <c r="I50" s="141"/>
      <c r="J50" s="141"/>
      <c r="K50" s="13">
        <v>2217600</v>
      </c>
      <c r="L50" s="14" t="s">
        <v>8</v>
      </c>
      <c r="M50" s="14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35"/>
    </row>
    <row r="51" spans="1:26" ht="15.75" customHeight="1">
      <c r="A51" s="125" t="str">
        <f>IF(B51&lt;&gt;"",IF(AND(B51&gt;=_TM1,B51&lt;=_TM2,OR(TH!L51="1111",TH!M51="1111")),TH!D51,""),"")</f>
        <v/>
      </c>
      <c r="B51" s="11">
        <f t="shared" si="3"/>
        <v>4</v>
      </c>
      <c r="C51" s="110">
        <f t="shared" si="4"/>
        <v>40644</v>
      </c>
      <c r="D51" s="110" t="s">
        <v>638</v>
      </c>
      <c r="E51" s="110">
        <v>40644</v>
      </c>
      <c r="F51" s="114" t="s">
        <v>374</v>
      </c>
      <c r="G51" s="248" t="s">
        <v>372</v>
      </c>
      <c r="H51" s="4" t="s">
        <v>371</v>
      </c>
      <c r="I51" s="141"/>
      <c r="J51" s="141"/>
      <c r="K51" s="238">
        <v>1409091</v>
      </c>
      <c r="L51" s="239" t="s">
        <v>744</v>
      </c>
      <c r="M51" s="239" t="s">
        <v>44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>x</v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/>
      </c>
      <c r="Y51" s="25" t="str">
        <f>IF(AND(B51&lt;=NKC!$N$8,B51&gt;=NKC!$M$8),"x","")</f>
        <v/>
      </c>
      <c r="Z51" s="235">
        <v>4</v>
      </c>
    </row>
    <row r="52" spans="1:26" ht="15.75" customHeight="1">
      <c r="A52" s="125" t="str">
        <f>IF(B52&lt;&gt;"",IF(AND(B52&gt;=_TM1,B52&lt;=_TM2,OR(TH!L52="1111",TH!M52="1111")),TH!D52,""),"")</f>
        <v/>
      </c>
      <c r="B52" s="11">
        <f t="shared" si="3"/>
        <v>4</v>
      </c>
      <c r="C52" s="110">
        <f t="shared" si="4"/>
        <v>40644</v>
      </c>
      <c r="D52" s="110" t="s">
        <v>638</v>
      </c>
      <c r="E52" s="110">
        <v>40644</v>
      </c>
      <c r="F52" s="114" t="s">
        <v>373</v>
      </c>
      <c r="G52" s="248" t="s">
        <v>372</v>
      </c>
      <c r="H52" s="4" t="s">
        <v>371</v>
      </c>
      <c r="I52" s="141"/>
      <c r="J52" s="141"/>
      <c r="K52" s="238">
        <v>140909</v>
      </c>
      <c r="L52" s="239" t="s">
        <v>9</v>
      </c>
      <c r="M52" s="239" t="s">
        <v>44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>x</v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35">
        <v>4</v>
      </c>
    </row>
    <row r="53" spans="1:26" ht="15.75" customHeight="1">
      <c r="A53" s="125" t="str">
        <f>IF(B53&lt;&gt;"",IF(AND(B53&gt;=_TM1,B53&lt;=_TM2,OR(TH!L53="1111",TH!M53="1111")),TH!D53,""),"")</f>
        <v/>
      </c>
      <c r="B53" s="11">
        <f t="shared" si="3"/>
        <v>4</v>
      </c>
      <c r="C53" s="110">
        <f t="shared" si="4"/>
        <v>40644</v>
      </c>
      <c r="D53" s="110" t="s">
        <v>671</v>
      </c>
      <c r="E53" s="110">
        <v>40644</v>
      </c>
      <c r="F53" s="114" t="s">
        <v>365</v>
      </c>
      <c r="G53" s="248" t="s">
        <v>367</v>
      </c>
      <c r="H53" s="4" t="s">
        <v>368</v>
      </c>
      <c r="I53" s="141">
        <v>50</v>
      </c>
      <c r="J53" s="141">
        <v>23500</v>
      </c>
      <c r="K53" s="238">
        <f>ROUND(I53*J53,0)</f>
        <v>1175000</v>
      </c>
      <c r="L53" s="239" t="s">
        <v>149</v>
      </c>
      <c r="M53" s="239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>x</v>
      </c>
      <c r="Y53" s="25" t="str">
        <f>IF(AND(B53&lt;=NKC!$N$8,B53&gt;=NKC!$M$8),"x","")</f>
        <v/>
      </c>
      <c r="Z53" s="235">
        <v>4</v>
      </c>
    </row>
    <row r="54" spans="1:26" ht="15.75" customHeight="1">
      <c r="A54" s="125" t="str">
        <f>IF(B54&lt;&gt;"",IF(AND(B54&gt;=_TM1,B54&lt;=_TM2,OR(TH!L54="1111",TH!M54="1111")),TH!D54,""),"")</f>
        <v/>
      </c>
      <c r="B54" s="11">
        <f t="shared" si="3"/>
        <v>4</v>
      </c>
      <c r="C54" s="110">
        <f t="shared" si="4"/>
        <v>40644</v>
      </c>
      <c r="D54" s="110" t="s">
        <v>671</v>
      </c>
      <c r="E54" s="110">
        <v>40644</v>
      </c>
      <c r="F54" s="114" t="s">
        <v>366</v>
      </c>
      <c r="G54" s="248" t="s">
        <v>367</v>
      </c>
      <c r="H54" s="4" t="s">
        <v>368</v>
      </c>
      <c r="I54" s="141"/>
      <c r="J54" s="141"/>
      <c r="K54" s="238">
        <v>117500</v>
      </c>
      <c r="L54" s="239" t="s">
        <v>9</v>
      </c>
      <c r="M54" s="239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35">
        <v>4</v>
      </c>
    </row>
    <row r="55" spans="1:26" ht="15.75" customHeight="1">
      <c r="A55" s="125" t="str">
        <f>IF(B55&lt;&gt;"",IF(AND(B55&gt;=_TM1,B55&lt;=_TM2,OR(TH!L55="1111",TH!M55="1111")),TH!D55,""),"")</f>
        <v/>
      </c>
      <c r="B55" s="11">
        <f t="shared" si="3"/>
        <v>4</v>
      </c>
      <c r="C55" s="110">
        <f t="shared" si="4"/>
        <v>40644</v>
      </c>
      <c r="D55" s="110" t="s">
        <v>672</v>
      </c>
      <c r="E55" s="110">
        <v>40644</v>
      </c>
      <c r="F55" s="114" t="s">
        <v>317</v>
      </c>
      <c r="G55" s="248" t="s">
        <v>370</v>
      </c>
      <c r="H55" s="4" t="s">
        <v>369</v>
      </c>
      <c r="I55" s="141">
        <v>48</v>
      </c>
      <c r="J55" s="141">
        <v>42000</v>
      </c>
      <c r="K55" s="238">
        <f>ROUND(I55*J55,0)</f>
        <v>2016000</v>
      </c>
      <c r="L55" s="239" t="s">
        <v>149</v>
      </c>
      <c r="M55" s="239" t="s">
        <v>8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/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35">
        <v>4</v>
      </c>
    </row>
    <row r="56" spans="1:26" ht="15.75" customHeight="1">
      <c r="A56" s="125" t="str">
        <f>IF(B56&lt;&gt;"",IF(AND(B56&gt;=_TM1,B56&lt;=_TM2,OR(TH!L56="1111",TH!M56="1111")),TH!D56,""),"")</f>
        <v/>
      </c>
      <c r="B56" s="11">
        <f t="shared" si="3"/>
        <v>4</v>
      </c>
      <c r="C56" s="110">
        <f t="shared" si="4"/>
        <v>40644</v>
      </c>
      <c r="D56" s="110" t="s">
        <v>672</v>
      </c>
      <c r="E56" s="110">
        <v>40644</v>
      </c>
      <c r="F56" s="114" t="s">
        <v>318</v>
      </c>
      <c r="G56" s="248" t="s">
        <v>370</v>
      </c>
      <c r="H56" s="4" t="s">
        <v>369</v>
      </c>
      <c r="I56" s="141"/>
      <c r="J56" s="141"/>
      <c r="K56" s="238">
        <v>201600</v>
      </c>
      <c r="L56" s="239" t="s">
        <v>9</v>
      </c>
      <c r="M56" s="239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/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35">
        <v>4</v>
      </c>
    </row>
    <row r="57" spans="1:26" ht="15.75" customHeight="1">
      <c r="A57" s="125" t="str">
        <f>IF(B57&lt;&gt;"",IF(AND(B57&gt;=_TM1,B57&lt;=_TM2,OR(TH!L57="1111",TH!M57="1111")),TH!D57,""),"")</f>
        <v/>
      </c>
      <c r="B57" s="11">
        <f t="shared" si="3"/>
        <v>4</v>
      </c>
      <c r="C57" s="115">
        <f t="shared" si="4"/>
        <v>40644</v>
      </c>
      <c r="D57" s="12" t="s">
        <v>903</v>
      </c>
      <c r="E57" s="304">
        <v>40644</v>
      </c>
      <c r="F57" s="217" t="s">
        <v>365</v>
      </c>
      <c r="G57" s="15"/>
      <c r="H57" s="242" t="s">
        <v>1037</v>
      </c>
      <c r="I57" s="141">
        <v>50</v>
      </c>
      <c r="J57" s="141">
        <v>23500</v>
      </c>
      <c r="K57" s="238">
        <f>ROUND(I57*J57,0)</f>
        <v>1175000</v>
      </c>
      <c r="L57" s="14" t="s">
        <v>153</v>
      </c>
      <c r="M57" s="14" t="s">
        <v>149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>x</v>
      </c>
      <c r="Y57" s="25" t="str">
        <f>IF(AND(B57&lt;=NKC!$N$8,B57&gt;=NKC!$M$8),"x","")</f>
        <v/>
      </c>
      <c r="Z57" s="121"/>
    </row>
    <row r="58" spans="1:26" ht="15.75" customHeight="1">
      <c r="A58" s="125" t="str">
        <f>IF(B58&lt;&gt;"",IF(AND(B58&gt;=_TM1,B58&lt;=_TM2,OR(TH!L58="1111",TH!M58="1111")),TH!D58,""),"")</f>
        <v/>
      </c>
      <c r="B58" s="11">
        <f t="shared" si="3"/>
        <v>4</v>
      </c>
      <c r="C58" s="115">
        <f t="shared" si="4"/>
        <v>40644</v>
      </c>
      <c r="D58" s="12" t="s">
        <v>903</v>
      </c>
      <c r="E58" s="304">
        <v>40644</v>
      </c>
      <c r="F58" s="217" t="s">
        <v>317</v>
      </c>
      <c r="G58" s="15"/>
      <c r="H58" s="242" t="s">
        <v>1037</v>
      </c>
      <c r="I58" s="141">
        <v>20</v>
      </c>
      <c r="J58" s="141">
        <v>42000</v>
      </c>
      <c r="K58" s="238">
        <f>ROUND(I58*J58,0)</f>
        <v>840000</v>
      </c>
      <c r="L58" s="14" t="s">
        <v>153</v>
      </c>
      <c r="M58" s="14" t="s">
        <v>149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/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121"/>
    </row>
    <row r="59" spans="1:26" ht="15.75" customHeight="1">
      <c r="A59" s="125" t="str">
        <f>IF(B59&lt;&gt;"",IF(AND(B59&gt;=_TM1,B59&lt;=_TM2,OR(TH!L59="1111",TH!M59="1111")),TH!D59,""),"")</f>
        <v/>
      </c>
      <c r="B59" s="11">
        <f t="shared" si="3"/>
        <v>4</v>
      </c>
      <c r="C59" s="110">
        <f t="shared" si="4"/>
        <v>40646</v>
      </c>
      <c r="D59" s="110" t="s">
        <v>639</v>
      </c>
      <c r="E59" s="110">
        <v>40646</v>
      </c>
      <c r="F59" s="114" t="s">
        <v>1025</v>
      </c>
      <c r="G59" s="248" t="s">
        <v>363</v>
      </c>
      <c r="H59" s="4" t="s">
        <v>476</v>
      </c>
      <c r="I59" s="141"/>
      <c r="J59" s="141"/>
      <c r="K59" s="238">
        <v>12234750</v>
      </c>
      <c r="L59" s="239" t="s">
        <v>8</v>
      </c>
      <c r="M59" s="239" t="s">
        <v>44</v>
      </c>
      <c r="N59" s="25" t="str">
        <f>IF(AND('331-CT'!$E$7=TH!H59,OR(L59="331",M59="331")),"331",IF(AND(OR(L59="131",M59="131"),H59='131-CT'!$E$7),"131",""))</f>
        <v>331</v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35"/>
    </row>
    <row r="60" spans="1:26" ht="15.75" customHeight="1">
      <c r="A60" s="125" t="str">
        <f>IF(B60&lt;&gt;"",IF(AND(B60&gt;=_TM1,B60&lt;=_TM2,OR(TH!L60="1111",TH!M60="1111")),TH!D60,""),"")</f>
        <v/>
      </c>
      <c r="B60" s="11">
        <f t="shared" si="3"/>
        <v>4</v>
      </c>
      <c r="C60" s="110">
        <f t="shared" si="4"/>
        <v>40646</v>
      </c>
      <c r="D60" s="110" t="s">
        <v>675</v>
      </c>
      <c r="E60" s="110">
        <v>40646</v>
      </c>
      <c r="F60" s="114" t="s">
        <v>364</v>
      </c>
      <c r="G60" s="248" t="s">
        <v>363</v>
      </c>
      <c r="H60" s="4" t="s">
        <v>476</v>
      </c>
      <c r="I60" s="315">
        <v>2500</v>
      </c>
      <c r="J60" s="141">
        <v>4449</v>
      </c>
      <c r="K60" s="238">
        <f>ROUND(I60*J60,0)</f>
        <v>11122500</v>
      </c>
      <c r="L60" s="239" t="s">
        <v>147</v>
      </c>
      <c r="M60" s="239" t="s">
        <v>8</v>
      </c>
      <c r="N60" s="25" t="str">
        <f>IF(AND('331-CT'!$E$7=TH!H60,OR(L60="331",M60="331")),"331",IF(AND(OR(L60="131",M60="131"),H60='131-CT'!$E$7),"131",""))</f>
        <v>331</v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>x</v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35">
        <v>4</v>
      </c>
    </row>
    <row r="61" spans="1:26" ht="15.75" customHeight="1">
      <c r="A61" s="125" t="str">
        <f>IF(B61&lt;&gt;"",IF(AND(B61&gt;=_TM1,B61&lt;=_TM2,OR(TH!L61="1111",TH!M61="1111")),TH!D61,""),"")</f>
        <v/>
      </c>
      <c r="B61" s="11">
        <f t="shared" si="3"/>
        <v>4</v>
      </c>
      <c r="C61" s="110">
        <f t="shared" si="4"/>
        <v>40646</v>
      </c>
      <c r="D61" s="110" t="s">
        <v>675</v>
      </c>
      <c r="E61" s="110">
        <v>40646</v>
      </c>
      <c r="F61" s="114" t="s">
        <v>357</v>
      </c>
      <c r="G61" s="248" t="s">
        <v>363</v>
      </c>
      <c r="H61" s="4" t="s">
        <v>476</v>
      </c>
      <c r="I61" s="141"/>
      <c r="J61" s="141"/>
      <c r="K61" s="238">
        <v>1112250</v>
      </c>
      <c r="L61" s="239" t="s">
        <v>9</v>
      </c>
      <c r="M61" s="239" t="s">
        <v>8</v>
      </c>
      <c r="N61" s="25" t="str">
        <f>IF(AND('331-CT'!$E$7=TH!H61,OR(L61="331",M61="331")),"331",IF(AND(OR(L61="131",M61="131"),H61='131-CT'!$E$7),"131",""))</f>
        <v>331</v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35">
        <v>4</v>
      </c>
    </row>
    <row r="62" spans="1:26" ht="15.75" customHeight="1">
      <c r="A62" s="125" t="str">
        <f>IF(B62&lt;&gt;"",IF(AND(B62&gt;=_TM1,B62&lt;=_TM2,OR(TH!L62="1111",TH!M62="1111")),TH!D62,""),"")</f>
        <v/>
      </c>
      <c r="B62" s="11">
        <f t="shared" si="3"/>
        <v>4</v>
      </c>
      <c r="C62" s="110">
        <f t="shared" si="4"/>
        <v>40646</v>
      </c>
      <c r="D62" s="110" t="s">
        <v>643</v>
      </c>
      <c r="E62" s="110">
        <v>40646</v>
      </c>
      <c r="F62" s="114" t="s">
        <v>343</v>
      </c>
      <c r="G62" s="240" t="s">
        <v>307</v>
      </c>
      <c r="H62" s="19" t="s">
        <v>340</v>
      </c>
      <c r="I62" s="141"/>
      <c r="J62" s="141"/>
      <c r="K62" s="238">
        <v>50000000</v>
      </c>
      <c r="L62" s="239" t="s">
        <v>44</v>
      </c>
      <c r="M62" s="239" t="s">
        <v>23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>x</v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>x</v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35"/>
    </row>
    <row r="63" spans="1:26" ht="15.75" customHeight="1">
      <c r="A63" s="125" t="str">
        <f>IF(B63&lt;&gt;"",IF(AND(B63&gt;=_TM1,B63&lt;=_TM2,OR(TH!L63="1111",TH!M63="1111")),TH!D63,""),"")</f>
        <v/>
      </c>
      <c r="B63" s="11">
        <f t="shared" si="3"/>
        <v>4</v>
      </c>
      <c r="C63" s="110">
        <f t="shared" si="4"/>
        <v>40647</v>
      </c>
      <c r="D63" s="110" t="s">
        <v>641</v>
      </c>
      <c r="E63" s="110">
        <v>40647</v>
      </c>
      <c r="F63" s="114" t="s">
        <v>1025</v>
      </c>
      <c r="G63" s="248" t="s">
        <v>361</v>
      </c>
      <c r="H63" s="4" t="s">
        <v>476</v>
      </c>
      <c r="I63" s="141"/>
      <c r="J63" s="141"/>
      <c r="K63" s="238">
        <v>16841000</v>
      </c>
      <c r="L63" s="239" t="s">
        <v>8</v>
      </c>
      <c r="M63" s="239" t="s">
        <v>44</v>
      </c>
      <c r="N63" s="25" t="str">
        <f>IF(AND('331-CT'!$E$7=TH!H63,OR(L63="331",M63="331")),"331",IF(AND(OR(L63="131",M63="131"),H63='131-CT'!$E$7),"131",""))</f>
        <v>331</v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>x</v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35"/>
    </row>
    <row r="64" spans="1:26" ht="15.75" customHeight="1">
      <c r="A64" s="125" t="str">
        <f>IF(B64&lt;&gt;"",IF(AND(B64&gt;=_TM1,B64&lt;=_TM2,OR(TH!L64="1111",TH!M64="1111")),TH!D64,""),"")</f>
        <v/>
      </c>
      <c r="B64" s="11">
        <f t="shared" si="3"/>
        <v>4</v>
      </c>
      <c r="C64" s="110">
        <f t="shared" ref="C64:C97" si="5">E64</f>
        <v>40647</v>
      </c>
      <c r="D64" s="110" t="s">
        <v>676</v>
      </c>
      <c r="E64" s="110">
        <v>40647</v>
      </c>
      <c r="F64" s="114" t="s">
        <v>362</v>
      </c>
      <c r="G64" s="248" t="s">
        <v>361</v>
      </c>
      <c r="H64" s="4" t="s">
        <v>476</v>
      </c>
      <c r="I64" s="141">
        <f>600+1900</f>
        <v>2500</v>
      </c>
      <c r="J64" s="141">
        <v>6124</v>
      </c>
      <c r="K64" s="238">
        <f>ROUND(I64*J64,0)</f>
        <v>15310000</v>
      </c>
      <c r="L64" s="239" t="s">
        <v>147</v>
      </c>
      <c r="M64" s="239" t="s">
        <v>8</v>
      </c>
      <c r="N64" s="25" t="str">
        <f>IF(AND('331-CT'!$E$7=TH!H64,OR(L64="331",M64="331")),"331",IF(AND(OR(L64="131",M64="131"),H64='131-CT'!$E$7),"131",""))</f>
        <v>331</v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35">
        <v>4</v>
      </c>
    </row>
    <row r="65" spans="1:26" ht="15.75" customHeight="1">
      <c r="A65" s="125" t="str">
        <f>IF(B65&lt;&gt;"",IF(AND(B65&gt;=_TM1,B65&lt;=_TM2,OR(TH!L65="1111",TH!M65="1111")),TH!D65,""),"")</f>
        <v/>
      </c>
      <c r="B65" s="11">
        <f t="shared" si="3"/>
        <v>4</v>
      </c>
      <c r="C65" s="110">
        <f t="shared" si="5"/>
        <v>40647</v>
      </c>
      <c r="D65" s="110" t="s">
        <v>676</v>
      </c>
      <c r="E65" s="110">
        <v>40647</v>
      </c>
      <c r="F65" s="114" t="s">
        <v>357</v>
      </c>
      <c r="G65" s="248" t="s">
        <v>361</v>
      </c>
      <c r="H65" s="4" t="s">
        <v>476</v>
      </c>
      <c r="I65" s="141"/>
      <c r="J65" s="141"/>
      <c r="K65" s="238">
        <v>1531000</v>
      </c>
      <c r="L65" s="239" t="s">
        <v>9</v>
      </c>
      <c r="M65" s="239" t="s">
        <v>8</v>
      </c>
      <c r="N65" s="25" t="str">
        <f>IF(AND('331-CT'!$E$7=TH!H65,OR(L65="331",M65="331")),"331",IF(AND(OR(L65="131",M65="131"),H65='131-CT'!$E$7),"131",""))</f>
        <v>331</v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35">
        <v>4</v>
      </c>
    </row>
    <row r="66" spans="1:26" ht="15.75" customHeight="1">
      <c r="A66" s="125" t="str">
        <f>IF(B66&lt;&gt;"",IF(AND(B66&gt;=_TM1,B66&lt;=_TM2,OR(TH!L66="1111",TH!M66="1111")),TH!D66,""),"")</f>
        <v/>
      </c>
      <c r="B66" s="11">
        <f t="shared" si="3"/>
        <v>4</v>
      </c>
      <c r="C66" s="110">
        <f t="shared" si="5"/>
        <v>40648</v>
      </c>
      <c r="D66" s="110" t="s">
        <v>642</v>
      </c>
      <c r="E66" s="110">
        <v>40648</v>
      </c>
      <c r="F66" s="114" t="s">
        <v>1025</v>
      </c>
      <c r="G66" s="248" t="s">
        <v>355</v>
      </c>
      <c r="H66" s="4" t="s">
        <v>476</v>
      </c>
      <c r="I66" s="141"/>
      <c r="J66" s="141"/>
      <c r="K66" s="238">
        <v>5945481</v>
      </c>
      <c r="L66" s="239" t="s">
        <v>8</v>
      </c>
      <c r="M66" s="239" t="s">
        <v>44</v>
      </c>
      <c r="N66" s="25" t="str">
        <f>IF(AND('331-CT'!$E$7=TH!H66,OR(L66="331",M66="331")),"331",IF(AND(OR(L66="131",M66="131"),H66='131-CT'!$E$7),"131",""))</f>
        <v>331</v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35"/>
    </row>
    <row r="67" spans="1:26" ht="15.75" customHeight="1">
      <c r="A67" s="125" t="str">
        <f>IF(B67&lt;&gt;"",IF(AND(B67&gt;=_TM1,B67&lt;=_TM2,OR(TH!L67="1111",TH!M67="1111")),TH!D67,""),"")</f>
        <v/>
      </c>
      <c r="B67" s="11">
        <f t="shared" si="3"/>
        <v>4</v>
      </c>
      <c r="C67" s="110">
        <f t="shared" si="5"/>
        <v>40648</v>
      </c>
      <c r="D67" s="110" t="s">
        <v>677</v>
      </c>
      <c r="E67" s="110">
        <v>40648</v>
      </c>
      <c r="F67" s="114" t="s">
        <v>356</v>
      </c>
      <c r="G67" s="248" t="s">
        <v>355</v>
      </c>
      <c r="H67" s="4" t="s">
        <v>476</v>
      </c>
      <c r="I67" s="141">
        <v>130</v>
      </c>
      <c r="J67" s="141">
        <v>24346</v>
      </c>
      <c r="K67" s="238">
        <f>ROUND(I67*J67,0)</f>
        <v>3164980</v>
      </c>
      <c r="L67" s="239" t="s">
        <v>147</v>
      </c>
      <c r="M67" s="239" t="s">
        <v>8</v>
      </c>
      <c r="N67" s="25" t="str">
        <f>IF(AND('331-CT'!$E$7=TH!H67,OR(L67="331",M67="331")),"331",IF(AND(OR(L67="131",M67="131"),H67='131-CT'!$E$7),"131",""))</f>
        <v>331</v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/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35">
        <v>4</v>
      </c>
    </row>
    <row r="68" spans="1:26" ht="15.75" customHeight="1">
      <c r="A68" s="125" t="str">
        <f>IF(B68&lt;&gt;"",IF(AND(B68&gt;=_TM1,B68&lt;=_TM2,OR(TH!L68="1111",TH!M68="1111")),TH!D68,""),"")</f>
        <v/>
      </c>
      <c r="B68" s="11">
        <f t="shared" si="3"/>
        <v>4</v>
      </c>
      <c r="C68" s="110">
        <f t="shared" si="5"/>
        <v>40648</v>
      </c>
      <c r="D68" s="110" t="s">
        <v>677</v>
      </c>
      <c r="E68" s="110">
        <v>40648</v>
      </c>
      <c r="F68" s="114" t="s">
        <v>358</v>
      </c>
      <c r="G68" s="248" t="s">
        <v>355</v>
      </c>
      <c r="H68" s="4" t="s">
        <v>476</v>
      </c>
      <c r="I68" s="141">
        <v>60</v>
      </c>
      <c r="J68" s="141">
        <v>14079</v>
      </c>
      <c r="K68" s="238">
        <f>ROUND(I68*J68,0)</f>
        <v>844740</v>
      </c>
      <c r="L68" s="239" t="s">
        <v>147</v>
      </c>
      <c r="M68" s="239" t="s">
        <v>8</v>
      </c>
      <c r="N68" s="25" t="str">
        <f>IF(AND('331-CT'!$E$7=TH!H68,OR(L68="331",M68="331")),"331",IF(AND(OR(L68="131",M68="131"),H68='131-CT'!$E$7),"131",""))</f>
        <v>331</v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/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235">
        <v>4</v>
      </c>
    </row>
    <row r="69" spans="1:26" ht="15.75" customHeight="1">
      <c r="A69" s="125" t="str">
        <f>IF(B69&lt;&gt;"",IF(AND(B69&gt;=_TM1,B69&lt;=_TM2,OR(TH!L69="1111",TH!M69="1111")),TH!D69,""),"")</f>
        <v/>
      </c>
      <c r="B69" s="11">
        <f t="shared" si="3"/>
        <v>4</v>
      </c>
      <c r="C69" s="110">
        <f t="shared" si="5"/>
        <v>40648</v>
      </c>
      <c r="D69" s="110" t="s">
        <v>677</v>
      </c>
      <c r="E69" s="110">
        <v>40648</v>
      </c>
      <c r="F69" s="114" t="s">
        <v>359</v>
      </c>
      <c r="G69" s="248" t="s">
        <v>355</v>
      </c>
      <c r="H69" s="4" t="s">
        <v>476</v>
      </c>
      <c r="I69" s="141">
        <v>50</v>
      </c>
      <c r="J69" s="141">
        <v>27901</v>
      </c>
      <c r="K69" s="238">
        <f>ROUND(I69*J69,0)</f>
        <v>1395050</v>
      </c>
      <c r="L69" s="239" t="s">
        <v>147</v>
      </c>
      <c r="M69" s="239" t="s">
        <v>8</v>
      </c>
      <c r="N69" s="25" t="str">
        <f>IF(AND('331-CT'!$E$7=TH!H69,OR(L69="331",M69="331")),"331",IF(AND(OR(L69="131",M69="131"),H69='131-CT'!$E$7),"131",""))</f>
        <v>331</v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235">
        <v>4</v>
      </c>
    </row>
    <row r="70" spans="1:26" ht="15.75" customHeight="1">
      <c r="A70" s="125" t="str">
        <f>IF(B70&lt;&gt;"",IF(AND(B70&gt;=_TM1,B70&lt;=_TM2,OR(TH!L70="1111",TH!M70="1111")),TH!D70,""),"")</f>
        <v/>
      </c>
      <c r="B70" s="11">
        <f t="shared" si="3"/>
        <v>4</v>
      </c>
      <c r="C70" s="110">
        <f t="shared" si="5"/>
        <v>40648</v>
      </c>
      <c r="D70" s="110" t="s">
        <v>677</v>
      </c>
      <c r="E70" s="110">
        <v>40648</v>
      </c>
      <c r="F70" s="114" t="s">
        <v>357</v>
      </c>
      <c r="G70" s="248" t="s">
        <v>355</v>
      </c>
      <c r="H70" s="4" t="s">
        <v>476</v>
      </c>
      <c r="I70" s="141"/>
      <c r="J70" s="141"/>
      <c r="K70" s="238">
        <v>540711</v>
      </c>
      <c r="L70" s="239" t="s">
        <v>9</v>
      </c>
      <c r="M70" s="239" t="s">
        <v>8</v>
      </c>
      <c r="N70" s="25" t="str">
        <f>IF(AND('331-CT'!$E$7=TH!H70,OR(L70="331",M70="331")),"331",IF(AND(OR(L70="131",M70="131"),H70='131-CT'!$E$7),"131",""))</f>
        <v>331</v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35">
        <v>4</v>
      </c>
    </row>
    <row r="71" spans="1:26" ht="15.75" customHeight="1">
      <c r="A71" s="125" t="str">
        <f>IF(B71&lt;&gt;"",IF(AND(B71&gt;=_TM1,B71&lt;=_TM2,OR(TH!L71="1111",TH!M71="1111")),TH!D71,""),"")</f>
        <v/>
      </c>
      <c r="B71" s="11">
        <f t="shared" si="3"/>
        <v>4</v>
      </c>
      <c r="C71" s="110">
        <f t="shared" si="5"/>
        <v>40649</v>
      </c>
      <c r="D71" s="110" t="s">
        <v>644</v>
      </c>
      <c r="E71" s="110">
        <v>40649</v>
      </c>
      <c r="F71" s="114" t="s">
        <v>640</v>
      </c>
      <c r="G71" s="248" t="s">
        <v>350</v>
      </c>
      <c r="H71" s="4" t="s">
        <v>348</v>
      </c>
      <c r="I71" s="141">
        <v>20</v>
      </c>
      <c r="J71" s="141">
        <v>40000</v>
      </c>
      <c r="K71" s="238">
        <f>800000+1380000</f>
        <v>2180000</v>
      </c>
      <c r="L71" s="239" t="s">
        <v>153</v>
      </c>
      <c r="M71" s="239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35">
        <v>4</v>
      </c>
    </row>
    <row r="72" spans="1:26" ht="15.75" customHeight="1">
      <c r="A72" s="125" t="str">
        <f>IF(B72&lt;&gt;"",IF(AND(B72&gt;=_TM1,B72&lt;=_TM2,OR(TH!L72="1111",TH!M72="1111")),TH!D72,""),"")</f>
        <v/>
      </c>
      <c r="B72" s="11">
        <f t="shared" si="3"/>
        <v>4</v>
      </c>
      <c r="C72" s="110">
        <f t="shared" si="5"/>
        <v>40649</v>
      </c>
      <c r="D72" s="110" t="s">
        <v>644</v>
      </c>
      <c r="E72" s="110">
        <v>40649</v>
      </c>
      <c r="F72" s="114" t="s">
        <v>319</v>
      </c>
      <c r="G72" s="248" t="s">
        <v>350</v>
      </c>
      <c r="H72" s="4" t="s">
        <v>348</v>
      </c>
      <c r="I72" s="141"/>
      <c r="J72" s="141"/>
      <c r="K72" s="238">
        <v>218000</v>
      </c>
      <c r="L72" s="239" t="s">
        <v>9</v>
      </c>
      <c r="M72" s="239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35">
        <v>4</v>
      </c>
    </row>
    <row r="73" spans="1:26" ht="15.75" customHeight="1">
      <c r="A73" s="125" t="str">
        <f>IF(B73&lt;&gt;"",IF(AND(B73&gt;=_TM1,B73&lt;=_TM2,OR(TH!L73="1111",TH!M73="1111")),TH!D73,""),"")</f>
        <v/>
      </c>
      <c r="B73" s="11">
        <f t="shared" si="3"/>
        <v>4</v>
      </c>
      <c r="C73" s="12">
        <f t="shared" si="5"/>
        <v>40652</v>
      </c>
      <c r="D73" s="110" t="s">
        <v>645</v>
      </c>
      <c r="E73" s="12">
        <v>40652</v>
      </c>
      <c r="F73" s="15" t="s">
        <v>420</v>
      </c>
      <c r="G73" s="221" t="s">
        <v>424</v>
      </c>
      <c r="H73" s="20" t="s">
        <v>423</v>
      </c>
      <c r="I73" s="141"/>
      <c r="J73" s="141"/>
      <c r="K73" s="13">
        <v>1000000</v>
      </c>
      <c r="L73" s="14" t="s">
        <v>56</v>
      </c>
      <c r="M73" s="239" t="s">
        <v>44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>x</v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132"/>
    </row>
    <row r="74" spans="1:26" ht="15.75" customHeight="1">
      <c r="A74" s="125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40652</v>
      </c>
      <c r="D74" s="110" t="s">
        <v>645</v>
      </c>
      <c r="E74" s="12">
        <v>40652</v>
      </c>
      <c r="F74" s="15" t="s">
        <v>421</v>
      </c>
      <c r="G74" s="221" t="s">
        <v>424</v>
      </c>
      <c r="H74" s="20"/>
      <c r="I74" s="141"/>
      <c r="J74" s="141"/>
      <c r="K74" s="13">
        <v>1000000</v>
      </c>
      <c r="L74" s="14" t="s">
        <v>73</v>
      </c>
      <c r="M74" s="239" t="s">
        <v>56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>x</v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32"/>
    </row>
    <row r="75" spans="1:26" ht="15.75" customHeight="1">
      <c r="A75" s="125" t="str">
        <f>IF(B75&lt;&gt;"",IF(AND(B75&gt;=_TM1,B75&lt;=_TM2,OR(TH!L75="1111",TH!M75="1111")),TH!D75,""),"")</f>
        <v/>
      </c>
      <c r="B75" s="281">
        <f t="shared" si="3"/>
        <v>4</v>
      </c>
      <c r="C75" s="282">
        <f t="shared" si="5"/>
        <v>40655</v>
      </c>
      <c r="D75" s="282" t="s">
        <v>310</v>
      </c>
      <c r="E75" s="282">
        <v>40655</v>
      </c>
      <c r="F75" s="283" t="s">
        <v>312</v>
      </c>
      <c r="G75" s="284" t="s">
        <v>307</v>
      </c>
      <c r="H75" s="23" t="s">
        <v>708</v>
      </c>
      <c r="I75" s="139"/>
      <c r="J75" s="139"/>
      <c r="K75" s="285">
        <v>28175740</v>
      </c>
      <c r="L75" s="286" t="s">
        <v>23</v>
      </c>
      <c r="M75" s="286" t="s">
        <v>237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>x</v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287"/>
    </row>
    <row r="76" spans="1:26" ht="15.75" customHeight="1">
      <c r="A76" s="125" t="str">
        <f>IF(B76&lt;&gt;"",IF(AND(B76&gt;=_TM1,B76&lt;=_TM2,OR(TH!L76="1111",TH!M76="1111")),TH!D76,""),"")</f>
        <v/>
      </c>
      <c r="B76" s="11">
        <f t="shared" si="3"/>
        <v>4</v>
      </c>
      <c r="C76" s="110">
        <f t="shared" si="5"/>
        <v>40656</v>
      </c>
      <c r="D76" s="110" t="s">
        <v>646</v>
      </c>
      <c r="E76" s="110">
        <v>40656</v>
      </c>
      <c r="F76" s="114" t="s">
        <v>351</v>
      </c>
      <c r="G76" s="248" t="s">
        <v>352</v>
      </c>
      <c r="H76" s="4" t="s">
        <v>354</v>
      </c>
      <c r="I76" s="141">
        <v>100</v>
      </c>
      <c r="J76" s="141">
        <v>23000</v>
      </c>
      <c r="K76" s="238">
        <f>ROUND(I76*J76,0)</f>
        <v>2300000</v>
      </c>
      <c r="L76" s="239" t="s">
        <v>153</v>
      </c>
      <c r="M76" s="239" t="s">
        <v>44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>x</v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235">
        <v>4</v>
      </c>
    </row>
    <row r="77" spans="1:26" ht="15.75" customHeight="1">
      <c r="A77" s="125" t="str">
        <f>IF(B77&lt;&gt;"",IF(AND(B77&gt;=_TM1,B77&lt;=_TM2,OR(TH!L77="1111",TH!M77="1111")),TH!D77,""),"")</f>
        <v/>
      </c>
      <c r="B77" s="11">
        <f t="shared" si="3"/>
        <v>4</v>
      </c>
      <c r="C77" s="110">
        <f t="shared" si="5"/>
        <v>40656</v>
      </c>
      <c r="D77" s="110" t="s">
        <v>646</v>
      </c>
      <c r="E77" s="110">
        <v>40656</v>
      </c>
      <c r="F77" s="114" t="s">
        <v>353</v>
      </c>
      <c r="G77" s="248" t="s">
        <v>352</v>
      </c>
      <c r="H77" s="4" t="s">
        <v>354</v>
      </c>
      <c r="I77" s="141"/>
      <c r="J77" s="141"/>
      <c r="K77" s="238">
        <v>230000</v>
      </c>
      <c r="L77" s="239" t="s">
        <v>9</v>
      </c>
      <c r="M77" s="239" t="s">
        <v>44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>x</v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235">
        <v>4</v>
      </c>
    </row>
    <row r="78" spans="1:26" ht="15.75" customHeight="1">
      <c r="A78" s="125" t="str">
        <f>IF(B78&lt;&gt;"",IF(AND(B78&gt;=_TM1,B78&lt;=_TM2,OR(TH!L78="1111",TH!M78="1111")),TH!D78,""),"")</f>
        <v/>
      </c>
      <c r="B78" s="11">
        <f t="shared" si="3"/>
        <v>4</v>
      </c>
      <c r="C78" s="110">
        <f t="shared" si="5"/>
        <v>40658</v>
      </c>
      <c r="D78" s="110" t="s">
        <v>310</v>
      </c>
      <c r="E78" s="110">
        <v>40658</v>
      </c>
      <c r="F78" s="114" t="s">
        <v>341</v>
      </c>
      <c r="G78" s="240" t="s">
        <v>307</v>
      </c>
      <c r="H78" s="19"/>
      <c r="I78" s="141"/>
      <c r="J78" s="141"/>
      <c r="K78" s="238">
        <v>271892</v>
      </c>
      <c r="L78" s="239" t="s">
        <v>23</v>
      </c>
      <c r="M78" s="239" t="s">
        <v>37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>x</v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235"/>
    </row>
    <row r="79" spans="1:26" ht="15.75" customHeight="1">
      <c r="A79" s="125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10" t="s">
        <v>678</v>
      </c>
      <c r="E79" s="12">
        <v>40658</v>
      </c>
      <c r="F79" s="114" t="s">
        <v>455</v>
      </c>
      <c r="G79" s="221" t="s">
        <v>454</v>
      </c>
      <c r="H79" s="4" t="s">
        <v>476</v>
      </c>
      <c r="I79" s="144">
        <v>3010</v>
      </c>
      <c r="J79" s="141">
        <v>4592</v>
      </c>
      <c r="K79" s="238">
        <f t="shared" ref="K79:K84" si="6">ROUND(I79*J79,0)</f>
        <v>13821920</v>
      </c>
      <c r="L79" s="14" t="s">
        <v>147</v>
      </c>
      <c r="M79" s="239" t="s">
        <v>8</v>
      </c>
      <c r="N79" s="25" t="str">
        <f>IF(AND('331-CT'!$E$7=TH!H79,OR(L79="331",M79="331")),"331",IF(AND(OR(L79="131",M79="131"),H79='131-CT'!$E$7),"131",""))</f>
        <v>331</v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32">
        <v>5</v>
      </c>
    </row>
    <row r="80" spans="1:26" ht="15.75" customHeight="1">
      <c r="A80" s="125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10" t="s">
        <v>678</v>
      </c>
      <c r="E80" s="12">
        <v>40658</v>
      </c>
      <c r="F80" s="114" t="s">
        <v>456</v>
      </c>
      <c r="G80" s="221" t="s">
        <v>454</v>
      </c>
      <c r="H80" s="4" t="s">
        <v>476</v>
      </c>
      <c r="I80" s="141">
        <v>3010</v>
      </c>
      <c r="J80" s="144">
        <v>6026</v>
      </c>
      <c r="K80" s="238">
        <f t="shared" si="6"/>
        <v>18138260</v>
      </c>
      <c r="L80" s="14" t="s">
        <v>147</v>
      </c>
      <c r="M80" s="239" t="s">
        <v>8</v>
      </c>
      <c r="N80" s="25" t="str">
        <f>IF(AND('331-CT'!$E$7=TH!H80,OR(L80="331",M80="331")),"331",IF(AND(OR(L80="131",M80="131"),H80='131-CT'!$E$7),"131",""))</f>
        <v>331</v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32">
        <v>5</v>
      </c>
    </row>
    <row r="81" spans="1:26" ht="15.75" customHeight="1">
      <c r="A81" s="125" t="str">
        <f>IF(B81&lt;&gt;"",IF(AND(B81&gt;=_TM1,B81&lt;=_TM2,OR(TH!L81="1111",TH!M81="1111")),TH!D81,""),"")</f>
        <v/>
      </c>
      <c r="B81" s="11">
        <f t="shared" si="3"/>
        <v>4</v>
      </c>
      <c r="C81" s="12">
        <f t="shared" si="5"/>
        <v>40658</v>
      </c>
      <c r="D81" s="110" t="s">
        <v>678</v>
      </c>
      <c r="E81" s="12">
        <v>40658</v>
      </c>
      <c r="F81" s="114" t="s">
        <v>457</v>
      </c>
      <c r="G81" s="221" t="s">
        <v>454</v>
      </c>
      <c r="H81" s="4" t="s">
        <v>476</v>
      </c>
      <c r="I81" s="141">
        <v>235</v>
      </c>
      <c r="J81" s="144">
        <v>16125</v>
      </c>
      <c r="K81" s="238">
        <f t="shared" si="6"/>
        <v>3789375</v>
      </c>
      <c r="L81" s="14" t="s">
        <v>147</v>
      </c>
      <c r="M81" s="239" t="s">
        <v>8</v>
      </c>
      <c r="N81" s="25" t="str">
        <f>IF(AND('331-CT'!$E$7=TH!H81,OR(L81="331",M81="331")),"331",IF(AND(OR(L81="131",M81="131"),H81='131-CT'!$E$7),"131",""))</f>
        <v>331</v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32">
        <v>5</v>
      </c>
    </row>
    <row r="82" spans="1:26" ht="15.75" customHeight="1">
      <c r="A82" s="125" t="str">
        <f>IF(B82&lt;&gt;"",IF(AND(B82&gt;=_TM1,B82&lt;=_TM2,OR(TH!L82="1111",TH!M82="1111")),TH!D82,""),"")</f>
        <v/>
      </c>
      <c r="B82" s="11">
        <f t="shared" si="3"/>
        <v>4</v>
      </c>
      <c r="C82" s="12">
        <f t="shared" si="5"/>
        <v>40658</v>
      </c>
      <c r="D82" s="110" t="s">
        <v>678</v>
      </c>
      <c r="E82" s="12">
        <v>40658</v>
      </c>
      <c r="F82" s="114" t="s">
        <v>458</v>
      </c>
      <c r="G82" s="221" t="s">
        <v>454</v>
      </c>
      <c r="H82" s="4" t="s">
        <v>476</v>
      </c>
      <c r="I82" s="141">
        <v>1500</v>
      </c>
      <c r="J82" s="144">
        <v>25200</v>
      </c>
      <c r="K82" s="238">
        <f t="shared" si="6"/>
        <v>37800000</v>
      </c>
      <c r="L82" s="14" t="s">
        <v>147</v>
      </c>
      <c r="M82" s="239" t="s">
        <v>8</v>
      </c>
      <c r="N82" s="25" t="str">
        <f>IF(AND('331-CT'!$E$7=TH!H82,OR(L82="331",M82="331")),"331",IF(AND(OR(L82="131",M82="131"),H82='131-CT'!$E$7),"131",""))</f>
        <v>331</v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32">
        <v>5</v>
      </c>
    </row>
    <row r="83" spans="1:26" ht="15.75" customHeight="1">
      <c r="A83" s="125" t="str">
        <f>IF(B83&lt;&gt;"",IF(AND(B83&gt;=_TM1,B83&lt;=_TM2,OR(TH!L83="1111",TH!M83="1111")),TH!D83,""),"")</f>
        <v/>
      </c>
      <c r="B83" s="11">
        <f t="shared" si="3"/>
        <v>4</v>
      </c>
      <c r="C83" s="12">
        <f t="shared" si="5"/>
        <v>40658</v>
      </c>
      <c r="D83" s="110" t="s">
        <v>678</v>
      </c>
      <c r="E83" s="12">
        <v>40658</v>
      </c>
      <c r="F83" s="114" t="s">
        <v>459</v>
      </c>
      <c r="G83" s="221" t="s">
        <v>454</v>
      </c>
      <c r="H83" s="4" t="s">
        <v>476</v>
      </c>
      <c r="I83" s="141">
        <v>447</v>
      </c>
      <c r="J83" s="144">
        <v>27720</v>
      </c>
      <c r="K83" s="238">
        <f t="shared" si="6"/>
        <v>12390840</v>
      </c>
      <c r="L83" s="14" t="s">
        <v>147</v>
      </c>
      <c r="M83" s="239" t="s">
        <v>8</v>
      </c>
      <c r="N83" s="25" t="str">
        <f>IF(AND('331-CT'!$E$7=TH!H83,OR(L83="331",M83="331")),"331",IF(AND(OR(L83="131",M83="131"),H83='131-CT'!$E$7),"131",""))</f>
        <v>331</v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32">
        <v>5</v>
      </c>
    </row>
    <row r="84" spans="1:26" ht="15.75" customHeight="1">
      <c r="A84" s="125" t="str">
        <f>IF(B84&lt;&gt;"",IF(AND(B84&gt;=_TM1,B84&lt;=_TM2,OR(TH!L84="1111",TH!M84="1111")),TH!D84,""),"")</f>
        <v/>
      </c>
      <c r="B84" s="11">
        <f t="shared" si="3"/>
        <v>4</v>
      </c>
      <c r="C84" s="12">
        <f t="shared" si="5"/>
        <v>40658</v>
      </c>
      <c r="D84" s="110" t="s">
        <v>678</v>
      </c>
      <c r="E84" s="12">
        <v>40658</v>
      </c>
      <c r="F84" s="114" t="s">
        <v>460</v>
      </c>
      <c r="G84" s="221" t="s">
        <v>454</v>
      </c>
      <c r="H84" s="4" t="s">
        <v>476</v>
      </c>
      <c r="I84" s="141">
        <v>52</v>
      </c>
      <c r="J84" s="144">
        <v>35390</v>
      </c>
      <c r="K84" s="238">
        <f t="shared" si="6"/>
        <v>1840280</v>
      </c>
      <c r="L84" s="14" t="s">
        <v>147</v>
      </c>
      <c r="M84" s="239" t="s">
        <v>8</v>
      </c>
      <c r="N84" s="25" t="str">
        <f>IF(AND('331-CT'!$E$7=TH!H84,OR(L84="331",M84="331")),"331",IF(AND(OR(L84="131",M84="131"),H84='131-CT'!$E$7),"131",""))</f>
        <v>331</v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32">
        <v>5</v>
      </c>
    </row>
    <row r="85" spans="1:26" ht="15.75" customHeight="1">
      <c r="A85" s="125" t="str">
        <f>IF(B85&lt;&gt;"",IF(AND(B85&gt;=_TM1,B85&lt;=_TM2,OR(TH!L85="1111",TH!M85="1111")),TH!D85,""),"")</f>
        <v/>
      </c>
      <c r="B85" s="11">
        <f t="shared" si="3"/>
        <v>4</v>
      </c>
      <c r="C85" s="12">
        <f t="shared" si="5"/>
        <v>40658</v>
      </c>
      <c r="D85" s="110" t="s">
        <v>678</v>
      </c>
      <c r="E85" s="12">
        <v>40658</v>
      </c>
      <c r="F85" s="114" t="s">
        <v>357</v>
      </c>
      <c r="G85" s="221" t="s">
        <v>454</v>
      </c>
      <c r="H85" s="4" t="s">
        <v>476</v>
      </c>
      <c r="I85" s="141"/>
      <c r="J85" s="144"/>
      <c r="K85" s="13">
        <v>8778068</v>
      </c>
      <c r="L85" s="14" t="s">
        <v>9</v>
      </c>
      <c r="M85" s="239" t="s">
        <v>8</v>
      </c>
      <c r="N85" s="25" t="str">
        <f>IF(AND('331-CT'!$E$7=TH!H85,OR(L85="331",M85="331")),"331",IF(AND(OR(L85="131",M85="131"),H85='131-CT'!$E$7),"131",""))</f>
        <v>331</v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32">
        <v>5</v>
      </c>
    </row>
    <row r="86" spans="1:26" ht="15.75" customHeight="1">
      <c r="A86" s="125" t="str">
        <f>IF(B86&lt;&gt;"",IF(AND(B86&gt;=_TM1,B86&lt;=_TM2,OR(TH!L86="1111",TH!M86="1111")),TH!D86,""),"")</f>
        <v/>
      </c>
      <c r="B86" s="11">
        <f t="shared" ref="B86:B149" si="7">IF(C86&lt;&gt;"",MONTH(C86),"")</f>
        <v>4</v>
      </c>
      <c r="C86" s="115">
        <f t="shared" si="5"/>
        <v>40660</v>
      </c>
      <c r="D86" s="12" t="s">
        <v>904</v>
      </c>
      <c r="E86" s="304">
        <v>40660</v>
      </c>
      <c r="F86" s="217" t="s">
        <v>452</v>
      </c>
      <c r="G86" s="15"/>
      <c r="H86" s="242" t="s">
        <v>1037</v>
      </c>
      <c r="I86" s="141">
        <v>5000</v>
      </c>
      <c r="J86" s="141">
        <v>220</v>
      </c>
      <c r="K86" s="238">
        <f>ROUND(I86*J86,0)</f>
        <v>1100000</v>
      </c>
      <c r="L86" s="14" t="s">
        <v>153</v>
      </c>
      <c r="M86" s="14" t="s">
        <v>149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21"/>
    </row>
    <row r="87" spans="1:26" ht="15.75" customHeight="1">
      <c r="A87" s="125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10" t="s">
        <v>679</v>
      </c>
      <c r="E87" s="12">
        <v>40661</v>
      </c>
      <c r="F87" s="114" t="s">
        <v>461</v>
      </c>
      <c r="G87" s="221" t="s">
        <v>463</v>
      </c>
      <c r="H87" s="4" t="s">
        <v>476</v>
      </c>
      <c r="I87" s="141">
        <v>230</v>
      </c>
      <c r="J87" s="144">
        <v>19112</v>
      </c>
      <c r="K87" s="238">
        <f>ROUND(I87*J87,0)</f>
        <v>4395760</v>
      </c>
      <c r="L87" s="14" t="s">
        <v>147</v>
      </c>
      <c r="M87" s="239" t="s">
        <v>8</v>
      </c>
      <c r="N87" s="25" t="str">
        <f>IF(AND('331-CT'!$E$7=TH!H87,OR(L87="331",M87="331")),"331",IF(AND(OR(L87="131",M87="131"),H87='131-CT'!$E$7),"131",""))</f>
        <v>331</v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32">
        <v>5</v>
      </c>
    </row>
    <row r="88" spans="1:26" ht="15.75" customHeight="1">
      <c r="A88" s="125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10" t="s">
        <v>679</v>
      </c>
      <c r="E88" s="12">
        <v>40661</v>
      </c>
      <c r="F88" s="114" t="s">
        <v>462</v>
      </c>
      <c r="G88" s="221" t="s">
        <v>463</v>
      </c>
      <c r="H88" s="4" t="s">
        <v>476</v>
      </c>
      <c r="I88" s="141">
        <v>95</v>
      </c>
      <c r="J88" s="144">
        <v>32025</v>
      </c>
      <c r="K88" s="238">
        <f>ROUND(I88*J88,0)</f>
        <v>3042375</v>
      </c>
      <c r="L88" s="14" t="s">
        <v>147</v>
      </c>
      <c r="M88" s="239" t="s">
        <v>8</v>
      </c>
      <c r="N88" s="25" t="str">
        <f>IF(AND('331-CT'!$E$7=TH!H88,OR(L88="331",M88="331")),"331",IF(AND(OR(L88="131",M88="131"),H88='131-CT'!$E$7),"131",""))</f>
        <v>331</v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32">
        <v>5</v>
      </c>
    </row>
    <row r="89" spans="1:26" ht="15.75" customHeight="1">
      <c r="A89" s="125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10" t="s">
        <v>679</v>
      </c>
      <c r="E89" s="12">
        <v>40661</v>
      </c>
      <c r="F89" s="114" t="s">
        <v>357</v>
      </c>
      <c r="G89" s="221" t="s">
        <v>463</v>
      </c>
      <c r="H89" s="4" t="s">
        <v>476</v>
      </c>
      <c r="I89" s="141"/>
      <c r="J89" s="144"/>
      <c r="K89" s="13">
        <v>743814</v>
      </c>
      <c r="L89" s="14" t="s">
        <v>9</v>
      </c>
      <c r="M89" s="239" t="s">
        <v>8</v>
      </c>
      <c r="N89" s="25" t="str">
        <f>IF(AND('331-CT'!$E$7=TH!H89,OR(L89="331",M89="331")),"331",IF(AND(OR(L89="131",M89="131"),H89='131-CT'!$E$7),"131",""))</f>
        <v>331</v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32">
        <v>5</v>
      </c>
    </row>
    <row r="90" spans="1:26" ht="15.75" customHeight="1">
      <c r="A90" s="125" t="str">
        <f>IF(B90&lt;&gt;"",IF(AND(B90&gt;=_TM1,B90&lt;=_TM2,OR(TH!L90="1111",TH!M90="1111")),TH!D90,""),"")</f>
        <v/>
      </c>
      <c r="B90" s="11">
        <f t="shared" si="7"/>
        <v>4</v>
      </c>
      <c r="C90" s="12">
        <f t="shared" si="5"/>
        <v>40661</v>
      </c>
      <c r="D90" s="110" t="s">
        <v>680</v>
      </c>
      <c r="E90" s="12">
        <v>40661</v>
      </c>
      <c r="F90" s="114" t="s">
        <v>465</v>
      </c>
      <c r="G90" s="221" t="s">
        <v>464</v>
      </c>
      <c r="H90" s="4" t="s">
        <v>476</v>
      </c>
      <c r="I90" s="141">
        <v>90</v>
      </c>
      <c r="J90" s="144">
        <v>16173</v>
      </c>
      <c r="K90" s="238">
        <f>ROUND(I90*J90,0)</f>
        <v>1455570</v>
      </c>
      <c r="L90" s="14" t="s">
        <v>147</v>
      </c>
      <c r="M90" s="239" t="s">
        <v>8</v>
      </c>
      <c r="N90" s="25" t="str">
        <f>IF(AND('331-CT'!$E$7=TH!H90,OR(L90="331",M90="331")),"331",IF(AND(OR(L90="131",M90="131"),H90='131-CT'!$E$7),"131",""))</f>
        <v>331</v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132">
        <v>5</v>
      </c>
    </row>
    <row r="91" spans="1:26" ht="15.75" customHeight="1">
      <c r="A91" s="125" t="str">
        <f>IF(B91&lt;&gt;"",IF(AND(B91&gt;=_TM1,B91&lt;=_TM2,OR(TH!L91="1111",TH!M91="1111")),TH!D91,""),"")</f>
        <v/>
      </c>
      <c r="B91" s="11">
        <f t="shared" si="7"/>
        <v>4</v>
      </c>
      <c r="C91" s="12">
        <f t="shared" si="5"/>
        <v>40661</v>
      </c>
      <c r="D91" s="110" t="s">
        <v>680</v>
      </c>
      <c r="E91" s="12">
        <v>40661</v>
      </c>
      <c r="F91" s="114" t="s">
        <v>466</v>
      </c>
      <c r="G91" s="221" t="s">
        <v>464</v>
      </c>
      <c r="H91" s="4" t="s">
        <v>476</v>
      </c>
      <c r="I91" s="141">
        <v>275</v>
      </c>
      <c r="J91" s="144">
        <v>16925</v>
      </c>
      <c r="K91" s="238">
        <f>ROUND(I91*J91,0)</f>
        <v>4654375</v>
      </c>
      <c r="L91" s="14" t="s">
        <v>147</v>
      </c>
      <c r="M91" s="239" t="s">
        <v>8</v>
      </c>
      <c r="N91" s="25" t="str">
        <f>IF(AND('331-CT'!$E$7=TH!H91,OR(L91="331",M91="331")),"331",IF(AND(OR(L91="131",M91="131"),H91='131-CT'!$E$7),"131",""))</f>
        <v>331</v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/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132">
        <v>5</v>
      </c>
    </row>
    <row r="92" spans="1:26" ht="15.75" customHeight="1">
      <c r="A92" s="125" t="str">
        <f>IF(B92&lt;&gt;"",IF(AND(B92&gt;=_TM1,B92&lt;=_TM2,OR(TH!L92="1111",TH!M92="1111")),TH!D92,""),"")</f>
        <v/>
      </c>
      <c r="B92" s="11">
        <f t="shared" si="7"/>
        <v>4</v>
      </c>
      <c r="C92" s="12">
        <f t="shared" si="5"/>
        <v>40661</v>
      </c>
      <c r="D92" s="110" t="s">
        <v>680</v>
      </c>
      <c r="E92" s="12">
        <v>40661</v>
      </c>
      <c r="F92" s="346" t="s">
        <v>467</v>
      </c>
      <c r="G92" s="221" t="s">
        <v>464</v>
      </c>
      <c r="H92" s="4" t="s">
        <v>476</v>
      </c>
      <c r="I92" s="143">
        <v>185</v>
      </c>
      <c r="J92" s="144">
        <v>17427</v>
      </c>
      <c r="K92" s="238">
        <f>ROUND(I92*J92,0)</f>
        <v>3223995</v>
      </c>
      <c r="L92" s="14" t="s">
        <v>147</v>
      </c>
      <c r="M92" s="239" t="s">
        <v>8</v>
      </c>
      <c r="N92" s="25" t="str">
        <f>IF(AND('331-CT'!$E$7=TH!H92,OR(L92="331",M92="331")),"331",IF(AND(OR(L92="131",M92="131"),H92='131-CT'!$E$7),"131",""))</f>
        <v>331</v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132">
        <v>5</v>
      </c>
    </row>
    <row r="93" spans="1:26" ht="15.75" customHeight="1">
      <c r="A93" s="125" t="str">
        <f>IF(B93&lt;&gt;"",IF(AND(B93&gt;=_TM1,B93&lt;=_TM2,OR(TH!L93="1111",TH!M93="1111")),TH!D93,""),"")</f>
        <v/>
      </c>
      <c r="B93" s="11">
        <f t="shared" si="7"/>
        <v>4</v>
      </c>
      <c r="C93" s="12">
        <f t="shared" si="5"/>
        <v>40661</v>
      </c>
      <c r="D93" s="110" t="s">
        <v>680</v>
      </c>
      <c r="E93" s="12">
        <v>40661</v>
      </c>
      <c r="F93" s="114" t="s">
        <v>468</v>
      </c>
      <c r="G93" s="221" t="s">
        <v>464</v>
      </c>
      <c r="H93" s="4" t="s">
        <v>476</v>
      </c>
      <c r="I93" s="143">
        <v>640</v>
      </c>
      <c r="J93" s="144">
        <v>22554</v>
      </c>
      <c r="K93" s="238">
        <f>ROUND(I93*J93,0)</f>
        <v>14434560</v>
      </c>
      <c r="L93" s="14" t="s">
        <v>147</v>
      </c>
      <c r="M93" s="239" t="s">
        <v>8</v>
      </c>
      <c r="N93" s="25" t="str">
        <f>IF(AND('331-CT'!$E$7=TH!H93,OR(L93="331",M93="331")),"331",IF(AND(OR(L93="131",M93="131"),H93='131-CT'!$E$7),"131",""))</f>
        <v>331</v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132">
        <v>5</v>
      </c>
    </row>
    <row r="94" spans="1:26" ht="15.75" customHeight="1">
      <c r="A94" s="125" t="str">
        <f>IF(B94&lt;&gt;"",IF(AND(B94&gt;=_TM1,B94&lt;=_TM2,OR(TH!L94="1111",TH!M94="1111")),TH!D94,""),"")</f>
        <v/>
      </c>
      <c r="B94" s="11">
        <f t="shared" si="7"/>
        <v>4</v>
      </c>
      <c r="C94" s="12">
        <f t="shared" si="5"/>
        <v>40661</v>
      </c>
      <c r="D94" s="110" t="s">
        <v>680</v>
      </c>
      <c r="E94" s="12">
        <v>40661</v>
      </c>
      <c r="F94" s="114" t="s">
        <v>469</v>
      </c>
      <c r="G94" s="221" t="s">
        <v>464</v>
      </c>
      <c r="H94" s="4" t="s">
        <v>476</v>
      </c>
      <c r="I94" s="141">
        <v>415</v>
      </c>
      <c r="J94" s="144">
        <v>23716</v>
      </c>
      <c r="K94" s="238">
        <f>ROUND(I94*J94,0)</f>
        <v>9842140</v>
      </c>
      <c r="L94" s="14" t="s">
        <v>147</v>
      </c>
      <c r="M94" s="239" t="s">
        <v>8</v>
      </c>
      <c r="N94" s="25" t="str">
        <f>IF(AND('331-CT'!$E$7=TH!H94,OR(L94="331",M94="331")),"331",IF(AND(OR(L94="131",M94="131"),H94='131-CT'!$E$7),"131",""))</f>
        <v>331</v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132">
        <v>5</v>
      </c>
    </row>
    <row r="95" spans="1:26" ht="15.75" customHeight="1">
      <c r="A95" s="125" t="str">
        <f>IF(B95&lt;&gt;"",IF(AND(B95&gt;=_TM1,B95&lt;=_TM2,OR(TH!L95="1111",TH!M95="1111")),TH!D95,""),"")</f>
        <v/>
      </c>
      <c r="B95" s="11">
        <f t="shared" si="7"/>
        <v>4</v>
      </c>
      <c r="C95" s="12">
        <f t="shared" si="5"/>
        <v>40661</v>
      </c>
      <c r="D95" s="110" t="s">
        <v>680</v>
      </c>
      <c r="E95" s="12">
        <v>40661</v>
      </c>
      <c r="F95" s="114" t="s">
        <v>357</v>
      </c>
      <c r="G95" s="221" t="s">
        <v>464</v>
      </c>
      <c r="H95" s="4" t="s">
        <v>476</v>
      </c>
      <c r="I95" s="144"/>
      <c r="J95" s="144"/>
      <c r="K95" s="13">
        <v>3361064</v>
      </c>
      <c r="L95" s="14" t="s">
        <v>9</v>
      </c>
      <c r="M95" s="239" t="s">
        <v>8</v>
      </c>
      <c r="N95" s="25" t="str">
        <f>IF(AND('331-CT'!$E$7=TH!H95,OR(L95="331",M95="331")),"331",IF(AND(OR(L95="131",M95="131"),H95='131-CT'!$E$7),"131",""))</f>
        <v>331</v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132">
        <v>5</v>
      </c>
    </row>
    <row r="96" spans="1:26" ht="15.75" customHeight="1">
      <c r="A96" s="125" t="str">
        <f>IF(B96&lt;&gt;"",IF(AND(B96&gt;=_TM1,B96&lt;=_TM2,OR(TH!L96="1111",TH!M96="1111")),TH!D96,""),"")</f>
        <v/>
      </c>
      <c r="B96" s="11">
        <f t="shared" si="7"/>
        <v>5</v>
      </c>
      <c r="C96" s="288">
        <f t="shared" si="5"/>
        <v>40664</v>
      </c>
      <c r="D96" s="288" t="s">
        <v>314</v>
      </c>
      <c r="E96" s="293">
        <v>40664</v>
      </c>
      <c r="F96" s="289" t="s">
        <v>752</v>
      </c>
      <c r="G96" s="290"/>
      <c r="H96" s="242"/>
      <c r="I96" s="220"/>
      <c r="J96" s="220"/>
      <c r="K96" s="291">
        <v>750000</v>
      </c>
      <c r="L96" s="292" t="s">
        <v>153</v>
      </c>
      <c r="M96" s="292" t="s">
        <v>238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35"/>
    </row>
    <row r="97" spans="1:26" ht="15.75" customHeight="1">
      <c r="A97" s="125" t="str">
        <f>IF(B97&lt;&gt;"",IF(AND(B97&gt;=_TM1,B97&lt;=_TM2,OR(TH!L97="1111",TH!M97="1111")),TH!D97,""),"")</f>
        <v/>
      </c>
      <c r="B97" s="11">
        <f t="shared" si="7"/>
        <v>5</v>
      </c>
      <c r="C97" s="288">
        <f t="shared" si="5"/>
        <v>40664</v>
      </c>
      <c r="D97" s="288" t="s">
        <v>314</v>
      </c>
      <c r="E97" s="293">
        <v>40664</v>
      </c>
      <c r="F97" s="289" t="s">
        <v>753</v>
      </c>
      <c r="G97" s="290"/>
      <c r="H97" s="242"/>
      <c r="I97" s="220"/>
      <c r="J97" s="220"/>
      <c r="K97" s="291">
        <v>3164845</v>
      </c>
      <c r="L97" s="292" t="s">
        <v>153</v>
      </c>
      <c r="M97" s="292" t="s">
        <v>744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/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35"/>
    </row>
    <row r="98" spans="1:26" ht="15.75" customHeight="1">
      <c r="A98" s="125" t="str">
        <f>IF(B98&lt;&gt;"",IF(AND(B98&gt;=_TM1,B98&lt;=_TM2,OR(TH!L98="1111",TH!M98="1111")),TH!D98,""),"")</f>
        <v/>
      </c>
      <c r="B98" s="11">
        <f t="shared" si="7"/>
        <v>5</v>
      </c>
      <c r="C98" s="12">
        <v>40664</v>
      </c>
      <c r="D98" s="110" t="s">
        <v>647</v>
      </c>
      <c r="E98" s="12">
        <v>40660</v>
      </c>
      <c r="F98" s="15" t="s">
        <v>344</v>
      </c>
      <c r="G98" s="221" t="s">
        <v>370</v>
      </c>
      <c r="H98" s="20" t="s">
        <v>451</v>
      </c>
      <c r="I98" s="141"/>
      <c r="J98" s="141"/>
      <c r="K98" s="238">
        <v>2762067</v>
      </c>
      <c r="L98" s="14" t="s">
        <v>8</v>
      </c>
      <c r="M98" s="239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235"/>
    </row>
    <row r="99" spans="1:26" ht="15.75" customHeight="1">
      <c r="A99" s="125" t="str">
        <f>IF(B99&lt;&gt;"",IF(AND(B99&gt;=_TM1,B99&lt;=_TM2,OR(TH!L99="1111",TH!M99="1111")),TH!D99,""),"")</f>
        <v/>
      </c>
      <c r="B99" s="11">
        <f t="shared" si="7"/>
        <v>5</v>
      </c>
      <c r="C99" s="12">
        <v>40664</v>
      </c>
      <c r="D99" s="110" t="s">
        <v>673</v>
      </c>
      <c r="E99" s="12">
        <v>40660</v>
      </c>
      <c r="F99" s="15" t="s">
        <v>452</v>
      </c>
      <c r="G99" s="221" t="s">
        <v>370</v>
      </c>
      <c r="H99" s="20" t="s">
        <v>451</v>
      </c>
      <c r="I99" s="141">
        <v>11413.5</v>
      </c>
      <c r="J99" s="141">
        <v>220</v>
      </c>
      <c r="K99" s="238">
        <f>ROUND(I99*J99,0)</f>
        <v>2510970</v>
      </c>
      <c r="L99" s="14" t="s">
        <v>149</v>
      </c>
      <c r="M99" s="239" t="s">
        <v>8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/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35">
        <v>5</v>
      </c>
    </row>
    <row r="100" spans="1:26" ht="15.75" customHeight="1">
      <c r="A100" s="125" t="str">
        <f>IF(B100&lt;&gt;"",IF(AND(B100&gt;=_TM1,B100&lt;=_TM2,OR(TH!L100="1111",TH!M100="1111")),TH!D100,""),"")</f>
        <v/>
      </c>
      <c r="B100" s="11">
        <f t="shared" si="7"/>
        <v>5</v>
      </c>
      <c r="C100" s="12">
        <v>40664</v>
      </c>
      <c r="D100" s="110" t="s">
        <v>673</v>
      </c>
      <c r="E100" s="12">
        <v>40660</v>
      </c>
      <c r="F100" s="15" t="s">
        <v>453</v>
      </c>
      <c r="G100" s="221" t="s">
        <v>370</v>
      </c>
      <c r="H100" s="20" t="s">
        <v>451</v>
      </c>
      <c r="I100" s="141"/>
      <c r="J100" s="141"/>
      <c r="K100" s="13">
        <v>251097</v>
      </c>
      <c r="L100" s="14" t="s">
        <v>9</v>
      </c>
      <c r="M100" s="239" t="s">
        <v>8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/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35">
        <v>5</v>
      </c>
    </row>
    <row r="101" spans="1:26" ht="15.75" customHeight="1">
      <c r="A101" s="125" t="str">
        <f>IF(B101&lt;&gt;"",IF(AND(B101&gt;=_TM1,B101&lt;=_TM2,OR(TH!L101="1111",TH!M101="1111")),TH!D101,""),"")</f>
        <v/>
      </c>
      <c r="B101" s="335">
        <f t="shared" si="7"/>
        <v>5</v>
      </c>
      <c r="C101" s="336">
        <f t="shared" ref="C101:C132" si="8">E101</f>
        <v>40667</v>
      </c>
      <c r="D101" s="337" t="s">
        <v>680</v>
      </c>
      <c r="E101" s="336">
        <v>40667</v>
      </c>
      <c r="F101" s="343" t="s">
        <v>1377</v>
      </c>
      <c r="G101" s="338" t="s">
        <v>1376</v>
      </c>
      <c r="H101" s="339" t="s">
        <v>476</v>
      </c>
      <c r="I101" s="340">
        <v>70</v>
      </c>
      <c r="J101" s="341">
        <v>16925</v>
      </c>
      <c r="K101" s="330">
        <f>ROUND(I101*J101,0)</f>
        <v>1184750</v>
      </c>
      <c r="L101" s="319" t="s">
        <v>147</v>
      </c>
      <c r="M101" s="342" t="s">
        <v>8</v>
      </c>
      <c r="N101" s="25" t="str">
        <f>IF(AND('331-CT'!$E$7=TH!H101,OR(L101="331",M101="331")),"331",IF(AND(OR(L101="131",M101="131"),H101='131-CT'!$E$7),"131",""))</f>
        <v>331</v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35">
        <v>5</v>
      </c>
    </row>
    <row r="102" spans="1:26" ht="15.75" customHeight="1">
      <c r="A102" s="125" t="str">
        <f>IF(B102&lt;&gt;"",IF(AND(B102&gt;=_TM1,B102&lt;=_TM2,OR(TH!L102="1111",TH!M102="1111")),TH!D102,""),"")</f>
        <v/>
      </c>
      <c r="B102" s="11">
        <f t="shared" si="7"/>
        <v>5</v>
      </c>
      <c r="C102" s="12">
        <f t="shared" si="8"/>
        <v>40667</v>
      </c>
      <c r="D102" s="110" t="s">
        <v>680</v>
      </c>
      <c r="E102" s="12">
        <v>40667</v>
      </c>
      <c r="F102" s="114" t="s">
        <v>357</v>
      </c>
      <c r="G102" s="221" t="s">
        <v>1376</v>
      </c>
      <c r="H102" s="4" t="s">
        <v>476</v>
      </c>
      <c r="I102" s="144"/>
      <c r="J102" s="144"/>
      <c r="K102" s="13">
        <v>118475</v>
      </c>
      <c r="L102" s="14" t="s">
        <v>9</v>
      </c>
      <c r="M102" s="239" t="s">
        <v>8</v>
      </c>
      <c r="N102" s="25" t="str">
        <f>IF(AND('331-CT'!$E$7=TH!H102,OR(L102="331",M102="331")),"331",IF(AND(OR(L102="131",M102="131"),H102='131-CT'!$E$7),"131",""))</f>
        <v>331</v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35">
        <v>5</v>
      </c>
    </row>
    <row r="103" spans="1:26" ht="15.75" customHeight="1">
      <c r="A103" s="125" t="str">
        <f>IF(B103&lt;&gt;"",IF(AND(B103&gt;=_TM1,B103&lt;=_TM2,OR(TH!L103="1111",TH!M103="1111")),TH!D103,""),"")</f>
        <v/>
      </c>
      <c r="B103" s="11">
        <f t="shared" si="7"/>
        <v>5</v>
      </c>
      <c r="C103" s="115">
        <f t="shared" si="8"/>
        <v>40668</v>
      </c>
      <c r="D103" s="288" t="s">
        <v>1036</v>
      </c>
      <c r="E103" s="312">
        <v>40668</v>
      </c>
      <c r="F103" s="114" t="s">
        <v>473</v>
      </c>
      <c r="G103" s="290"/>
      <c r="H103" s="242" t="s">
        <v>1037</v>
      </c>
      <c r="I103" s="220">
        <v>98</v>
      </c>
      <c r="J103" s="220">
        <v>16462</v>
      </c>
      <c r="K103" s="238">
        <f t="shared" ref="K103:K111" si="9">ROUND(I103*J103,0)</f>
        <v>1613276</v>
      </c>
      <c r="L103" s="14" t="s">
        <v>153</v>
      </c>
      <c r="M103" s="292" t="s">
        <v>147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121"/>
    </row>
    <row r="104" spans="1:26" ht="15.75" customHeight="1">
      <c r="A104" s="125" t="str">
        <f>IF(B104&lt;&gt;"",IF(AND(B104&gt;=_TM1,B104&lt;=_TM2,OR(TH!L104="1111",TH!M104="1111")),TH!D104,""),"")</f>
        <v/>
      </c>
      <c r="B104" s="11">
        <f t="shared" si="7"/>
        <v>5</v>
      </c>
      <c r="C104" s="115">
        <f t="shared" si="8"/>
        <v>40668</v>
      </c>
      <c r="D104" s="288" t="s">
        <v>1036</v>
      </c>
      <c r="E104" s="312">
        <v>40668</v>
      </c>
      <c r="F104" s="114" t="s">
        <v>379</v>
      </c>
      <c r="G104" s="290"/>
      <c r="H104" s="242" t="s">
        <v>1037</v>
      </c>
      <c r="I104" s="220">
        <v>90</v>
      </c>
      <c r="J104" s="220">
        <v>24325</v>
      </c>
      <c r="K104" s="238">
        <f t="shared" si="9"/>
        <v>2189250</v>
      </c>
      <c r="L104" s="14" t="s">
        <v>153</v>
      </c>
      <c r="M104" s="292" t="s">
        <v>147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121"/>
    </row>
    <row r="105" spans="1:26" ht="15.75" customHeight="1">
      <c r="A105" s="125" t="str">
        <f>IF(B105&lt;&gt;"",IF(AND(B105&gt;=_TM1,B105&lt;=_TM2,OR(TH!L105="1111",TH!M105="1111")),TH!D105,""),"")</f>
        <v/>
      </c>
      <c r="B105" s="11">
        <f t="shared" si="7"/>
        <v>5</v>
      </c>
      <c r="C105" s="115">
        <f t="shared" si="8"/>
        <v>40668</v>
      </c>
      <c r="D105" s="288" t="s">
        <v>1036</v>
      </c>
      <c r="E105" s="312">
        <v>40668</v>
      </c>
      <c r="F105" s="154" t="s">
        <v>457</v>
      </c>
      <c r="G105" s="290"/>
      <c r="H105" s="242" t="s">
        <v>1037</v>
      </c>
      <c r="I105" s="220">
        <v>209</v>
      </c>
      <c r="J105" s="220">
        <v>16125</v>
      </c>
      <c r="K105" s="238">
        <f t="shared" si="9"/>
        <v>3370125</v>
      </c>
      <c r="L105" s="14" t="s">
        <v>153</v>
      </c>
      <c r="M105" s="292" t="s">
        <v>147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121"/>
    </row>
    <row r="106" spans="1:26" ht="15.75" customHeight="1">
      <c r="A106" s="125" t="str">
        <f>IF(B106&lt;&gt;"",IF(AND(B106&gt;=_TM1,B106&lt;=_TM2,OR(TH!L106="1111",TH!M106="1111")),TH!D106,""),"")</f>
        <v/>
      </c>
      <c r="B106" s="11">
        <f t="shared" si="7"/>
        <v>5</v>
      </c>
      <c r="C106" s="115">
        <f t="shared" si="8"/>
        <v>40668</v>
      </c>
      <c r="D106" s="288" t="s">
        <v>1036</v>
      </c>
      <c r="E106" s="312">
        <v>40668</v>
      </c>
      <c r="F106" s="114" t="s">
        <v>500</v>
      </c>
      <c r="G106" s="290"/>
      <c r="H106" s="242" t="s">
        <v>1037</v>
      </c>
      <c r="I106" s="220">
        <v>283</v>
      </c>
      <c r="J106" s="220">
        <v>7268</v>
      </c>
      <c r="K106" s="238">
        <f t="shared" si="9"/>
        <v>2056844</v>
      </c>
      <c r="L106" s="14" t="s">
        <v>153</v>
      </c>
      <c r="M106" s="292" t="s">
        <v>147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121"/>
    </row>
    <row r="107" spans="1:26" ht="15.75" customHeight="1">
      <c r="A107" s="125" t="str">
        <f>IF(B107&lt;&gt;"",IF(AND(B107&gt;=_TM1,B107&lt;=_TM2,OR(TH!L107="1111",TH!M107="1111")),TH!D107,""),"")</f>
        <v/>
      </c>
      <c r="B107" s="11">
        <f t="shared" si="7"/>
        <v>5</v>
      </c>
      <c r="C107" s="115">
        <f t="shared" si="8"/>
        <v>40668</v>
      </c>
      <c r="D107" s="288" t="s">
        <v>1036</v>
      </c>
      <c r="E107" s="312">
        <v>40668</v>
      </c>
      <c r="F107" s="114" t="s">
        <v>479</v>
      </c>
      <c r="G107" s="290"/>
      <c r="H107" s="242" t="s">
        <v>1037</v>
      </c>
      <c r="I107" s="220">
        <v>494</v>
      </c>
      <c r="J107" s="220">
        <v>5612</v>
      </c>
      <c r="K107" s="238">
        <f t="shared" si="9"/>
        <v>2772328</v>
      </c>
      <c r="L107" s="14" t="s">
        <v>153</v>
      </c>
      <c r="M107" s="292" t="s">
        <v>147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121"/>
    </row>
    <row r="108" spans="1:26" ht="15.75" customHeight="1">
      <c r="A108" s="125" t="str">
        <f>IF(B108&lt;&gt;"",IF(AND(B108&gt;=_TM1,B108&lt;=_TM2,OR(TH!L108="1111",TH!M108="1111")),TH!D108,""),"")</f>
        <v/>
      </c>
      <c r="B108" s="11">
        <f t="shared" si="7"/>
        <v>5</v>
      </c>
      <c r="C108" s="115">
        <f t="shared" si="8"/>
        <v>40668</v>
      </c>
      <c r="D108" s="288" t="s">
        <v>1036</v>
      </c>
      <c r="E108" s="312">
        <v>40668</v>
      </c>
      <c r="F108" s="114" t="s">
        <v>480</v>
      </c>
      <c r="G108" s="290"/>
      <c r="H108" s="242" t="s">
        <v>1037</v>
      </c>
      <c r="I108" s="220">
        <v>398</v>
      </c>
      <c r="J108" s="220">
        <v>5831</v>
      </c>
      <c r="K108" s="238">
        <f t="shared" si="9"/>
        <v>2320738</v>
      </c>
      <c r="L108" s="14" t="s">
        <v>153</v>
      </c>
      <c r="M108" s="292" t="s">
        <v>147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121"/>
    </row>
    <row r="109" spans="1:26" ht="15.75" customHeight="1">
      <c r="A109" s="125" t="str">
        <f>IF(B109&lt;&gt;"",IF(AND(B109&gt;=_TM1,B109&lt;=_TM2,OR(TH!L109="1111",TH!M109="1111")),TH!D109,""),"")</f>
        <v/>
      </c>
      <c r="B109" s="11">
        <f t="shared" si="7"/>
        <v>5</v>
      </c>
      <c r="C109" s="115">
        <f t="shared" si="8"/>
        <v>40668</v>
      </c>
      <c r="D109" s="288" t="s">
        <v>1036</v>
      </c>
      <c r="E109" s="312">
        <v>40668</v>
      </c>
      <c r="F109" s="114" t="s">
        <v>485</v>
      </c>
      <c r="G109" s="290"/>
      <c r="H109" s="242" t="s">
        <v>1037</v>
      </c>
      <c r="I109" s="220">
        <v>100</v>
      </c>
      <c r="J109" s="220">
        <v>12122</v>
      </c>
      <c r="K109" s="238">
        <f t="shared" si="9"/>
        <v>1212200</v>
      </c>
      <c r="L109" s="14" t="s">
        <v>153</v>
      </c>
      <c r="M109" s="292" t="s">
        <v>147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121"/>
    </row>
    <row r="110" spans="1:26" ht="15.75" customHeight="1">
      <c r="A110" s="125" t="str">
        <f>IF(B110&lt;&gt;"",IF(AND(B110&gt;=_TM1,B110&lt;=_TM2,OR(TH!L110="1111",TH!M110="1111")),TH!D110,""),"")</f>
        <v/>
      </c>
      <c r="B110" s="11">
        <f t="shared" si="7"/>
        <v>5</v>
      </c>
      <c r="C110" s="115">
        <f t="shared" si="8"/>
        <v>40668</v>
      </c>
      <c r="D110" s="288" t="s">
        <v>1036</v>
      </c>
      <c r="E110" s="312">
        <v>40668</v>
      </c>
      <c r="F110" s="114" t="s">
        <v>462</v>
      </c>
      <c r="G110" s="290"/>
      <c r="H110" s="242" t="s">
        <v>1037</v>
      </c>
      <c r="I110" s="220">
        <v>95</v>
      </c>
      <c r="J110" s="220">
        <v>32025</v>
      </c>
      <c r="K110" s="238">
        <f t="shared" si="9"/>
        <v>3042375</v>
      </c>
      <c r="L110" s="14" t="s">
        <v>153</v>
      </c>
      <c r="M110" s="292" t="s">
        <v>147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121"/>
    </row>
    <row r="111" spans="1:26" ht="15.75" customHeight="1">
      <c r="A111" s="125" t="str">
        <f>IF(B111&lt;&gt;"",IF(AND(B111&gt;=_TM1,B111&lt;=_TM2,OR(TH!L111="1111",TH!M111="1111")),TH!D111,""),"")</f>
        <v/>
      </c>
      <c r="B111" s="11">
        <f t="shared" si="7"/>
        <v>5</v>
      </c>
      <c r="C111" s="115">
        <f t="shared" si="8"/>
        <v>40668</v>
      </c>
      <c r="D111" s="288" t="s">
        <v>1036</v>
      </c>
      <c r="E111" s="312">
        <v>40668</v>
      </c>
      <c r="F111" s="114" t="s">
        <v>478</v>
      </c>
      <c r="G111" s="290"/>
      <c r="H111" s="242" t="s">
        <v>1037</v>
      </c>
      <c r="I111" s="220">
        <v>206</v>
      </c>
      <c r="J111" s="220">
        <v>13498</v>
      </c>
      <c r="K111" s="238">
        <f t="shared" si="9"/>
        <v>2780588</v>
      </c>
      <c r="L111" s="14" t="s">
        <v>153</v>
      </c>
      <c r="M111" s="292" t="s">
        <v>147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121"/>
    </row>
    <row r="112" spans="1:26" ht="15.75" customHeight="1">
      <c r="A112" s="125" t="str">
        <f>IF(B112&lt;&gt;"",IF(AND(B112&gt;=_TM1,B112&lt;=_TM2,OR(TH!L112="1111",TH!M112="1111")),TH!D112,""),"")</f>
        <v/>
      </c>
      <c r="B112" s="281">
        <f t="shared" si="7"/>
        <v>5</v>
      </c>
      <c r="C112" s="282">
        <f t="shared" si="8"/>
        <v>40669</v>
      </c>
      <c r="D112" s="282" t="s">
        <v>311</v>
      </c>
      <c r="E112" s="282">
        <v>40669</v>
      </c>
      <c r="F112" s="283" t="s">
        <v>345</v>
      </c>
      <c r="G112" s="284" t="s">
        <v>307</v>
      </c>
      <c r="H112" s="23" t="s">
        <v>708</v>
      </c>
      <c r="I112" s="139"/>
      <c r="J112" s="139"/>
      <c r="K112" s="285">
        <v>28175740</v>
      </c>
      <c r="L112" s="286" t="s">
        <v>237</v>
      </c>
      <c r="M112" s="286" t="s">
        <v>23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>x</v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87"/>
    </row>
    <row r="113" spans="1:26" ht="15.75" customHeight="1">
      <c r="A113" s="125" t="str">
        <f>IF(B113&lt;&gt;"",IF(AND(B113&gt;=_TM1,B113&lt;=_TM2,OR(TH!L113="1111",TH!M113="1111")),TH!D113,""),"")</f>
        <v/>
      </c>
      <c r="B113" s="11">
        <f t="shared" si="7"/>
        <v>5</v>
      </c>
      <c r="C113" s="110">
        <f t="shared" si="8"/>
        <v>40669</v>
      </c>
      <c r="D113" s="110" t="s">
        <v>762</v>
      </c>
      <c r="E113" s="110">
        <v>40669</v>
      </c>
      <c r="F113" s="114" t="s">
        <v>343</v>
      </c>
      <c r="G113" s="240" t="s">
        <v>307</v>
      </c>
      <c r="H113" s="19" t="s">
        <v>340</v>
      </c>
      <c r="I113" s="141"/>
      <c r="J113" s="141"/>
      <c r="K113" s="238">
        <v>10000000</v>
      </c>
      <c r="L113" s="239" t="s">
        <v>44</v>
      </c>
      <c r="M113" s="239" t="s">
        <v>23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>x</v>
      </c>
      <c r="Q113" s="25" t="str">
        <f>IF(AND($M113=$O$7,$B113&lt;'111'!$N$11),"x","")</f>
        <v/>
      </c>
      <c r="R113" s="25" t="str">
        <f>IF(ISERROR(FIND('112'!$M$9,G113,1)),"",IF((AND(FIND('112'!$M$9,G113,1)&gt;=1,$B113&gt;='112'!$N$8,$B113&lt;='112'!$O$8,OR($L113='112'!$I$6,$M113='112'!$I$6))),"x",""))</f>
        <v>x</v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35"/>
    </row>
    <row r="114" spans="1:26" ht="15.75" customHeight="1">
      <c r="A114" s="125" t="str">
        <f>IF(B114&lt;&gt;"",IF(AND(B114&gt;=_TM1,B114&lt;=_TM2,OR(TH!L114="1111",TH!M114="1111")),TH!D114,""),"")</f>
        <v/>
      </c>
      <c r="B114" s="11">
        <f t="shared" si="7"/>
        <v>5</v>
      </c>
      <c r="C114" s="115">
        <f t="shared" si="8"/>
        <v>40670</v>
      </c>
      <c r="D114" s="288" t="s">
        <v>1038</v>
      </c>
      <c r="E114" s="312">
        <v>40670</v>
      </c>
      <c r="F114" s="114" t="s">
        <v>377</v>
      </c>
      <c r="G114" s="290"/>
      <c r="H114" s="242" t="s">
        <v>1037</v>
      </c>
      <c r="I114" s="220">
        <v>50</v>
      </c>
      <c r="J114" s="220">
        <v>10830</v>
      </c>
      <c r="K114" s="238">
        <f t="shared" ref="K114:K122" si="10">ROUND(I114*J114,0)</f>
        <v>541500</v>
      </c>
      <c r="L114" s="14" t="s">
        <v>153</v>
      </c>
      <c r="M114" s="292" t="s">
        <v>147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/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121"/>
    </row>
    <row r="115" spans="1:26" ht="15.75" customHeight="1">
      <c r="A115" s="125" t="str">
        <f>IF(B115&lt;&gt;"",IF(AND(B115&gt;=_TM1,B115&lt;=_TM2,OR(TH!L115="1111",TH!M115="1111")),TH!D115,""),"")</f>
        <v/>
      </c>
      <c r="B115" s="11">
        <f t="shared" si="7"/>
        <v>5</v>
      </c>
      <c r="C115" s="115">
        <f t="shared" si="8"/>
        <v>40670</v>
      </c>
      <c r="D115" s="288" t="s">
        <v>1038</v>
      </c>
      <c r="E115" s="312">
        <v>40670</v>
      </c>
      <c r="F115" s="114" t="s">
        <v>364</v>
      </c>
      <c r="G115" s="290"/>
      <c r="H115" s="242" t="s">
        <v>1037</v>
      </c>
      <c r="I115" s="326">
        <v>75</v>
      </c>
      <c r="J115" s="141">
        <v>4449</v>
      </c>
      <c r="K115" s="238">
        <f t="shared" si="10"/>
        <v>333675</v>
      </c>
      <c r="L115" s="14" t="s">
        <v>153</v>
      </c>
      <c r="M115" s="292" t="s">
        <v>147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/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>x</v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121"/>
    </row>
    <row r="116" spans="1:26" ht="15.75" customHeight="1">
      <c r="A116" s="125" t="str">
        <f>IF(B116&lt;&gt;"",IF(AND(B116&gt;=_TM1,B116&lt;=_TM2,OR(TH!L116="1111",TH!M116="1111")),TH!D116,""),"")</f>
        <v/>
      </c>
      <c r="B116" s="11">
        <f t="shared" si="7"/>
        <v>5</v>
      </c>
      <c r="C116" s="115">
        <f t="shared" si="8"/>
        <v>40670</v>
      </c>
      <c r="D116" s="288" t="s">
        <v>1038</v>
      </c>
      <c r="E116" s="312">
        <v>40670</v>
      </c>
      <c r="F116" s="154" t="s">
        <v>457</v>
      </c>
      <c r="G116" s="224"/>
      <c r="H116" s="242" t="s">
        <v>1037</v>
      </c>
      <c r="I116" s="141">
        <v>7</v>
      </c>
      <c r="J116" s="141">
        <v>16125</v>
      </c>
      <c r="K116" s="238">
        <f t="shared" si="10"/>
        <v>112875</v>
      </c>
      <c r="L116" s="14" t="s">
        <v>153</v>
      </c>
      <c r="M116" s="292" t="s">
        <v>147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/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121"/>
    </row>
    <row r="117" spans="1:26" ht="15.75" customHeight="1">
      <c r="A117" s="125" t="str">
        <f>IF(B117&lt;&gt;"",IF(AND(B117&gt;=_TM1,B117&lt;=_TM2,OR(TH!L117="1111",TH!M117="1111")),TH!D117,""),"")</f>
        <v/>
      </c>
      <c r="B117" s="11">
        <f t="shared" si="7"/>
        <v>5</v>
      </c>
      <c r="C117" s="115">
        <f t="shared" si="8"/>
        <v>40670</v>
      </c>
      <c r="D117" s="288" t="s">
        <v>1038</v>
      </c>
      <c r="E117" s="312">
        <v>40670</v>
      </c>
      <c r="F117" s="154" t="s">
        <v>457</v>
      </c>
      <c r="G117" s="224"/>
      <c r="H117" s="242" t="s">
        <v>1037</v>
      </c>
      <c r="I117" s="141">
        <v>7</v>
      </c>
      <c r="J117" s="141">
        <v>16125</v>
      </c>
      <c r="K117" s="238">
        <f t="shared" si="10"/>
        <v>112875</v>
      </c>
      <c r="L117" s="14" t="s">
        <v>153</v>
      </c>
      <c r="M117" s="292" t="s">
        <v>147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/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21"/>
    </row>
    <row r="118" spans="1:26" ht="15.75" customHeight="1">
      <c r="A118" s="125" t="str">
        <f>IF(B118&lt;&gt;"",IF(AND(B118&gt;=_TM1,B118&lt;=_TM2,OR(TH!L118="1111",TH!M118="1111")),TH!D118,""),"")</f>
        <v/>
      </c>
      <c r="B118" s="11">
        <f t="shared" si="7"/>
        <v>5</v>
      </c>
      <c r="C118" s="115">
        <f t="shared" si="8"/>
        <v>40670</v>
      </c>
      <c r="D118" s="288" t="s">
        <v>1038</v>
      </c>
      <c r="E118" s="312">
        <v>40670</v>
      </c>
      <c r="F118" s="114" t="s">
        <v>474</v>
      </c>
      <c r="G118" s="240"/>
      <c r="H118" s="242" t="s">
        <v>1037</v>
      </c>
      <c r="I118" s="141">
        <v>250</v>
      </c>
      <c r="J118" s="141">
        <v>11587</v>
      </c>
      <c r="K118" s="238">
        <f t="shared" si="10"/>
        <v>2896750</v>
      </c>
      <c r="L118" s="14" t="s">
        <v>153</v>
      </c>
      <c r="M118" s="292" t="s">
        <v>147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121"/>
    </row>
    <row r="119" spans="1:26" ht="15.75" customHeight="1">
      <c r="A119" s="125" t="str">
        <f>IF(B119&lt;&gt;"",IF(AND(B119&gt;=_TM1,B119&lt;=_TM2,OR(TH!L119="1111",TH!M119="1111")),TH!D119,""),"")</f>
        <v/>
      </c>
      <c r="B119" s="11">
        <f t="shared" si="7"/>
        <v>5</v>
      </c>
      <c r="C119" s="115">
        <f t="shared" si="8"/>
        <v>40670</v>
      </c>
      <c r="D119" s="288" t="s">
        <v>1038</v>
      </c>
      <c r="E119" s="312">
        <v>40670</v>
      </c>
      <c r="F119" s="154" t="s">
        <v>359</v>
      </c>
      <c r="G119" s="240"/>
      <c r="H119" s="242" t="s">
        <v>1037</v>
      </c>
      <c r="I119" s="301">
        <v>45</v>
      </c>
      <c r="J119" s="141">
        <v>27901</v>
      </c>
      <c r="K119" s="238">
        <f t="shared" si="10"/>
        <v>1255545</v>
      </c>
      <c r="L119" s="14" t="s">
        <v>153</v>
      </c>
      <c r="M119" s="292" t="s">
        <v>147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121"/>
    </row>
    <row r="120" spans="1:26" ht="15.75" customHeight="1">
      <c r="A120" s="125" t="str">
        <f>IF(B120&lt;&gt;"",IF(AND(B120&gt;=_TM1,B120&lt;=_TM2,OR(TH!L120="1111",TH!M120="1111")),TH!D120,""),"")</f>
        <v/>
      </c>
      <c r="B120" s="11">
        <f t="shared" si="7"/>
        <v>5</v>
      </c>
      <c r="C120" s="115">
        <f t="shared" si="8"/>
        <v>40670</v>
      </c>
      <c r="D120" s="288" t="s">
        <v>1038</v>
      </c>
      <c r="E120" s="312">
        <v>40670</v>
      </c>
      <c r="F120" s="114" t="s">
        <v>364</v>
      </c>
      <c r="G120" s="240"/>
      <c r="H120" s="242" t="s">
        <v>1037</v>
      </c>
      <c r="I120" s="350">
        <v>45</v>
      </c>
      <c r="J120" s="301">
        <v>4449</v>
      </c>
      <c r="K120" s="238">
        <f t="shared" si="10"/>
        <v>200205</v>
      </c>
      <c r="L120" s="14" t="s">
        <v>153</v>
      </c>
      <c r="M120" s="292" t="s">
        <v>147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/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>x</v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121"/>
    </row>
    <row r="121" spans="1:26" ht="15.75" customHeight="1">
      <c r="A121" s="125" t="str">
        <f>IF(B121&lt;&gt;"",IF(AND(B121&gt;=_TM1,B121&lt;=_TM2,OR(TH!L121="1111",TH!M121="1111")),TH!D121,""),"")</f>
        <v/>
      </c>
      <c r="B121" s="11">
        <f t="shared" si="7"/>
        <v>5</v>
      </c>
      <c r="C121" s="115">
        <f t="shared" si="8"/>
        <v>40670</v>
      </c>
      <c r="D121" s="288" t="s">
        <v>1038</v>
      </c>
      <c r="E121" s="312">
        <v>40670</v>
      </c>
      <c r="F121" s="114" t="s">
        <v>497</v>
      </c>
      <c r="G121" s="240"/>
      <c r="H121" s="242" t="s">
        <v>1037</v>
      </c>
      <c r="I121" s="301">
        <v>2</v>
      </c>
      <c r="J121" s="141">
        <v>6400</v>
      </c>
      <c r="K121" s="238">
        <f t="shared" si="10"/>
        <v>12800</v>
      </c>
      <c r="L121" s="14" t="s">
        <v>153</v>
      </c>
      <c r="M121" s="292" t="s">
        <v>147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121"/>
    </row>
    <row r="122" spans="1:26" ht="15.75" customHeight="1">
      <c r="A122" s="125" t="str">
        <f>IF(B122&lt;&gt;"",IF(AND(B122&gt;=_TM1,B122&lt;=_TM2,OR(TH!L122="1111",TH!M122="1111")),TH!D122,""),"")</f>
        <v/>
      </c>
      <c r="B122" s="11">
        <f t="shared" si="7"/>
        <v>5</v>
      </c>
      <c r="C122" s="115">
        <f t="shared" si="8"/>
        <v>40670</v>
      </c>
      <c r="D122" s="288" t="s">
        <v>1038</v>
      </c>
      <c r="E122" s="312">
        <v>40670</v>
      </c>
      <c r="F122" s="114" t="s">
        <v>455</v>
      </c>
      <c r="G122" s="240"/>
      <c r="H122" s="242" t="s">
        <v>1037</v>
      </c>
      <c r="I122" s="301">
        <v>1</v>
      </c>
      <c r="J122" s="141">
        <v>4592</v>
      </c>
      <c r="K122" s="238">
        <f t="shared" si="10"/>
        <v>4592</v>
      </c>
      <c r="L122" s="14" t="s">
        <v>153</v>
      </c>
      <c r="M122" s="292" t="s">
        <v>147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121"/>
    </row>
    <row r="123" spans="1:26" ht="15.75" customHeight="1">
      <c r="A123" s="125" t="str">
        <f>IF(B123&lt;&gt;"",IF(AND(B123&gt;=_TM1,B123&lt;=_TM2,OR(TH!L123="1111",TH!M123="1111")),TH!D123,""),"")</f>
        <v/>
      </c>
      <c r="B123" s="11">
        <f t="shared" si="7"/>
        <v>5</v>
      </c>
      <c r="C123" s="12">
        <f t="shared" si="8"/>
        <v>40673</v>
      </c>
      <c r="D123" s="110" t="s">
        <v>648</v>
      </c>
      <c r="E123" s="12">
        <v>40673</v>
      </c>
      <c r="F123" s="114" t="s">
        <v>1025</v>
      </c>
      <c r="G123" s="223" t="s">
        <v>477</v>
      </c>
      <c r="H123" s="4" t="s">
        <v>476</v>
      </c>
      <c r="I123" s="231"/>
      <c r="J123" s="144"/>
      <c r="K123" s="13">
        <v>9364190</v>
      </c>
      <c r="L123" s="14" t="s">
        <v>8</v>
      </c>
      <c r="M123" s="239" t="s">
        <v>44</v>
      </c>
      <c r="N123" s="25" t="str">
        <f>IF(AND('331-CT'!$E$7=TH!H123,OR(L123="331",M123="331")),"331",IF(AND(OR(L123="131",M123="131"),H123='131-CT'!$E$7),"131",""))</f>
        <v>331</v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>x</v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132"/>
    </row>
    <row r="124" spans="1:26" ht="15.75" customHeight="1">
      <c r="A124" s="125" t="str">
        <f>IF(B124&lt;&gt;"",IF(AND(B124&gt;=_TM1,B124&lt;=_TM2,OR(TH!L124="1111",TH!M124="1111")),TH!D124,""),"")</f>
        <v/>
      </c>
      <c r="B124" s="11">
        <f t="shared" si="7"/>
        <v>5</v>
      </c>
      <c r="C124" s="12">
        <f t="shared" si="8"/>
        <v>40673</v>
      </c>
      <c r="D124" s="110" t="s">
        <v>649</v>
      </c>
      <c r="E124" s="12">
        <v>40673</v>
      </c>
      <c r="F124" s="15" t="s">
        <v>481</v>
      </c>
      <c r="G124" s="223" t="s">
        <v>482</v>
      </c>
      <c r="H124" s="4" t="s">
        <v>348</v>
      </c>
      <c r="I124" s="301">
        <v>40</v>
      </c>
      <c r="J124" s="144">
        <v>68000</v>
      </c>
      <c r="K124" s="238">
        <f>ROUND(I124*J124,0)</f>
        <v>2720000</v>
      </c>
      <c r="L124" s="14" t="s">
        <v>153</v>
      </c>
      <c r="M124" s="14" t="s">
        <v>44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>x</v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35">
        <v>5</v>
      </c>
    </row>
    <row r="125" spans="1:26" ht="15.75" customHeight="1">
      <c r="A125" s="125" t="str">
        <f>IF(B125&lt;&gt;"",IF(AND(B125&gt;=_TM1,B125&lt;=_TM2,OR(TH!L125="1111",TH!M125="1111")),TH!D125,""),"")</f>
        <v/>
      </c>
      <c r="B125" s="11">
        <f t="shared" si="7"/>
        <v>5</v>
      </c>
      <c r="C125" s="12">
        <f t="shared" si="8"/>
        <v>40673</v>
      </c>
      <c r="D125" s="110" t="s">
        <v>649</v>
      </c>
      <c r="E125" s="12">
        <v>40673</v>
      </c>
      <c r="F125" s="15" t="s">
        <v>319</v>
      </c>
      <c r="G125" s="223" t="s">
        <v>482</v>
      </c>
      <c r="H125" s="4" t="s">
        <v>348</v>
      </c>
      <c r="I125" s="301"/>
      <c r="J125" s="144"/>
      <c r="K125" s="13">
        <v>272000</v>
      </c>
      <c r="L125" s="14" t="s">
        <v>9</v>
      </c>
      <c r="M125" s="14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35">
        <v>5</v>
      </c>
    </row>
    <row r="126" spans="1:26" ht="15.75" customHeight="1">
      <c r="A126" s="125" t="str">
        <f>IF(B126&lt;&gt;"",IF(AND(B126&gt;=_TM1,B126&lt;=_TM2,OR(TH!L126="1111",TH!M126="1111")),TH!D126,""),"")</f>
        <v/>
      </c>
      <c r="B126" s="11">
        <f t="shared" si="7"/>
        <v>5</v>
      </c>
      <c r="C126" s="110">
        <f t="shared" si="8"/>
        <v>40673</v>
      </c>
      <c r="D126" s="110" t="s">
        <v>311</v>
      </c>
      <c r="E126" s="110">
        <v>40673</v>
      </c>
      <c r="F126" s="114" t="s">
        <v>344</v>
      </c>
      <c r="G126" s="240" t="s">
        <v>307</v>
      </c>
      <c r="H126" s="4" t="s">
        <v>476</v>
      </c>
      <c r="I126" s="141"/>
      <c r="J126" s="141"/>
      <c r="K126" s="238">
        <v>50000000</v>
      </c>
      <c r="L126" s="239" t="s">
        <v>8</v>
      </c>
      <c r="M126" s="239" t="s">
        <v>23</v>
      </c>
      <c r="N126" s="25" t="str">
        <f>IF(AND('331-CT'!$E$7=TH!H126,OR(L126="331",M126="331")),"331",IF(AND(OR(L126="131",M126="131"),H126='131-CT'!$E$7),"131",""))</f>
        <v>331</v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/>
      </c>
      <c r="R126" s="25" t="str">
        <f>IF(ISERROR(FIND('112'!$M$9,G126,1)),"",IF((AND(FIND('112'!$M$9,G126,1)&gt;=1,$B126&gt;='112'!$N$8,$B126&lt;='112'!$O$8,OR($L126='112'!$I$6,$M126='112'!$I$6))),"x",""))</f>
        <v>x</v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35"/>
    </row>
    <row r="127" spans="1:26" ht="15.75" customHeight="1">
      <c r="A127" s="125" t="str">
        <f>IF(B127&lt;&gt;"",IF(AND(B127&gt;=_TM1,B127&lt;=_TM2,OR(TH!L127="1111",TH!M127="1111")),TH!D127,""),"")</f>
        <v/>
      </c>
      <c r="B127" s="11">
        <f t="shared" si="7"/>
        <v>5</v>
      </c>
      <c r="C127" s="110">
        <f t="shared" si="8"/>
        <v>40673</v>
      </c>
      <c r="D127" s="110" t="s">
        <v>311</v>
      </c>
      <c r="E127" s="110">
        <v>40673</v>
      </c>
      <c r="F127" s="114" t="s">
        <v>313</v>
      </c>
      <c r="G127" s="240" t="s">
        <v>307</v>
      </c>
      <c r="H127" s="4"/>
      <c r="I127" s="141"/>
      <c r="J127" s="141"/>
      <c r="K127" s="238">
        <v>10000</v>
      </c>
      <c r="L127" s="239" t="s">
        <v>73</v>
      </c>
      <c r="M127" s="239" t="s">
        <v>23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/>
      </c>
      <c r="R127" s="25" t="str">
        <f>IF(ISERROR(FIND('112'!$M$9,G127,1)),"",IF((AND(FIND('112'!$M$9,G127,1)&gt;=1,$B127&gt;='112'!$N$8,$B127&lt;='112'!$O$8,OR($L127='112'!$I$6,$M127='112'!$I$6))),"x",""))</f>
        <v>x</v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>x</v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35"/>
    </row>
    <row r="128" spans="1:26" ht="15.75" customHeight="1">
      <c r="A128" s="125" t="str">
        <f>IF(B128&lt;&gt;"",IF(AND(B128&gt;=_TM1,B128&lt;=_TM2,OR(TH!L128="1111",TH!M128="1111")),TH!D128,""),"")</f>
        <v/>
      </c>
      <c r="B128" s="11">
        <f t="shared" si="7"/>
        <v>5</v>
      </c>
      <c r="C128" s="12">
        <f t="shared" si="8"/>
        <v>40673</v>
      </c>
      <c r="D128" s="110" t="s">
        <v>681</v>
      </c>
      <c r="E128" s="12">
        <v>40673</v>
      </c>
      <c r="F128" s="114" t="s">
        <v>470</v>
      </c>
      <c r="G128" s="223" t="s">
        <v>475</v>
      </c>
      <c r="H128" s="4" t="s">
        <v>476</v>
      </c>
      <c r="I128" s="141">
        <v>202</v>
      </c>
      <c r="J128" s="144">
        <v>22806</v>
      </c>
      <c r="K128" s="238">
        <f>ROUND(I128*J128,0)</f>
        <v>4606812</v>
      </c>
      <c r="L128" s="14" t="s">
        <v>147</v>
      </c>
      <c r="M128" s="239" t="s">
        <v>8</v>
      </c>
      <c r="N128" s="25" t="str">
        <f>IF(AND('331-CT'!$E$7=TH!H128,OR(L128="331",M128="331")),"331",IF(AND(OR(L128="131",M128="131"),H128='131-CT'!$E$7),"131",""))</f>
        <v>331</v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35">
        <v>5</v>
      </c>
    </row>
    <row r="129" spans="1:26" ht="15.75" customHeight="1">
      <c r="A129" s="125" t="str">
        <f>IF(B129&lt;&gt;"",IF(AND(B129&gt;=_TM1,B129&lt;=_TM2,OR(TH!L129="1111",TH!M129="1111")),TH!D129,""),"")</f>
        <v/>
      </c>
      <c r="B129" s="11">
        <f t="shared" si="7"/>
        <v>5</v>
      </c>
      <c r="C129" s="12">
        <f t="shared" si="8"/>
        <v>40673</v>
      </c>
      <c r="D129" s="110" t="s">
        <v>681</v>
      </c>
      <c r="E129" s="12">
        <v>40673</v>
      </c>
      <c r="F129" s="114" t="s">
        <v>471</v>
      </c>
      <c r="G129" s="223" t="s">
        <v>475</v>
      </c>
      <c r="H129" s="4" t="s">
        <v>476</v>
      </c>
      <c r="I129" s="141">
        <v>202</v>
      </c>
      <c r="J129" s="144">
        <v>19773</v>
      </c>
      <c r="K129" s="238">
        <f>ROUND(I129*J129,0)</f>
        <v>3994146</v>
      </c>
      <c r="L129" s="14" t="s">
        <v>147</v>
      </c>
      <c r="M129" s="239" t="s">
        <v>8</v>
      </c>
      <c r="N129" s="25" t="str">
        <f>IF(AND('331-CT'!$E$7=TH!H129,OR(L129="331",M129="331")),"331",IF(AND(OR(L129="131",M129="131"),H129='131-CT'!$E$7),"131",""))</f>
        <v>331</v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35">
        <v>5</v>
      </c>
    </row>
    <row r="130" spans="1:26" ht="15.75" customHeight="1">
      <c r="A130" s="125" t="str">
        <f>IF(B130&lt;&gt;"",IF(AND(B130&gt;=_TM1,B130&lt;=_TM2,OR(TH!L130="1111",TH!M130="1111")),TH!D130,""),"")</f>
        <v/>
      </c>
      <c r="B130" s="11">
        <f t="shared" si="7"/>
        <v>5</v>
      </c>
      <c r="C130" s="12">
        <f t="shared" si="8"/>
        <v>40673</v>
      </c>
      <c r="D130" s="110" t="s">
        <v>681</v>
      </c>
      <c r="E130" s="12">
        <v>40673</v>
      </c>
      <c r="F130" s="114" t="s">
        <v>472</v>
      </c>
      <c r="G130" s="223" t="s">
        <v>475</v>
      </c>
      <c r="H130" s="4" t="s">
        <v>476</v>
      </c>
      <c r="I130" s="141">
        <v>52</v>
      </c>
      <c r="J130" s="144">
        <v>43904</v>
      </c>
      <c r="K130" s="238">
        <f>ROUND(I130*J130,0)</f>
        <v>2283008</v>
      </c>
      <c r="L130" s="14" t="s">
        <v>147</v>
      </c>
      <c r="M130" s="239" t="s">
        <v>8</v>
      </c>
      <c r="N130" s="25" t="str">
        <f>IF(AND('331-CT'!$E$7=TH!H130,OR(L130="331",M130="331")),"331",IF(AND(OR(L130="131",M130="131"),H130='131-CT'!$E$7),"131",""))</f>
        <v>331</v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/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235">
        <v>5</v>
      </c>
    </row>
    <row r="131" spans="1:26" ht="15.75" customHeight="1">
      <c r="A131" s="125" t="str">
        <f>IF(B131&lt;&gt;"",IF(AND(B131&gt;=_TM1,B131&lt;=_TM2,OR(TH!L131="1111",TH!M131="1111")),TH!D131,""),"")</f>
        <v/>
      </c>
      <c r="B131" s="11">
        <f t="shared" si="7"/>
        <v>5</v>
      </c>
      <c r="C131" s="12">
        <f t="shared" si="8"/>
        <v>40673</v>
      </c>
      <c r="D131" s="110" t="s">
        <v>681</v>
      </c>
      <c r="E131" s="12">
        <v>40673</v>
      </c>
      <c r="F131" s="114" t="s">
        <v>474</v>
      </c>
      <c r="G131" s="223" t="s">
        <v>475</v>
      </c>
      <c r="H131" s="4" t="s">
        <v>476</v>
      </c>
      <c r="I131" s="141">
        <v>305</v>
      </c>
      <c r="J131" s="144">
        <v>11587</v>
      </c>
      <c r="K131" s="238">
        <f>ROUND(I131*J131,0)</f>
        <v>3534035</v>
      </c>
      <c r="L131" s="14" t="s">
        <v>147</v>
      </c>
      <c r="M131" s="239" t="s">
        <v>8</v>
      </c>
      <c r="N131" s="25" t="str">
        <f>IF(AND('331-CT'!$E$7=TH!H131,OR(L131="331",M131="331")),"331",IF(AND(OR(L131="131",M131="131"),H131='131-CT'!$E$7),"131",""))</f>
        <v>331</v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235">
        <v>5</v>
      </c>
    </row>
    <row r="132" spans="1:26" ht="15.75" customHeight="1">
      <c r="A132" s="125" t="str">
        <f>IF(B132&lt;&gt;"",IF(AND(B132&gt;=_TM1,B132&lt;=_TM2,OR(TH!L132="1111",TH!M132="1111")),TH!D132,""),"")</f>
        <v/>
      </c>
      <c r="B132" s="11">
        <f t="shared" si="7"/>
        <v>5</v>
      </c>
      <c r="C132" s="12">
        <f t="shared" si="8"/>
        <v>40673</v>
      </c>
      <c r="D132" s="110" t="s">
        <v>681</v>
      </c>
      <c r="E132" s="12">
        <v>40673</v>
      </c>
      <c r="F132" s="114" t="s">
        <v>473</v>
      </c>
      <c r="G132" s="223" t="s">
        <v>475</v>
      </c>
      <c r="H132" s="4" t="s">
        <v>476</v>
      </c>
      <c r="I132" s="141">
        <v>125</v>
      </c>
      <c r="J132" s="144">
        <v>16462</v>
      </c>
      <c r="K132" s="238">
        <f>ROUND(I132*J132,0)</f>
        <v>2057750</v>
      </c>
      <c r="L132" s="14" t="s">
        <v>147</v>
      </c>
      <c r="M132" s="239" t="s">
        <v>8</v>
      </c>
      <c r="N132" s="25" t="str">
        <f>IF(AND('331-CT'!$E$7=TH!H132,OR(L132="331",M132="331")),"331",IF(AND(OR(L132="131",M132="131"),H132='131-CT'!$E$7),"131",""))</f>
        <v>331</v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/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235">
        <v>5</v>
      </c>
    </row>
    <row r="133" spans="1:26" ht="15.75" customHeight="1">
      <c r="A133" s="125" t="str">
        <f>IF(B133&lt;&gt;"",IF(AND(B133&gt;=_TM1,B133&lt;=_TM2,OR(TH!L133="1111",TH!M133="1111")),TH!D133,""),"")</f>
        <v/>
      </c>
      <c r="B133" s="11">
        <f t="shared" si="7"/>
        <v>5</v>
      </c>
      <c r="C133" s="12">
        <f t="shared" ref="C133:C164" si="11">E133</f>
        <v>40673</v>
      </c>
      <c r="D133" s="110" t="s">
        <v>681</v>
      </c>
      <c r="E133" s="12">
        <v>40673</v>
      </c>
      <c r="F133" s="114" t="s">
        <v>357</v>
      </c>
      <c r="G133" s="223" t="s">
        <v>475</v>
      </c>
      <c r="H133" s="4" t="s">
        <v>476</v>
      </c>
      <c r="I133" s="141"/>
      <c r="J133" s="144"/>
      <c r="K133" s="13">
        <v>1647575</v>
      </c>
      <c r="L133" s="14" t="s">
        <v>9</v>
      </c>
      <c r="M133" s="239" t="s">
        <v>8</v>
      </c>
      <c r="N133" s="25" t="str">
        <f>IF(AND('331-CT'!$E$7=TH!H133,OR(L133="331",M133="331")),"331",IF(AND(OR(L133="131",M133="131"),H133='131-CT'!$E$7),"131",""))</f>
        <v>331</v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35">
        <v>5</v>
      </c>
    </row>
    <row r="134" spans="1:26" ht="15.75" customHeight="1">
      <c r="A134" s="125" t="str">
        <f>IF(B134&lt;&gt;"",IF(AND(B134&gt;=_TM1,B134&lt;=_TM2,OR(TH!L134="1111",TH!M134="1111")),TH!D134,""),"")</f>
        <v/>
      </c>
      <c r="B134" s="11">
        <f t="shared" si="7"/>
        <v>5</v>
      </c>
      <c r="C134" s="12">
        <f t="shared" si="11"/>
        <v>40673</v>
      </c>
      <c r="D134" s="110" t="s">
        <v>682</v>
      </c>
      <c r="E134" s="12">
        <v>40673</v>
      </c>
      <c r="F134" s="114" t="s">
        <v>478</v>
      </c>
      <c r="G134" s="223" t="s">
        <v>477</v>
      </c>
      <c r="H134" s="4" t="s">
        <v>476</v>
      </c>
      <c r="I134" s="143">
        <v>250</v>
      </c>
      <c r="J134" s="144">
        <v>13498</v>
      </c>
      <c r="K134" s="238">
        <f>ROUND(I134*J134,0)</f>
        <v>3374500</v>
      </c>
      <c r="L134" s="14" t="s">
        <v>147</v>
      </c>
      <c r="M134" s="239" t="s">
        <v>8</v>
      </c>
      <c r="N134" s="25" t="str">
        <f>IF(AND('331-CT'!$E$7=TH!H134,OR(L134="331",M134="331")),"331",IF(AND(OR(L134="131",M134="131"),H134='131-CT'!$E$7),"131",""))</f>
        <v>331</v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35">
        <v>5</v>
      </c>
    </row>
    <row r="135" spans="1:26" ht="15.75" customHeight="1">
      <c r="A135" s="125" t="str">
        <f>IF(B135&lt;&gt;"",IF(AND(B135&gt;=_TM1,B135&lt;=_TM2,OR(TH!L135="1111",TH!M135="1111")),TH!D135,""),"")</f>
        <v/>
      </c>
      <c r="B135" s="11">
        <f t="shared" si="7"/>
        <v>5</v>
      </c>
      <c r="C135" s="12">
        <f t="shared" si="11"/>
        <v>40673</v>
      </c>
      <c r="D135" s="110" t="s">
        <v>682</v>
      </c>
      <c r="E135" s="12">
        <v>40673</v>
      </c>
      <c r="F135" s="114" t="s">
        <v>479</v>
      </c>
      <c r="G135" s="223" t="s">
        <v>477</v>
      </c>
      <c r="H135" s="4" t="s">
        <v>476</v>
      </c>
      <c r="I135" s="143">
        <v>500</v>
      </c>
      <c r="J135" s="144">
        <v>5612</v>
      </c>
      <c r="K135" s="238">
        <f>ROUND(I135*J135,0)</f>
        <v>2806000</v>
      </c>
      <c r="L135" s="14" t="s">
        <v>147</v>
      </c>
      <c r="M135" s="239" t="s">
        <v>8</v>
      </c>
      <c r="N135" s="25" t="str">
        <f>IF(AND('331-CT'!$E$7=TH!H135,OR(L135="331",M135="331")),"331",IF(AND(OR(L135="131",M135="131"),H135='131-CT'!$E$7),"131",""))</f>
        <v>331</v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35">
        <v>5</v>
      </c>
    </row>
    <row r="136" spans="1:26" ht="15.75" customHeight="1">
      <c r="A136" s="125" t="str">
        <f>IF(B136&lt;&gt;"",IF(AND(B136&gt;=_TM1,B136&lt;=_TM2,OR(TH!L136="1111",TH!M136="1111")),TH!D136,""),"")</f>
        <v/>
      </c>
      <c r="B136" s="11">
        <f t="shared" si="7"/>
        <v>5</v>
      </c>
      <c r="C136" s="12">
        <f t="shared" si="11"/>
        <v>40673</v>
      </c>
      <c r="D136" s="110" t="s">
        <v>682</v>
      </c>
      <c r="E136" s="12">
        <v>40673</v>
      </c>
      <c r="F136" s="114" t="s">
        <v>480</v>
      </c>
      <c r="G136" s="223" t="s">
        <v>477</v>
      </c>
      <c r="H136" s="4" t="s">
        <v>476</v>
      </c>
      <c r="I136" s="141">
        <v>400</v>
      </c>
      <c r="J136" s="144">
        <v>5831</v>
      </c>
      <c r="K136" s="238">
        <f>ROUND(I136*J136,0)</f>
        <v>2332400</v>
      </c>
      <c r="L136" s="14" t="s">
        <v>147</v>
      </c>
      <c r="M136" s="239" t="s">
        <v>8</v>
      </c>
      <c r="N136" s="25" t="str">
        <f>IF(AND('331-CT'!$E$7=TH!H136,OR(L136="331",M136="331")),"331",IF(AND(OR(L136="131",M136="131"),H136='131-CT'!$E$7),"131",""))</f>
        <v>331</v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35">
        <v>5</v>
      </c>
    </row>
    <row r="137" spans="1:26" ht="15.75" customHeight="1">
      <c r="A137" s="125" t="str">
        <f>IF(B137&lt;&gt;"",IF(AND(B137&gt;=_TM1,B137&lt;=_TM2,OR(TH!L137="1111",TH!M137="1111")),TH!D137,""),"")</f>
        <v/>
      </c>
      <c r="B137" s="11">
        <f t="shared" si="7"/>
        <v>5</v>
      </c>
      <c r="C137" s="12">
        <f t="shared" si="11"/>
        <v>40673</v>
      </c>
      <c r="D137" s="110" t="s">
        <v>682</v>
      </c>
      <c r="E137" s="12">
        <v>40673</v>
      </c>
      <c r="F137" s="114" t="s">
        <v>357</v>
      </c>
      <c r="G137" s="223" t="s">
        <v>477</v>
      </c>
      <c r="H137" s="4" t="s">
        <v>476</v>
      </c>
      <c r="I137" s="144"/>
      <c r="J137" s="144"/>
      <c r="K137" s="13">
        <v>851290</v>
      </c>
      <c r="L137" s="14" t="s">
        <v>9</v>
      </c>
      <c r="M137" s="239" t="s">
        <v>8</v>
      </c>
      <c r="N137" s="25" t="str">
        <f>IF(AND('331-CT'!$E$7=TH!H137,OR(L137="331",M137="331")),"331",IF(AND(OR(L137="131",M137="131"),H137='131-CT'!$E$7),"131",""))</f>
        <v>331</v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35">
        <v>5</v>
      </c>
    </row>
    <row r="138" spans="1:26" ht="15.75" customHeight="1">
      <c r="A138" s="125" t="str">
        <f>IF(B138&lt;&gt;"",IF(AND(B138&gt;=_TM1,B138&lt;=_TM2,OR(TH!L138="1111",TH!M138="1111")),TH!D138,""),"")</f>
        <v/>
      </c>
      <c r="B138" s="11">
        <f t="shared" si="7"/>
        <v>5</v>
      </c>
      <c r="C138" s="12">
        <f t="shared" si="11"/>
        <v>40675</v>
      </c>
      <c r="D138" s="110" t="s">
        <v>650</v>
      </c>
      <c r="E138" s="12">
        <v>40675</v>
      </c>
      <c r="F138" s="15" t="s">
        <v>425</v>
      </c>
      <c r="G138" s="221" t="s">
        <v>427</v>
      </c>
      <c r="H138" s="20" t="s">
        <v>428</v>
      </c>
      <c r="I138" s="141"/>
      <c r="J138" s="141"/>
      <c r="K138" s="13">
        <v>774520</v>
      </c>
      <c r="L138" s="14" t="s">
        <v>153</v>
      </c>
      <c r="M138" s="239" t="s">
        <v>44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>x</v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35">
        <v>5</v>
      </c>
    </row>
    <row r="139" spans="1:26" ht="15.75" customHeight="1">
      <c r="A139" s="125" t="str">
        <f>IF(B139&lt;&gt;"",IF(AND(B139&gt;=_TM1,B139&lt;=_TM2,OR(TH!L139="1111",TH!M139="1111")),TH!D139,""),"")</f>
        <v/>
      </c>
      <c r="B139" s="11">
        <f t="shared" si="7"/>
        <v>5</v>
      </c>
      <c r="C139" s="12">
        <f t="shared" si="11"/>
        <v>40675</v>
      </c>
      <c r="D139" s="110" t="s">
        <v>650</v>
      </c>
      <c r="E139" s="12">
        <v>40675</v>
      </c>
      <c r="F139" s="15" t="s">
        <v>426</v>
      </c>
      <c r="G139" s="221" t="s">
        <v>427</v>
      </c>
      <c r="H139" s="20" t="s">
        <v>428</v>
      </c>
      <c r="I139" s="141"/>
      <c r="J139" s="141"/>
      <c r="K139" s="13">
        <v>77452</v>
      </c>
      <c r="L139" s="14" t="s">
        <v>9</v>
      </c>
      <c r="M139" s="239" t="s">
        <v>44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>x</v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35">
        <v>5</v>
      </c>
    </row>
    <row r="140" spans="1:26" ht="15.75" customHeight="1">
      <c r="A140" s="125" t="str">
        <f>IF(B140&lt;&gt;"",IF(AND(B140&gt;=_TM1,B140&lt;=_TM2,OR(TH!L140="1111",TH!M140="1111")),TH!D140,""),"")</f>
        <v/>
      </c>
      <c r="B140" s="11">
        <f t="shared" si="7"/>
        <v>5</v>
      </c>
      <c r="C140" s="115">
        <f t="shared" si="11"/>
        <v>40675</v>
      </c>
      <c r="D140" s="288" t="s">
        <v>1039</v>
      </c>
      <c r="E140" s="110">
        <v>40675</v>
      </c>
      <c r="F140" s="114" t="s">
        <v>497</v>
      </c>
      <c r="G140" s="240"/>
      <c r="H140" s="242" t="s">
        <v>1037</v>
      </c>
      <c r="I140" s="141">
        <v>199</v>
      </c>
      <c r="J140" s="141">
        <v>6400</v>
      </c>
      <c r="K140" s="238">
        <f t="shared" ref="K140:K148" si="12">ROUND(I140*J140,0)</f>
        <v>1273600</v>
      </c>
      <c r="L140" s="14" t="s">
        <v>153</v>
      </c>
      <c r="M140" s="292" t="s">
        <v>147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121"/>
    </row>
    <row r="141" spans="1:26" ht="15.75" customHeight="1">
      <c r="A141" s="125" t="str">
        <f>IF(B141&lt;&gt;"",IF(AND(B141&gt;=_TM1,B141&lt;=_TM2,OR(TH!L141="1111",TH!M141="1111")),TH!D141,""),"")</f>
        <v/>
      </c>
      <c r="B141" s="11">
        <f t="shared" si="7"/>
        <v>5</v>
      </c>
      <c r="C141" s="115">
        <f t="shared" si="11"/>
        <v>40675</v>
      </c>
      <c r="D141" s="288" t="s">
        <v>1039</v>
      </c>
      <c r="E141" s="110">
        <v>40675</v>
      </c>
      <c r="F141" s="114" t="s">
        <v>486</v>
      </c>
      <c r="G141" s="240"/>
      <c r="H141" s="242" t="s">
        <v>1037</v>
      </c>
      <c r="I141" s="141">
        <v>20</v>
      </c>
      <c r="J141" s="141">
        <v>14784</v>
      </c>
      <c r="K141" s="238">
        <f t="shared" si="12"/>
        <v>295680</v>
      </c>
      <c r="L141" s="14" t="s">
        <v>153</v>
      </c>
      <c r="M141" s="292" t="s">
        <v>147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121"/>
    </row>
    <row r="142" spans="1:26" ht="15.75" customHeight="1">
      <c r="A142" s="125" t="str">
        <f>IF(B142&lt;&gt;"",IF(AND(B142&gt;=_TM1,B142&lt;=_TM2,OR(TH!L142="1111",TH!M142="1111")),TH!D142,""),"")</f>
        <v/>
      </c>
      <c r="B142" s="11">
        <f t="shared" si="7"/>
        <v>5</v>
      </c>
      <c r="C142" s="115">
        <f t="shared" si="11"/>
        <v>40675</v>
      </c>
      <c r="D142" s="288" t="s">
        <v>1039</v>
      </c>
      <c r="E142" s="110">
        <v>40675</v>
      </c>
      <c r="F142" s="114" t="s">
        <v>479</v>
      </c>
      <c r="G142" s="224"/>
      <c r="H142" s="242" t="s">
        <v>1037</v>
      </c>
      <c r="I142" s="144">
        <v>1</v>
      </c>
      <c r="J142" s="144">
        <v>5612</v>
      </c>
      <c r="K142" s="238">
        <f t="shared" si="12"/>
        <v>5612</v>
      </c>
      <c r="L142" s="14" t="s">
        <v>153</v>
      </c>
      <c r="M142" s="292" t="s">
        <v>147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121"/>
    </row>
    <row r="143" spans="1:26" ht="15.75" customHeight="1">
      <c r="A143" s="125" t="str">
        <f>IF(B143&lt;&gt;"",IF(AND(B143&gt;=_TM1,B143&lt;=_TM2,OR(TH!L143="1111",TH!M143="1111")),TH!D143,""),"")</f>
        <v/>
      </c>
      <c r="B143" s="11">
        <f t="shared" si="7"/>
        <v>5</v>
      </c>
      <c r="C143" s="115">
        <f t="shared" si="11"/>
        <v>40675</v>
      </c>
      <c r="D143" s="288" t="s">
        <v>1039</v>
      </c>
      <c r="E143" s="110">
        <v>40675</v>
      </c>
      <c r="F143" s="154" t="s">
        <v>364</v>
      </c>
      <c r="G143" s="224"/>
      <c r="H143" s="242" t="s">
        <v>1037</v>
      </c>
      <c r="I143" s="327">
        <v>4</v>
      </c>
      <c r="J143" s="141">
        <v>4449</v>
      </c>
      <c r="K143" s="238">
        <f t="shared" si="12"/>
        <v>17796</v>
      </c>
      <c r="L143" s="14" t="s">
        <v>153</v>
      </c>
      <c r="M143" s="292" t="s">
        <v>147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>x</v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121"/>
    </row>
    <row r="144" spans="1:26" ht="15.75" customHeight="1">
      <c r="A144" s="125" t="str">
        <f>IF(B144&lt;&gt;"",IF(AND(B144&gt;=_TM1,B144&lt;=_TM2,OR(TH!L144="1111",TH!M144="1111")),TH!D144,""),"")</f>
        <v/>
      </c>
      <c r="B144" s="11">
        <f t="shared" si="7"/>
        <v>5</v>
      </c>
      <c r="C144" s="115">
        <f t="shared" si="11"/>
        <v>40675</v>
      </c>
      <c r="D144" s="288" t="s">
        <v>1039</v>
      </c>
      <c r="E144" s="110">
        <v>40675</v>
      </c>
      <c r="F144" s="114" t="s">
        <v>364</v>
      </c>
      <c r="G144" s="240"/>
      <c r="H144" s="242" t="s">
        <v>1037</v>
      </c>
      <c r="I144" s="315">
        <v>1</v>
      </c>
      <c r="J144" s="141">
        <v>4449</v>
      </c>
      <c r="K144" s="238">
        <f t="shared" si="12"/>
        <v>4449</v>
      </c>
      <c r="L144" s="14" t="s">
        <v>153</v>
      </c>
      <c r="M144" s="292" t="s">
        <v>147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>x</v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121"/>
    </row>
    <row r="145" spans="1:26" ht="15.75" customHeight="1">
      <c r="A145" s="125" t="str">
        <f>IF(B145&lt;&gt;"",IF(AND(B145&gt;=_TM1,B145&lt;=_TM2,OR(TH!L145="1111",TH!M145="1111")),TH!D145,""),"")</f>
        <v/>
      </c>
      <c r="B145" s="11">
        <f t="shared" si="7"/>
        <v>5</v>
      </c>
      <c r="C145" s="115">
        <f t="shared" si="11"/>
        <v>40675</v>
      </c>
      <c r="D145" s="288" t="s">
        <v>1039</v>
      </c>
      <c r="E145" s="110">
        <v>40675</v>
      </c>
      <c r="F145" s="114" t="s">
        <v>500</v>
      </c>
      <c r="G145" s="240"/>
      <c r="H145" s="242" t="s">
        <v>1037</v>
      </c>
      <c r="I145" s="141">
        <v>2</v>
      </c>
      <c r="J145" s="141">
        <v>7268</v>
      </c>
      <c r="K145" s="238">
        <f t="shared" si="12"/>
        <v>14536</v>
      </c>
      <c r="L145" s="14" t="s">
        <v>153</v>
      </c>
      <c r="M145" s="292" t="s">
        <v>147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121"/>
    </row>
    <row r="146" spans="1:26" ht="15.75" customHeight="1">
      <c r="A146" s="125" t="str">
        <f>IF(B146&lt;&gt;"",IF(AND(B146&gt;=_TM1,B146&lt;=_TM2,OR(TH!L146="1111",TH!M146="1111")),TH!D146,""),"")</f>
        <v/>
      </c>
      <c r="B146" s="11">
        <f t="shared" si="7"/>
        <v>5</v>
      </c>
      <c r="C146" s="115">
        <f t="shared" si="11"/>
        <v>40675</v>
      </c>
      <c r="D146" s="288" t="s">
        <v>1039</v>
      </c>
      <c r="E146" s="110">
        <v>40675</v>
      </c>
      <c r="F146" s="114" t="s">
        <v>480</v>
      </c>
      <c r="G146" s="240"/>
      <c r="H146" s="242" t="s">
        <v>1037</v>
      </c>
      <c r="I146" s="141">
        <v>2</v>
      </c>
      <c r="J146" s="141">
        <v>5831</v>
      </c>
      <c r="K146" s="238">
        <f t="shared" si="12"/>
        <v>11662</v>
      </c>
      <c r="L146" s="14" t="s">
        <v>153</v>
      </c>
      <c r="M146" s="292" t="s">
        <v>147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121"/>
    </row>
    <row r="147" spans="1:26" ht="15.75" customHeight="1">
      <c r="A147" s="125" t="str">
        <f>IF(B147&lt;&gt;"",IF(AND(B147&gt;=_TM1,B147&lt;=_TM2,OR(TH!L147="1111",TH!M147="1111")),TH!D147,""),"")</f>
        <v/>
      </c>
      <c r="B147" s="11">
        <f t="shared" si="7"/>
        <v>5</v>
      </c>
      <c r="C147" s="115">
        <f t="shared" si="11"/>
        <v>40675</v>
      </c>
      <c r="D147" s="288" t="s">
        <v>1039</v>
      </c>
      <c r="E147" s="110">
        <v>40675</v>
      </c>
      <c r="F147" s="114" t="s">
        <v>479</v>
      </c>
      <c r="G147" s="224"/>
      <c r="H147" s="242" t="s">
        <v>1037</v>
      </c>
      <c r="I147" s="141">
        <v>5</v>
      </c>
      <c r="J147" s="141">
        <v>5612</v>
      </c>
      <c r="K147" s="238">
        <f t="shared" si="12"/>
        <v>28060</v>
      </c>
      <c r="L147" s="14" t="s">
        <v>153</v>
      </c>
      <c r="M147" s="292" t="s">
        <v>147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/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121"/>
    </row>
    <row r="148" spans="1:26" ht="15.75" customHeight="1">
      <c r="A148" s="125" t="str">
        <f>IF(B148&lt;&gt;"",IF(AND(B148&gt;=_TM1,B148&lt;=_TM2,OR(TH!L148="1111",TH!M148="1111")),TH!D148,""),"")</f>
        <v/>
      </c>
      <c r="B148" s="11">
        <f t="shared" si="7"/>
        <v>5</v>
      </c>
      <c r="C148" s="115">
        <f t="shared" si="11"/>
        <v>40675</v>
      </c>
      <c r="D148" s="288" t="s">
        <v>1039</v>
      </c>
      <c r="E148" s="110">
        <v>40675</v>
      </c>
      <c r="F148" s="114" t="s">
        <v>466</v>
      </c>
      <c r="G148" s="224"/>
      <c r="H148" s="242" t="s">
        <v>1037</v>
      </c>
      <c r="I148" s="141">
        <v>86</v>
      </c>
      <c r="J148" s="141">
        <v>16925</v>
      </c>
      <c r="K148" s="238">
        <f t="shared" si="12"/>
        <v>1455550</v>
      </c>
      <c r="L148" s="14" t="s">
        <v>153</v>
      </c>
      <c r="M148" s="292" t="s">
        <v>147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/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21"/>
    </row>
    <row r="149" spans="1:26" ht="15.75" customHeight="1">
      <c r="A149" s="125" t="str">
        <f>IF(B149&lt;&gt;"",IF(AND(B149&gt;=_TM1,B149&lt;=_TM2,OR(TH!L149="1111",TH!M149="1111")),TH!D149,""),"")</f>
        <v/>
      </c>
      <c r="B149" s="11">
        <f t="shared" si="7"/>
        <v>5</v>
      </c>
      <c r="C149" s="12">
        <f t="shared" si="11"/>
        <v>40679</v>
      </c>
      <c r="D149" s="110" t="s">
        <v>651</v>
      </c>
      <c r="E149" s="12">
        <v>40679</v>
      </c>
      <c r="F149" s="15" t="s">
        <v>431</v>
      </c>
      <c r="G149" s="221" t="s">
        <v>429</v>
      </c>
      <c r="H149" s="20" t="s">
        <v>430</v>
      </c>
      <c r="I149" s="141"/>
      <c r="J149" s="141"/>
      <c r="K149" s="13">
        <v>2700000</v>
      </c>
      <c r="L149" s="14" t="s">
        <v>73</v>
      </c>
      <c r="M149" s="239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>x</v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35">
        <v>5</v>
      </c>
    </row>
    <row r="150" spans="1:26" ht="15.75" customHeight="1">
      <c r="A150" s="125" t="str">
        <f>IF(B150&lt;&gt;"",IF(AND(B150&gt;=_TM1,B150&lt;=_TM2,OR(TH!L150="1111",TH!M150="1111")),TH!D150,""),"")</f>
        <v/>
      </c>
      <c r="B150" s="11">
        <f t="shared" ref="B150:B213" si="13">IF(C150&lt;&gt;"",MONTH(C150),"")</f>
        <v>5</v>
      </c>
      <c r="C150" s="12">
        <f t="shared" si="11"/>
        <v>40679</v>
      </c>
      <c r="D150" s="110" t="s">
        <v>651</v>
      </c>
      <c r="E150" s="12">
        <v>40679</v>
      </c>
      <c r="F150" s="15" t="s">
        <v>432</v>
      </c>
      <c r="G150" s="221" t="s">
        <v>429</v>
      </c>
      <c r="H150" s="20" t="s">
        <v>430</v>
      </c>
      <c r="I150" s="141"/>
      <c r="J150" s="141"/>
      <c r="K150" s="13">
        <v>270000</v>
      </c>
      <c r="L150" s="14" t="s">
        <v>9</v>
      </c>
      <c r="M150" s="239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35">
        <v>5</v>
      </c>
    </row>
    <row r="151" spans="1:26" ht="15.75" customHeight="1">
      <c r="A151" s="125" t="str">
        <f>IF(B151&lt;&gt;"",IF(AND(B151&gt;=_TM1,B151&lt;=_TM2,OR(TH!L151="1111",TH!M151="1111")),TH!D151,""),"")</f>
        <v/>
      </c>
      <c r="B151" s="11">
        <f t="shared" si="13"/>
        <v>5</v>
      </c>
      <c r="C151" s="12">
        <f t="shared" si="11"/>
        <v>40679</v>
      </c>
      <c r="D151" s="110" t="s">
        <v>652</v>
      </c>
      <c r="E151" s="12">
        <v>40679</v>
      </c>
      <c r="F151" s="15" t="s">
        <v>433</v>
      </c>
      <c r="G151" s="221" t="s">
        <v>434</v>
      </c>
      <c r="H151" s="20" t="s">
        <v>340</v>
      </c>
      <c r="I151" s="141"/>
      <c r="J151" s="141"/>
      <c r="K151" s="13">
        <v>2200000</v>
      </c>
      <c r="L151" s="14" t="s">
        <v>77</v>
      </c>
      <c r="M151" s="239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132"/>
    </row>
    <row r="152" spans="1:26" ht="15.75" customHeight="1">
      <c r="A152" s="125" t="str">
        <f>IF(B152&lt;&gt;"",IF(AND(B152&gt;=_TM1,B152&lt;=_TM2,OR(TH!L152="1111",TH!M152="1111")),TH!D152,""),"")</f>
        <v/>
      </c>
      <c r="B152" s="11">
        <f t="shared" si="13"/>
        <v>5</v>
      </c>
      <c r="C152" s="115">
        <f t="shared" si="11"/>
        <v>40679</v>
      </c>
      <c r="D152" s="288" t="s">
        <v>1040</v>
      </c>
      <c r="E152" s="305">
        <v>40679</v>
      </c>
      <c r="F152" s="114" t="s">
        <v>478</v>
      </c>
      <c r="G152" s="224"/>
      <c r="H152" s="242" t="s">
        <v>1037</v>
      </c>
      <c r="I152" s="141">
        <v>4</v>
      </c>
      <c r="J152" s="141">
        <v>13498</v>
      </c>
      <c r="K152" s="238">
        <f t="shared" ref="K152:K159" si="14">ROUND(I152*J152,0)</f>
        <v>53992</v>
      </c>
      <c r="L152" s="14" t="s">
        <v>153</v>
      </c>
      <c r="M152" s="292" t="s">
        <v>147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/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121"/>
    </row>
    <row r="153" spans="1:26" ht="15.75" customHeight="1">
      <c r="A153" s="125" t="str">
        <f>IF(B153&lt;&gt;"",IF(AND(B153&gt;=_TM1,B153&lt;=_TM2,OR(TH!L153="1111",TH!M153="1111")),TH!D153,""),"")</f>
        <v/>
      </c>
      <c r="B153" s="11">
        <f t="shared" si="13"/>
        <v>5</v>
      </c>
      <c r="C153" s="115">
        <f t="shared" si="11"/>
        <v>40679</v>
      </c>
      <c r="D153" s="288" t="s">
        <v>1040</v>
      </c>
      <c r="E153" s="305">
        <v>40679</v>
      </c>
      <c r="F153" s="114" t="s">
        <v>478</v>
      </c>
      <c r="G153" s="224"/>
      <c r="H153" s="242" t="s">
        <v>1037</v>
      </c>
      <c r="I153" s="141">
        <v>24</v>
      </c>
      <c r="J153" s="141">
        <v>13498</v>
      </c>
      <c r="K153" s="238">
        <f t="shared" si="14"/>
        <v>323952</v>
      </c>
      <c r="L153" s="14" t="s">
        <v>153</v>
      </c>
      <c r="M153" s="292" t="s">
        <v>147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/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121"/>
    </row>
    <row r="154" spans="1:26" ht="15.75" customHeight="1">
      <c r="A154" s="125" t="str">
        <f>IF(B154&lt;&gt;"",IF(AND(B154&gt;=_TM1,B154&lt;=_TM2,OR(TH!L154="1111",TH!M154="1111")),TH!D154,""),"")</f>
        <v/>
      </c>
      <c r="B154" s="11">
        <f t="shared" si="13"/>
        <v>5</v>
      </c>
      <c r="C154" s="115">
        <f t="shared" si="11"/>
        <v>40679</v>
      </c>
      <c r="D154" s="288" t="s">
        <v>1040</v>
      </c>
      <c r="E154" s="305">
        <v>40679</v>
      </c>
      <c r="F154" s="154" t="s">
        <v>459</v>
      </c>
      <c r="G154" s="224"/>
      <c r="H154" s="242" t="s">
        <v>1037</v>
      </c>
      <c r="I154" s="143">
        <v>185</v>
      </c>
      <c r="J154" s="143">
        <v>27720</v>
      </c>
      <c r="K154" s="238">
        <f t="shared" si="14"/>
        <v>5128200</v>
      </c>
      <c r="L154" s="14" t="s">
        <v>153</v>
      </c>
      <c r="M154" s="292" t="s">
        <v>147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/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121"/>
    </row>
    <row r="155" spans="1:26" ht="15.75" customHeight="1">
      <c r="A155" s="125" t="str">
        <f>IF(B155&lt;&gt;"",IF(AND(B155&gt;=_TM1,B155&lt;=_TM2,OR(TH!L155="1111",TH!M155="1111")),TH!D155,""),"")</f>
        <v/>
      </c>
      <c r="B155" s="11">
        <f t="shared" si="13"/>
        <v>5</v>
      </c>
      <c r="C155" s="115">
        <f t="shared" si="11"/>
        <v>40679</v>
      </c>
      <c r="D155" s="288" t="s">
        <v>1040</v>
      </c>
      <c r="E155" s="305">
        <v>40679</v>
      </c>
      <c r="F155" s="114" t="s">
        <v>484</v>
      </c>
      <c r="G155" s="240"/>
      <c r="H155" s="242" t="s">
        <v>1037</v>
      </c>
      <c r="I155" s="141">
        <v>2</v>
      </c>
      <c r="J155" s="141">
        <v>8620</v>
      </c>
      <c r="K155" s="238">
        <f t="shared" si="14"/>
        <v>17240</v>
      </c>
      <c r="L155" s="14" t="s">
        <v>153</v>
      </c>
      <c r="M155" s="292" t="s">
        <v>147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121"/>
    </row>
    <row r="156" spans="1:26" ht="15.75" customHeight="1">
      <c r="A156" s="125" t="str">
        <f>IF(B156&lt;&gt;"",IF(AND(B156&gt;=_TM1,B156&lt;=_TM2,OR(TH!L156="1111",TH!M156="1111")),TH!D156,""),"")</f>
        <v/>
      </c>
      <c r="B156" s="11">
        <f t="shared" si="13"/>
        <v>5</v>
      </c>
      <c r="C156" s="115">
        <f t="shared" si="11"/>
        <v>40679</v>
      </c>
      <c r="D156" s="288" t="s">
        <v>1040</v>
      </c>
      <c r="E156" s="305">
        <v>40679</v>
      </c>
      <c r="F156" s="114" t="s">
        <v>469</v>
      </c>
      <c r="G156" s="224"/>
      <c r="H156" s="242" t="s">
        <v>1037</v>
      </c>
      <c r="I156" s="141">
        <v>5</v>
      </c>
      <c r="J156" s="141">
        <v>23716</v>
      </c>
      <c r="K156" s="238">
        <f t="shared" si="14"/>
        <v>118580</v>
      </c>
      <c r="L156" s="14" t="s">
        <v>153</v>
      </c>
      <c r="M156" s="292" t="s">
        <v>147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121"/>
    </row>
    <row r="157" spans="1:26" ht="15.75" customHeight="1">
      <c r="A157" s="125" t="str">
        <f>IF(B157&lt;&gt;"",IF(AND(B157&gt;=_TM1,B157&lt;=_TM2,OR(TH!L157="1111",TH!M157="1111")),TH!D157,""),"")</f>
        <v/>
      </c>
      <c r="B157" s="11">
        <f t="shared" si="13"/>
        <v>5</v>
      </c>
      <c r="C157" s="115">
        <f t="shared" si="11"/>
        <v>40679</v>
      </c>
      <c r="D157" s="288" t="s">
        <v>1040</v>
      </c>
      <c r="E157" s="305">
        <v>40679</v>
      </c>
      <c r="F157" s="154" t="s">
        <v>459</v>
      </c>
      <c r="G157" s="224"/>
      <c r="H157" s="242" t="s">
        <v>1037</v>
      </c>
      <c r="I157" s="141">
        <v>210</v>
      </c>
      <c r="J157" s="141">
        <v>27720</v>
      </c>
      <c r="K157" s="238">
        <f t="shared" si="14"/>
        <v>5821200</v>
      </c>
      <c r="L157" s="14" t="s">
        <v>153</v>
      </c>
      <c r="M157" s="292" t="s">
        <v>147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/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121"/>
    </row>
    <row r="158" spans="1:26" ht="15.75" customHeight="1">
      <c r="A158" s="125" t="str">
        <f>IF(B158&lt;&gt;"",IF(AND(B158&gt;=_TM1,B158&lt;=_TM2,OR(TH!L158="1111",TH!M158="1111")),TH!D158,""),"")</f>
        <v/>
      </c>
      <c r="B158" s="11">
        <f t="shared" si="13"/>
        <v>5</v>
      </c>
      <c r="C158" s="115">
        <f t="shared" si="11"/>
        <v>40679</v>
      </c>
      <c r="D158" s="288" t="s">
        <v>1040</v>
      </c>
      <c r="E158" s="305">
        <v>40679</v>
      </c>
      <c r="F158" s="154" t="s">
        <v>458</v>
      </c>
      <c r="G158" s="224"/>
      <c r="H158" s="242" t="s">
        <v>1037</v>
      </c>
      <c r="I158" s="141">
        <v>690</v>
      </c>
      <c r="J158" s="141">
        <v>25200</v>
      </c>
      <c r="K158" s="238">
        <f t="shared" si="14"/>
        <v>17388000</v>
      </c>
      <c r="L158" s="14" t="s">
        <v>153</v>
      </c>
      <c r="M158" s="292" t="s">
        <v>147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121"/>
    </row>
    <row r="159" spans="1:26" ht="15.75" customHeight="1">
      <c r="A159" s="125" t="str">
        <f>IF(B159&lt;&gt;"",IF(AND(B159&gt;=_TM1,B159&lt;=_TM2,OR(TH!L159="1111",TH!M159="1111")),TH!D159,""),"")</f>
        <v/>
      </c>
      <c r="B159" s="11">
        <f t="shared" si="13"/>
        <v>5</v>
      </c>
      <c r="C159" s="115">
        <f t="shared" si="11"/>
        <v>40679</v>
      </c>
      <c r="D159" s="288" t="s">
        <v>1040</v>
      </c>
      <c r="E159" s="305">
        <v>40679</v>
      </c>
      <c r="F159" s="154" t="s">
        <v>458</v>
      </c>
      <c r="G159" s="224"/>
      <c r="H159" s="242" t="s">
        <v>1037</v>
      </c>
      <c r="I159" s="141">
        <v>564</v>
      </c>
      <c r="J159" s="141">
        <v>25200</v>
      </c>
      <c r="K159" s="238">
        <f t="shared" si="14"/>
        <v>14212800</v>
      </c>
      <c r="L159" s="14" t="s">
        <v>153</v>
      </c>
      <c r="M159" s="292" t="s">
        <v>147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121"/>
    </row>
    <row r="160" spans="1:26" ht="15.75" customHeight="1">
      <c r="A160" s="125" t="str">
        <f>IF(B160&lt;&gt;"",IF(AND(B160&gt;=_TM1,B160&lt;=_TM2,OR(TH!L160="1111",TH!M160="1111")),TH!D160,""),"")</f>
        <v/>
      </c>
      <c r="B160" s="11">
        <f t="shared" si="13"/>
        <v>5</v>
      </c>
      <c r="C160" s="110">
        <f t="shared" si="11"/>
        <v>40680</v>
      </c>
      <c r="D160" s="110" t="s">
        <v>311</v>
      </c>
      <c r="E160" s="110">
        <v>40680</v>
      </c>
      <c r="F160" s="114" t="s">
        <v>344</v>
      </c>
      <c r="G160" s="240" t="s">
        <v>307</v>
      </c>
      <c r="H160" s="4" t="s">
        <v>476</v>
      </c>
      <c r="I160" s="141"/>
      <c r="J160" s="141"/>
      <c r="K160" s="238">
        <v>50000000</v>
      </c>
      <c r="L160" s="239" t="s">
        <v>8</v>
      </c>
      <c r="M160" s="239" t="s">
        <v>23</v>
      </c>
      <c r="N160" s="25" t="str">
        <f>IF(AND('331-CT'!$E$7=TH!H160,OR(L160="331",M160="331")),"331",IF(AND(OR(L160="131",M160="131"),H160='131-CT'!$E$7),"131",""))</f>
        <v>331</v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>x</v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235"/>
    </row>
    <row r="161" spans="1:26" ht="15.75" customHeight="1">
      <c r="A161" s="125" t="str">
        <f>IF(B161&lt;&gt;"",IF(AND(B161&gt;=_TM1,B161&lt;=_TM2,OR(TH!L161="1111",TH!M161="1111")),TH!D161,""),"")</f>
        <v/>
      </c>
      <c r="B161" s="11">
        <f t="shared" si="13"/>
        <v>5</v>
      </c>
      <c r="C161" s="110">
        <f t="shared" si="11"/>
        <v>40680</v>
      </c>
      <c r="D161" s="110" t="s">
        <v>311</v>
      </c>
      <c r="E161" s="110">
        <v>40680</v>
      </c>
      <c r="F161" s="114" t="s">
        <v>313</v>
      </c>
      <c r="G161" s="240" t="s">
        <v>307</v>
      </c>
      <c r="H161" s="4"/>
      <c r="I161" s="141"/>
      <c r="J161" s="141"/>
      <c r="K161" s="238">
        <v>10000</v>
      </c>
      <c r="L161" s="239" t="s">
        <v>73</v>
      </c>
      <c r="M161" s="239" t="s">
        <v>23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>x</v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>x</v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235"/>
    </row>
    <row r="162" spans="1:26" ht="15.75" customHeight="1">
      <c r="A162" s="125" t="str">
        <f>IF(B162&lt;&gt;"",IF(AND(B162&gt;=_TM1,B162&lt;=_TM2,OR(TH!L162="1111",TH!M162="1111")),TH!D162,""),"")</f>
        <v/>
      </c>
      <c r="B162" s="11">
        <f t="shared" si="13"/>
        <v>5</v>
      </c>
      <c r="C162" s="12">
        <f t="shared" si="11"/>
        <v>40681</v>
      </c>
      <c r="D162" s="110" t="s">
        <v>653</v>
      </c>
      <c r="E162" s="12">
        <v>40681</v>
      </c>
      <c r="F162" s="114" t="s">
        <v>1025</v>
      </c>
      <c r="G162" s="223" t="s">
        <v>483</v>
      </c>
      <c r="H162" s="4" t="s">
        <v>476</v>
      </c>
      <c r="I162" s="143"/>
      <c r="J162" s="144"/>
      <c r="K162" s="13">
        <v>14257540</v>
      </c>
      <c r="L162" s="14" t="s">
        <v>8</v>
      </c>
      <c r="M162" s="239" t="s">
        <v>44</v>
      </c>
      <c r="N162" s="25" t="str">
        <f>IF(AND('331-CT'!$E$7=TH!H162,OR(L162="331",M162="331")),"331",IF(AND(OR(L162="131",M162="131"),H162='131-CT'!$E$7),"131",""))</f>
        <v>331</v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>x</v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235"/>
    </row>
    <row r="163" spans="1:26" ht="15.75" customHeight="1">
      <c r="A163" s="125" t="str">
        <f>IF(B163&lt;&gt;"",IF(AND(B163&gt;=_TM1,B163&lt;=_TM2,OR(TH!L163="1111",TH!M163="1111")),TH!D163,""),"")</f>
        <v/>
      </c>
      <c r="B163" s="11">
        <f t="shared" si="13"/>
        <v>5</v>
      </c>
      <c r="C163" s="12">
        <f t="shared" si="11"/>
        <v>40681</v>
      </c>
      <c r="D163" s="110" t="s">
        <v>683</v>
      </c>
      <c r="E163" s="12">
        <v>40681</v>
      </c>
      <c r="F163" s="114" t="s">
        <v>484</v>
      </c>
      <c r="G163" s="223" t="s">
        <v>483</v>
      </c>
      <c r="H163" s="4" t="s">
        <v>476</v>
      </c>
      <c r="I163" s="141">
        <v>1020</v>
      </c>
      <c r="J163" s="144">
        <v>8620</v>
      </c>
      <c r="K163" s="238">
        <f>ROUND(I163*J163,0)</f>
        <v>8792400</v>
      </c>
      <c r="L163" s="14" t="s">
        <v>147</v>
      </c>
      <c r="M163" s="239" t="s">
        <v>8</v>
      </c>
      <c r="N163" s="25" t="str">
        <f>IF(AND('331-CT'!$E$7=TH!H163,OR(L163="331",M163="331")),"331",IF(AND(OR(L163="131",M163="131"),H163='131-CT'!$E$7),"131",""))</f>
        <v>331</v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235">
        <v>5</v>
      </c>
    </row>
    <row r="164" spans="1:26" ht="15.75" customHeight="1">
      <c r="A164" s="125" t="str">
        <f>IF(B164&lt;&gt;"",IF(AND(B164&gt;=_TM1,B164&lt;=_TM2,OR(TH!L164="1111",TH!M164="1111")),TH!D164,""),"")</f>
        <v/>
      </c>
      <c r="B164" s="11">
        <f t="shared" si="13"/>
        <v>5</v>
      </c>
      <c r="C164" s="12">
        <f t="shared" si="11"/>
        <v>40681</v>
      </c>
      <c r="D164" s="110" t="s">
        <v>683</v>
      </c>
      <c r="E164" s="12">
        <v>40681</v>
      </c>
      <c r="F164" s="114" t="s">
        <v>485</v>
      </c>
      <c r="G164" s="223" t="s">
        <v>483</v>
      </c>
      <c r="H164" s="4" t="s">
        <v>476</v>
      </c>
      <c r="I164" s="143">
        <v>100</v>
      </c>
      <c r="J164" s="144">
        <v>12122</v>
      </c>
      <c r="K164" s="238">
        <f>ROUND(I164*J164,0)</f>
        <v>1212200</v>
      </c>
      <c r="L164" s="14" t="s">
        <v>147</v>
      </c>
      <c r="M164" s="239" t="s">
        <v>8</v>
      </c>
      <c r="N164" s="25" t="str">
        <f>IF(AND('331-CT'!$E$7=TH!H164,OR(L164="331",M164="331")),"331",IF(AND(OR(L164="131",M164="131"),H164='131-CT'!$E$7),"131",""))</f>
        <v>331</v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235">
        <v>5</v>
      </c>
    </row>
    <row r="165" spans="1:26" ht="15.75" customHeight="1">
      <c r="A165" s="125" t="str">
        <f>IF(B165&lt;&gt;"",IF(AND(B165&gt;=_TM1,B165&lt;=_TM2,OR(TH!L165="1111",TH!M165="1111")),TH!D165,""),"")</f>
        <v/>
      </c>
      <c r="B165" s="11">
        <f t="shared" si="13"/>
        <v>5</v>
      </c>
      <c r="C165" s="12">
        <f t="shared" ref="C165:C196" si="15">E165</f>
        <v>40681</v>
      </c>
      <c r="D165" s="110" t="s">
        <v>683</v>
      </c>
      <c r="E165" s="12">
        <v>40681</v>
      </c>
      <c r="F165" s="114" t="s">
        <v>486</v>
      </c>
      <c r="G165" s="223" t="s">
        <v>483</v>
      </c>
      <c r="H165" s="4" t="s">
        <v>476</v>
      </c>
      <c r="I165" s="141">
        <v>200</v>
      </c>
      <c r="J165" s="144">
        <v>14784</v>
      </c>
      <c r="K165" s="238">
        <f>ROUND(I165*J165,0)</f>
        <v>2956800</v>
      </c>
      <c r="L165" s="14" t="s">
        <v>147</v>
      </c>
      <c r="M165" s="239" t="s">
        <v>8</v>
      </c>
      <c r="N165" s="25" t="str">
        <f>IF(AND('331-CT'!$E$7=TH!H165,OR(L165="331",M165="331")),"331",IF(AND(OR(L165="131",M165="131"),H165='131-CT'!$E$7),"131",""))</f>
        <v>331</v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235">
        <v>5</v>
      </c>
    </row>
    <row r="166" spans="1:26" ht="15.75" customHeight="1">
      <c r="A166" s="125" t="str">
        <f>IF(B166&lt;&gt;"",IF(AND(B166&gt;=_TM1,B166&lt;=_TM2,OR(TH!L166="1111",TH!M166="1111")),TH!D166,""),"")</f>
        <v/>
      </c>
      <c r="B166" s="11">
        <f t="shared" si="13"/>
        <v>5</v>
      </c>
      <c r="C166" s="12">
        <f t="shared" si="15"/>
        <v>40681</v>
      </c>
      <c r="D166" s="110" t="s">
        <v>683</v>
      </c>
      <c r="E166" s="12">
        <v>40681</v>
      </c>
      <c r="F166" s="114" t="s">
        <v>357</v>
      </c>
      <c r="G166" s="223" t="s">
        <v>483</v>
      </c>
      <c r="H166" s="4" t="s">
        <v>476</v>
      </c>
      <c r="I166" s="143"/>
      <c r="J166" s="144"/>
      <c r="K166" s="13">
        <v>1296140</v>
      </c>
      <c r="L166" s="14" t="s">
        <v>9</v>
      </c>
      <c r="M166" s="239" t="s">
        <v>8</v>
      </c>
      <c r="N166" s="25" t="str">
        <f>IF(AND('331-CT'!$E$7=TH!H166,OR(L166="331",M166="331")),"331",IF(AND(OR(L166="131",M166="131"),H166='131-CT'!$E$7),"131",""))</f>
        <v>331</v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235">
        <v>5</v>
      </c>
    </row>
    <row r="167" spans="1:26" ht="15.75" customHeight="1">
      <c r="A167" s="125" t="str">
        <f>IF(B167&lt;&gt;"",IF(AND(B167&gt;=_TM1,B167&lt;=_TM2,OR(TH!L167="1111",TH!M167="1111")),TH!D167,""),"")</f>
        <v/>
      </c>
      <c r="B167" s="11">
        <f t="shared" si="13"/>
        <v>5</v>
      </c>
      <c r="C167" s="115">
        <f t="shared" si="15"/>
        <v>40681</v>
      </c>
      <c r="D167" s="288" t="s">
        <v>1041</v>
      </c>
      <c r="E167" s="115">
        <v>40681</v>
      </c>
      <c r="F167" s="114" t="s">
        <v>466</v>
      </c>
      <c r="G167" s="224"/>
      <c r="H167" s="242" t="s">
        <v>1037</v>
      </c>
      <c r="I167" s="141">
        <v>181</v>
      </c>
      <c r="J167" s="141">
        <v>16925</v>
      </c>
      <c r="K167" s="238">
        <f t="shared" ref="K167:K175" si="16">ROUND(I167*J167,0)</f>
        <v>3063425</v>
      </c>
      <c r="L167" s="14" t="s">
        <v>153</v>
      </c>
      <c r="M167" s="292" t="s">
        <v>147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121"/>
    </row>
    <row r="168" spans="1:26" ht="15.75" customHeight="1">
      <c r="A168" s="125" t="str">
        <f>IF(B168&lt;&gt;"",IF(AND(B168&gt;=_TM1,B168&lt;=_TM2,OR(TH!L168="1111",TH!M168="1111")),TH!D168,""),"")</f>
        <v/>
      </c>
      <c r="B168" s="11">
        <f t="shared" si="13"/>
        <v>5</v>
      </c>
      <c r="C168" s="115">
        <f t="shared" si="15"/>
        <v>40681</v>
      </c>
      <c r="D168" s="288" t="s">
        <v>1041</v>
      </c>
      <c r="E168" s="115">
        <v>40681</v>
      </c>
      <c r="F168" s="114" t="s">
        <v>364</v>
      </c>
      <c r="G168" s="224"/>
      <c r="H168" s="242" t="s">
        <v>1037</v>
      </c>
      <c r="I168" s="315">
        <v>64</v>
      </c>
      <c r="J168" s="141">
        <v>4449</v>
      </c>
      <c r="K168" s="238">
        <f t="shared" si="16"/>
        <v>284736</v>
      </c>
      <c r="L168" s="14" t="s">
        <v>153</v>
      </c>
      <c r="M168" s="292" t="s">
        <v>147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>x</v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121"/>
    </row>
    <row r="169" spans="1:26" ht="15.75" customHeight="1">
      <c r="A169" s="125" t="str">
        <f>IF(B169&lt;&gt;"",IF(AND(B169&gt;=_TM1,B169&lt;=_TM2,OR(TH!L169="1111",TH!M169="1111")),TH!D169,""),"")</f>
        <v/>
      </c>
      <c r="B169" s="11">
        <f t="shared" si="13"/>
        <v>5</v>
      </c>
      <c r="C169" s="115">
        <f t="shared" si="15"/>
        <v>40681</v>
      </c>
      <c r="D169" s="288" t="s">
        <v>1041</v>
      </c>
      <c r="E169" s="115">
        <v>40681</v>
      </c>
      <c r="F169" s="154" t="s">
        <v>458</v>
      </c>
      <c r="G169" s="240"/>
      <c r="H169" s="242" t="s">
        <v>1037</v>
      </c>
      <c r="I169" s="141">
        <v>208</v>
      </c>
      <c r="J169" s="141">
        <v>25200</v>
      </c>
      <c r="K169" s="238">
        <f t="shared" si="16"/>
        <v>5241600</v>
      </c>
      <c r="L169" s="14" t="s">
        <v>153</v>
      </c>
      <c r="M169" s="292" t="s">
        <v>147</v>
      </c>
      <c r="N169" s="25" t="str">
        <f>IF(AND('331-CT'!$E$7=TH!H169,OR(L169="331",M169="331")),"331",IF(AND(OR(L169="131",M169="131"),H169='131-CT'!$E$7),"131",""))</f>
        <v/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121"/>
    </row>
    <row r="170" spans="1:26" ht="15.75" customHeight="1">
      <c r="A170" s="125" t="str">
        <f>IF(B170&lt;&gt;"",IF(AND(B170&gt;=_TM1,B170&lt;=_TM2,OR(TH!L170="1111",TH!M170="1111")),TH!D170,""),"")</f>
        <v/>
      </c>
      <c r="B170" s="11">
        <f t="shared" si="13"/>
        <v>5</v>
      </c>
      <c r="C170" s="115">
        <f t="shared" si="15"/>
        <v>40681</v>
      </c>
      <c r="D170" s="288" t="s">
        <v>1041</v>
      </c>
      <c r="E170" s="115">
        <v>40681</v>
      </c>
      <c r="F170" s="114" t="s">
        <v>494</v>
      </c>
      <c r="G170" s="224"/>
      <c r="H170" s="242" t="s">
        <v>1037</v>
      </c>
      <c r="I170" s="141">
        <v>345</v>
      </c>
      <c r="J170" s="141">
        <v>8013</v>
      </c>
      <c r="K170" s="238">
        <f t="shared" si="16"/>
        <v>2764485</v>
      </c>
      <c r="L170" s="14" t="s">
        <v>153</v>
      </c>
      <c r="M170" s="292" t="s">
        <v>147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121"/>
    </row>
    <row r="171" spans="1:26" ht="15.75" customHeight="1">
      <c r="A171" s="125" t="str">
        <f>IF(B171&lt;&gt;"",IF(AND(B171&gt;=_TM1,B171&lt;=_TM2,OR(TH!L171="1111",TH!M171="1111")),TH!D171,""),"")</f>
        <v/>
      </c>
      <c r="B171" s="11">
        <f t="shared" si="13"/>
        <v>5</v>
      </c>
      <c r="C171" s="115">
        <f t="shared" si="15"/>
        <v>40681</v>
      </c>
      <c r="D171" s="288" t="s">
        <v>1041</v>
      </c>
      <c r="E171" s="115">
        <v>40681</v>
      </c>
      <c r="F171" s="114" t="s">
        <v>484</v>
      </c>
      <c r="G171" s="224"/>
      <c r="H171" s="242" t="s">
        <v>1037</v>
      </c>
      <c r="I171" s="141">
        <v>4</v>
      </c>
      <c r="J171" s="141">
        <v>8620</v>
      </c>
      <c r="K171" s="238">
        <f t="shared" si="16"/>
        <v>34480</v>
      </c>
      <c r="L171" s="14" t="s">
        <v>153</v>
      </c>
      <c r="M171" s="292" t="s">
        <v>147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121"/>
    </row>
    <row r="172" spans="1:26" ht="15.75" customHeight="1">
      <c r="A172" s="125" t="str">
        <f>IF(B172&lt;&gt;"",IF(AND(B172&gt;=_TM1,B172&lt;=_TM2,OR(TH!L172="1111",TH!M172="1111")),TH!D172,""),"")</f>
        <v/>
      </c>
      <c r="B172" s="11">
        <f t="shared" si="13"/>
        <v>5</v>
      </c>
      <c r="C172" s="115">
        <f t="shared" si="15"/>
        <v>40681</v>
      </c>
      <c r="D172" s="288" t="s">
        <v>1041</v>
      </c>
      <c r="E172" s="115">
        <v>40681</v>
      </c>
      <c r="F172" s="114" t="s">
        <v>484</v>
      </c>
      <c r="G172" s="240"/>
      <c r="H172" s="242" t="s">
        <v>1037</v>
      </c>
      <c r="I172" s="141">
        <v>67</v>
      </c>
      <c r="J172" s="141">
        <v>8620</v>
      </c>
      <c r="K172" s="238">
        <f t="shared" si="16"/>
        <v>577540</v>
      </c>
      <c r="L172" s="14" t="s">
        <v>153</v>
      </c>
      <c r="M172" s="292" t="s">
        <v>147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121"/>
    </row>
    <row r="173" spans="1:26" ht="15.75" customHeight="1">
      <c r="A173" s="125" t="str">
        <f>IF(B173&lt;&gt;"",IF(AND(B173&gt;=_TM1,B173&lt;=_TM2,OR(TH!L173="1111",TH!M173="1111")),TH!D173,""),"")</f>
        <v/>
      </c>
      <c r="B173" s="11">
        <f t="shared" si="13"/>
        <v>5</v>
      </c>
      <c r="C173" s="115">
        <f t="shared" si="15"/>
        <v>40681</v>
      </c>
      <c r="D173" s="288" t="s">
        <v>1041</v>
      </c>
      <c r="E173" s="115">
        <v>40681</v>
      </c>
      <c r="F173" s="114" t="s">
        <v>486</v>
      </c>
      <c r="G173" s="240"/>
      <c r="H173" s="242" t="s">
        <v>1037</v>
      </c>
      <c r="I173" s="141">
        <v>27</v>
      </c>
      <c r="J173" s="141">
        <v>14784</v>
      </c>
      <c r="K173" s="238">
        <f t="shared" si="16"/>
        <v>399168</v>
      </c>
      <c r="L173" s="14" t="s">
        <v>153</v>
      </c>
      <c r="M173" s="292" t="s">
        <v>147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121"/>
    </row>
    <row r="174" spans="1:26" ht="15.75" customHeight="1">
      <c r="A174" s="125" t="str">
        <f>IF(B174&lt;&gt;"",IF(AND(B174&gt;=_TM1,B174&lt;=_TM2,OR(TH!L174="1111",TH!M174="1111")),TH!D174,""),"")</f>
        <v/>
      </c>
      <c r="B174" s="11">
        <f t="shared" si="13"/>
        <v>5</v>
      </c>
      <c r="C174" s="115">
        <f t="shared" si="15"/>
        <v>40681</v>
      </c>
      <c r="D174" s="288" t="s">
        <v>1041</v>
      </c>
      <c r="E174" s="115">
        <v>40681</v>
      </c>
      <c r="F174" s="114" t="s">
        <v>362</v>
      </c>
      <c r="G174" s="240"/>
      <c r="H174" s="242" t="s">
        <v>1037</v>
      </c>
      <c r="I174" s="141">
        <v>16</v>
      </c>
      <c r="J174" s="141">
        <v>6124</v>
      </c>
      <c r="K174" s="238">
        <f t="shared" si="16"/>
        <v>97984</v>
      </c>
      <c r="L174" s="14" t="s">
        <v>153</v>
      </c>
      <c r="M174" s="292" t="s">
        <v>147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121"/>
    </row>
    <row r="175" spans="1:26" ht="15.75" customHeight="1">
      <c r="A175" s="125" t="str">
        <f>IF(B175&lt;&gt;"",IF(AND(B175&gt;=_TM1,B175&lt;=_TM2,OR(TH!L175="1111",TH!M175="1111")),TH!D175,""),"")</f>
        <v/>
      </c>
      <c r="B175" s="11">
        <f t="shared" si="13"/>
        <v>5</v>
      </c>
      <c r="C175" s="115">
        <f t="shared" si="15"/>
        <v>40681</v>
      </c>
      <c r="D175" s="288" t="s">
        <v>1041</v>
      </c>
      <c r="E175" s="115">
        <v>40681</v>
      </c>
      <c r="F175" s="114" t="s">
        <v>486</v>
      </c>
      <c r="G175" s="240"/>
      <c r="H175" s="242" t="s">
        <v>1037</v>
      </c>
      <c r="I175" s="141">
        <v>127</v>
      </c>
      <c r="J175" s="141">
        <v>14784</v>
      </c>
      <c r="K175" s="238">
        <f t="shared" si="16"/>
        <v>1877568</v>
      </c>
      <c r="L175" s="14" t="s">
        <v>153</v>
      </c>
      <c r="M175" s="292" t="s">
        <v>147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121"/>
    </row>
    <row r="176" spans="1:26" ht="15.75" customHeight="1">
      <c r="A176" s="125" t="str">
        <f>IF(B176&lt;&gt;"",IF(AND(B176&gt;=_TM1,B176&lt;=_TM2,OR(TH!L176="1111",TH!M176="1111")),TH!D176,""),"")</f>
        <v/>
      </c>
      <c r="B176" s="11">
        <f t="shared" si="13"/>
        <v>5</v>
      </c>
      <c r="C176" s="12">
        <f t="shared" si="15"/>
        <v>40682</v>
      </c>
      <c r="D176" s="110" t="s">
        <v>654</v>
      </c>
      <c r="E176" s="12">
        <v>40682</v>
      </c>
      <c r="F176" s="15" t="s">
        <v>436</v>
      </c>
      <c r="G176" s="221" t="s">
        <v>438</v>
      </c>
      <c r="H176" s="20" t="s">
        <v>435</v>
      </c>
      <c r="I176" s="141"/>
      <c r="J176" s="141"/>
      <c r="K176" s="13">
        <v>18000000</v>
      </c>
      <c r="L176" s="14" t="s">
        <v>157</v>
      </c>
      <c r="M176" s="239" t="s">
        <v>44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>x</v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235">
        <v>5</v>
      </c>
    </row>
    <row r="177" spans="1:26" ht="15.75" customHeight="1">
      <c r="A177" s="125" t="str">
        <f>IF(B177&lt;&gt;"",IF(AND(B177&gt;=_TM1,B177&lt;=_TM2,OR(TH!L177="1111",TH!M177="1111")),TH!D177,""),"")</f>
        <v/>
      </c>
      <c r="B177" s="11">
        <f t="shared" si="13"/>
        <v>5</v>
      </c>
      <c r="C177" s="12">
        <f t="shared" si="15"/>
        <v>40682</v>
      </c>
      <c r="D177" s="110" t="s">
        <v>654</v>
      </c>
      <c r="E177" s="12">
        <v>40682</v>
      </c>
      <c r="F177" s="15" t="s">
        <v>437</v>
      </c>
      <c r="G177" s="221" t="s">
        <v>438</v>
      </c>
      <c r="H177" s="20" t="s">
        <v>435</v>
      </c>
      <c r="I177" s="141"/>
      <c r="J177" s="141"/>
      <c r="K177" s="13">
        <v>1800000</v>
      </c>
      <c r="L177" s="14" t="s">
        <v>9</v>
      </c>
      <c r="M177" s="239" t="s">
        <v>44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>x</v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235">
        <v>5</v>
      </c>
    </row>
    <row r="178" spans="1:26" ht="15.75" customHeight="1">
      <c r="A178" s="125" t="str">
        <f>IF(B178&lt;&gt;"",IF(AND(B178&gt;=_TM1,B178&lt;=_TM2,OR(TH!L178="1111",TH!M178="1111")),TH!D178,""),"")</f>
        <v/>
      </c>
      <c r="B178" s="11">
        <f t="shared" si="13"/>
        <v>5</v>
      </c>
      <c r="C178" s="12">
        <f t="shared" si="15"/>
        <v>40682</v>
      </c>
      <c r="D178" s="110" t="s">
        <v>655</v>
      </c>
      <c r="E178" s="12">
        <v>40682</v>
      </c>
      <c r="F178" s="15" t="s">
        <v>344</v>
      </c>
      <c r="G178" s="223" t="s">
        <v>488</v>
      </c>
      <c r="H178" s="19" t="s">
        <v>487</v>
      </c>
      <c r="I178" s="141"/>
      <c r="J178" s="141"/>
      <c r="K178" s="238">
        <v>1430000</v>
      </c>
      <c r="L178" s="14" t="s">
        <v>8</v>
      </c>
      <c r="M178" s="239" t="s">
        <v>44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>x</v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235"/>
    </row>
    <row r="179" spans="1:26" ht="15.75" customHeight="1">
      <c r="A179" s="125" t="str">
        <f>IF(B179&lt;&gt;"",IF(AND(B179&gt;=_TM1,B179&lt;=_TM2,OR(TH!L179="1111",TH!M179="1111")),TH!D179,""),"")</f>
        <v/>
      </c>
      <c r="B179" s="11">
        <f t="shared" si="13"/>
        <v>5</v>
      </c>
      <c r="C179" s="12">
        <f t="shared" si="15"/>
        <v>40682</v>
      </c>
      <c r="D179" s="110" t="s">
        <v>1374</v>
      </c>
      <c r="E179" s="12">
        <v>40682</v>
      </c>
      <c r="F179" s="15" t="s">
        <v>452</v>
      </c>
      <c r="G179" s="223" t="s">
        <v>488</v>
      </c>
      <c r="H179" s="19" t="s">
        <v>487</v>
      </c>
      <c r="I179" s="143">
        <v>1</v>
      </c>
      <c r="J179" s="144">
        <v>1300000</v>
      </c>
      <c r="K179" s="238">
        <f>ROUND(I179*J179,0)</f>
        <v>1300000</v>
      </c>
      <c r="L179" s="14" t="s">
        <v>149</v>
      </c>
      <c r="M179" s="14" t="s">
        <v>8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235">
        <v>5</v>
      </c>
    </row>
    <row r="180" spans="1:26" ht="15.75" customHeight="1">
      <c r="A180" s="125" t="str">
        <f>IF(B180&lt;&gt;"",IF(AND(B180&gt;=_TM1,B180&lt;=_TM2,OR(TH!L180="1111",TH!M180="1111")),TH!D180,""),"")</f>
        <v/>
      </c>
      <c r="B180" s="11">
        <f t="shared" si="13"/>
        <v>5</v>
      </c>
      <c r="C180" s="12">
        <f t="shared" si="15"/>
        <v>40682</v>
      </c>
      <c r="D180" s="110" t="s">
        <v>1374</v>
      </c>
      <c r="E180" s="12">
        <v>40682</v>
      </c>
      <c r="F180" s="15" t="s">
        <v>489</v>
      </c>
      <c r="G180" s="223" t="s">
        <v>488</v>
      </c>
      <c r="H180" s="19" t="s">
        <v>487</v>
      </c>
      <c r="I180" s="143"/>
      <c r="J180" s="143"/>
      <c r="K180" s="13">
        <v>130000</v>
      </c>
      <c r="L180" s="14" t="s">
        <v>9</v>
      </c>
      <c r="M180" s="14" t="s">
        <v>8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235">
        <v>5</v>
      </c>
    </row>
    <row r="181" spans="1:26" ht="15.75" customHeight="1">
      <c r="A181" s="125" t="str">
        <f>IF(B181&lt;&gt;"",IF(AND(B181&gt;=_TM1,B181&lt;=_TM2,OR(TH!L181="1111",TH!M181="1111")),TH!D181,""),"")</f>
        <v/>
      </c>
      <c r="B181" s="11">
        <f t="shared" si="13"/>
        <v>5</v>
      </c>
      <c r="C181" s="115">
        <f t="shared" si="15"/>
        <v>40684</v>
      </c>
      <c r="D181" s="288" t="s">
        <v>1042</v>
      </c>
      <c r="E181" s="110">
        <v>40684</v>
      </c>
      <c r="F181" s="154" t="s">
        <v>364</v>
      </c>
      <c r="G181" s="240"/>
      <c r="H181" s="242" t="s">
        <v>1037</v>
      </c>
      <c r="I181" s="315">
        <v>5</v>
      </c>
      <c r="J181" s="141">
        <v>4449</v>
      </c>
      <c r="K181" s="238">
        <f t="shared" ref="K181:K189" si="17">ROUND(I181*J181,0)</f>
        <v>22245</v>
      </c>
      <c r="L181" s="14" t="s">
        <v>153</v>
      </c>
      <c r="M181" s="292" t="s">
        <v>147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>x</v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121"/>
    </row>
    <row r="182" spans="1:26" ht="15.75" customHeight="1">
      <c r="A182" s="125" t="str">
        <f>IF(B182&lt;&gt;"",IF(AND(B182&gt;=_TM1,B182&lt;=_TM2,OR(TH!L182="1111",TH!M182="1111")),TH!D182,""),"")</f>
        <v/>
      </c>
      <c r="B182" s="11">
        <f t="shared" si="13"/>
        <v>5</v>
      </c>
      <c r="C182" s="115">
        <f t="shared" si="15"/>
        <v>40684</v>
      </c>
      <c r="D182" s="288" t="s">
        <v>1042</v>
      </c>
      <c r="E182" s="110">
        <v>40684</v>
      </c>
      <c r="F182" s="114" t="s">
        <v>484</v>
      </c>
      <c r="G182" s="224"/>
      <c r="H182" s="242" t="s">
        <v>1037</v>
      </c>
      <c r="I182" s="141">
        <v>3</v>
      </c>
      <c r="J182" s="141">
        <v>8620</v>
      </c>
      <c r="K182" s="238">
        <f t="shared" si="17"/>
        <v>25860</v>
      </c>
      <c r="L182" s="14" t="s">
        <v>153</v>
      </c>
      <c r="M182" s="292" t="s">
        <v>147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121"/>
    </row>
    <row r="183" spans="1:26" ht="15.75" customHeight="1">
      <c r="A183" s="125" t="str">
        <f>IF(B183&lt;&gt;"",IF(AND(B183&gt;=_TM1,B183&lt;=_TM2,OR(TH!L183="1111",TH!M183="1111")),TH!D183,""),"")</f>
        <v/>
      </c>
      <c r="B183" s="11">
        <f t="shared" si="13"/>
        <v>5</v>
      </c>
      <c r="C183" s="115">
        <f t="shared" si="15"/>
        <v>40684</v>
      </c>
      <c r="D183" s="288" t="s">
        <v>1042</v>
      </c>
      <c r="E183" s="110">
        <v>40684</v>
      </c>
      <c r="F183" s="154" t="s">
        <v>457</v>
      </c>
      <c r="G183" s="224"/>
      <c r="H183" s="242" t="s">
        <v>1037</v>
      </c>
      <c r="I183" s="141">
        <v>12</v>
      </c>
      <c r="J183" s="141">
        <v>16125</v>
      </c>
      <c r="K183" s="238">
        <f t="shared" si="17"/>
        <v>193500</v>
      </c>
      <c r="L183" s="14" t="s">
        <v>153</v>
      </c>
      <c r="M183" s="292" t="s">
        <v>147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121"/>
    </row>
    <row r="184" spans="1:26" ht="15.75" customHeight="1">
      <c r="A184" s="125" t="str">
        <f>IF(B184&lt;&gt;"",IF(AND(B184&gt;=_TM1,B184&lt;=_TM2,OR(TH!L184="1111",TH!M184="1111")),TH!D184,""),"")</f>
        <v/>
      </c>
      <c r="B184" s="11">
        <f t="shared" si="13"/>
        <v>5</v>
      </c>
      <c r="C184" s="115">
        <f t="shared" si="15"/>
        <v>40684</v>
      </c>
      <c r="D184" s="288" t="s">
        <v>1042</v>
      </c>
      <c r="E184" s="110">
        <v>40684</v>
      </c>
      <c r="F184" s="114" t="s">
        <v>497</v>
      </c>
      <c r="G184" s="224"/>
      <c r="H184" s="242" t="s">
        <v>1037</v>
      </c>
      <c r="I184" s="141">
        <v>9</v>
      </c>
      <c r="J184" s="141">
        <v>6400</v>
      </c>
      <c r="K184" s="238">
        <f t="shared" si="17"/>
        <v>57600</v>
      </c>
      <c r="L184" s="14" t="s">
        <v>153</v>
      </c>
      <c r="M184" s="292" t="s">
        <v>147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121"/>
    </row>
    <row r="185" spans="1:26" ht="15.75" customHeight="1">
      <c r="A185" s="125" t="str">
        <f>IF(B185&lt;&gt;"",IF(AND(B185&gt;=_TM1,B185&lt;=_TM2,OR(TH!L185="1111",TH!M185="1111")),TH!D185,""),"")</f>
        <v/>
      </c>
      <c r="B185" s="11">
        <f t="shared" si="13"/>
        <v>5</v>
      </c>
      <c r="C185" s="115">
        <f t="shared" si="15"/>
        <v>40684</v>
      </c>
      <c r="D185" s="288" t="s">
        <v>1042</v>
      </c>
      <c r="E185" s="110">
        <v>40684</v>
      </c>
      <c r="F185" s="114" t="s">
        <v>484</v>
      </c>
      <c r="G185" s="224"/>
      <c r="H185" s="242" t="s">
        <v>1037</v>
      </c>
      <c r="I185" s="141">
        <v>8</v>
      </c>
      <c r="J185" s="141">
        <v>8620</v>
      </c>
      <c r="K185" s="238">
        <f t="shared" si="17"/>
        <v>68960</v>
      </c>
      <c r="L185" s="14" t="s">
        <v>153</v>
      </c>
      <c r="M185" s="292" t="s">
        <v>147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121"/>
    </row>
    <row r="186" spans="1:26" ht="15.75" customHeight="1">
      <c r="A186" s="125" t="str">
        <f>IF(B186&lt;&gt;"",IF(AND(B186&gt;=_TM1,B186&lt;=_TM2,OR(TH!L186="1111",TH!M186="1111")),TH!D186,""),"")</f>
        <v/>
      </c>
      <c r="B186" s="11">
        <f t="shared" si="13"/>
        <v>5</v>
      </c>
      <c r="C186" s="115">
        <f t="shared" si="15"/>
        <v>40684</v>
      </c>
      <c r="D186" s="288" t="s">
        <v>1042</v>
      </c>
      <c r="E186" s="110">
        <v>40684</v>
      </c>
      <c r="F186" s="114" t="s">
        <v>484</v>
      </c>
      <c r="G186" s="221"/>
      <c r="H186" s="242" t="s">
        <v>1037</v>
      </c>
      <c r="I186" s="143">
        <v>7</v>
      </c>
      <c r="J186" s="141">
        <v>8620</v>
      </c>
      <c r="K186" s="238">
        <f t="shared" si="17"/>
        <v>60340</v>
      </c>
      <c r="L186" s="14" t="s">
        <v>153</v>
      </c>
      <c r="M186" s="292" t="s">
        <v>147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121"/>
    </row>
    <row r="187" spans="1:26" ht="15.75" customHeight="1">
      <c r="A187" s="125" t="str">
        <f>IF(B187&lt;&gt;"",IF(AND(B187&gt;=_TM1,B187&lt;=_TM2,OR(TH!L187="1111",TH!M187="1111")),TH!D187,""),"")</f>
        <v/>
      </c>
      <c r="B187" s="11">
        <f t="shared" si="13"/>
        <v>5</v>
      </c>
      <c r="C187" s="115">
        <f t="shared" si="15"/>
        <v>40684</v>
      </c>
      <c r="D187" s="288" t="s">
        <v>1042</v>
      </c>
      <c r="E187" s="110">
        <v>40684</v>
      </c>
      <c r="F187" s="114" t="s">
        <v>474</v>
      </c>
      <c r="G187" s="221"/>
      <c r="H187" s="242" t="s">
        <v>1037</v>
      </c>
      <c r="I187" s="143">
        <v>13</v>
      </c>
      <c r="J187" s="141">
        <v>11587</v>
      </c>
      <c r="K187" s="238">
        <f t="shared" si="17"/>
        <v>150631</v>
      </c>
      <c r="L187" s="14" t="s">
        <v>153</v>
      </c>
      <c r="M187" s="292" t="s">
        <v>147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121"/>
    </row>
    <row r="188" spans="1:26" ht="15.75" customHeight="1">
      <c r="A188" s="125" t="str">
        <f>IF(B188&lt;&gt;"",IF(AND(B188&gt;=_TM1,B188&lt;=_TM2,OR(TH!L188="1111",TH!M188="1111")),TH!D188,""),"")</f>
        <v/>
      </c>
      <c r="B188" s="11">
        <f t="shared" si="13"/>
        <v>5</v>
      </c>
      <c r="C188" s="115">
        <f t="shared" si="15"/>
        <v>40684</v>
      </c>
      <c r="D188" s="288" t="s">
        <v>1042</v>
      </c>
      <c r="E188" s="110">
        <v>40684</v>
      </c>
      <c r="F188" s="114" t="s">
        <v>474</v>
      </c>
      <c r="G188" s="240"/>
      <c r="H188" s="242" t="s">
        <v>1037</v>
      </c>
      <c r="I188" s="141">
        <v>5</v>
      </c>
      <c r="J188" s="141">
        <v>11587</v>
      </c>
      <c r="K188" s="238">
        <f t="shared" si="17"/>
        <v>57935</v>
      </c>
      <c r="L188" s="14" t="s">
        <v>153</v>
      </c>
      <c r="M188" s="292" t="s">
        <v>147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121"/>
    </row>
    <row r="189" spans="1:26" ht="15.75" customHeight="1">
      <c r="A189" s="125" t="str">
        <f>IF(B189&lt;&gt;"",IF(AND(B189&gt;=_TM1,B189&lt;=_TM2,OR(TH!L189="1111",TH!M189="1111")),TH!D189,""),"")</f>
        <v/>
      </c>
      <c r="B189" s="11">
        <f t="shared" si="13"/>
        <v>5</v>
      </c>
      <c r="C189" s="115">
        <f t="shared" si="15"/>
        <v>40684</v>
      </c>
      <c r="D189" s="288" t="s">
        <v>1042</v>
      </c>
      <c r="E189" s="110">
        <v>40684</v>
      </c>
      <c r="F189" s="114" t="s">
        <v>473</v>
      </c>
      <c r="G189" s="240"/>
      <c r="H189" s="242" t="s">
        <v>1037</v>
      </c>
      <c r="I189" s="141">
        <v>22</v>
      </c>
      <c r="J189" s="141">
        <v>16462</v>
      </c>
      <c r="K189" s="238">
        <f t="shared" si="17"/>
        <v>362164</v>
      </c>
      <c r="L189" s="14" t="s">
        <v>153</v>
      </c>
      <c r="M189" s="292" t="s">
        <v>147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121"/>
    </row>
    <row r="190" spans="1:26" ht="15.75" customHeight="1">
      <c r="A190" s="125" t="str">
        <f>IF(B190&lt;&gt;"",IF(AND(B190&gt;=_TM1,B190&lt;=_TM2,OR(TH!L190="1111",TH!M190="1111")),TH!D190,""),"")</f>
        <v/>
      </c>
      <c r="B190" s="11">
        <f t="shared" si="13"/>
        <v>5</v>
      </c>
      <c r="C190" s="12">
        <f t="shared" si="15"/>
        <v>40686</v>
      </c>
      <c r="D190" s="110" t="s">
        <v>656</v>
      </c>
      <c r="E190" s="12">
        <v>40686</v>
      </c>
      <c r="F190" s="15" t="s">
        <v>420</v>
      </c>
      <c r="G190" s="221" t="s">
        <v>422</v>
      </c>
      <c r="H190" s="20" t="s">
        <v>309</v>
      </c>
      <c r="I190" s="141"/>
      <c r="J190" s="141"/>
      <c r="K190" s="13">
        <v>1000000</v>
      </c>
      <c r="L190" s="14" t="s">
        <v>56</v>
      </c>
      <c r="M190" s="239" t="s">
        <v>44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>x</v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132"/>
    </row>
    <row r="191" spans="1:26" ht="15.75" customHeight="1">
      <c r="A191" s="125" t="str">
        <f>IF(B191&lt;&gt;"",IF(AND(B191&gt;=_TM1,B191&lt;=_TM2,OR(TH!L191="1111",TH!M191="1111")),TH!D191,""),"")</f>
        <v/>
      </c>
      <c r="B191" s="11">
        <f t="shared" si="13"/>
        <v>5</v>
      </c>
      <c r="C191" s="12">
        <f t="shared" si="15"/>
        <v>40686</v>
      </c>
      <c r="D191" s="110" t="s">
        <v>656</v>
      </c>
      <c r="E191" s="12">
        <v>40686</v>
      </c>
      <c r="F191" s="15" t="s">
        <v>421</v>
      </c>
      <c r="G191" s="221" t="s">
        <v>422</v>
      </c>
      <c r="H191" s="20"/>
      <c r="I191" s="141"/>
      <c r="J191" s="141"/>
      <c r="K191" s="13">
        <v>1000000</v>
      </c>
      <c r="L191" s="14" t="s">
        <v>73</v>
      </c>
      <c r="M191" s="239" t="s">
        <v>56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>x</v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132"/>
    </row>
    <row r="192" spans="1:26" ht="15.75" customHeight="1">
      <c r="A192" s="125" t="str">
        <f>IF(B192&lt;&gt;"",IF(AND(B192&gt;=_TM1,B192&lt;=_TM2,OR(TH!L192="1111",TH!M192="1111")),TH!D192,""),"")</f>
        <v/>
      </c>
      <c r="B192" s="11">
        <f t="shared" si="13"/>
        <v>5</v>
      </c>
      <c r="C192" s="12">
        <f t="shared" si="15"/>
        <v>40686</v>
      </c>
      <c r="D192" s="110" t="s">
        <v>657</v>
      </c>
      <c r="E192" s="12">
        <v>40686</v>
      </c>
      <c r="F192" s="15" t="s">
        <v>439</v>
      </c>
      <c r="G192" s="221" t="s">
        <v>440</v>
      </c>
      <c r="H192" s="20" t="s">
        <v>441</v>
      </c>
      <c r="I192" s="143"/>
      <c r="J192" s="141"/>
      <c r="K192" s="13">
        <v>27000000</v>
      </c>
      <c r="L192" s="14" t="s">
        <v>157</v>
      </c>
      <c r="M192" s="239" t="s">
        <v>44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>x</v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132"/>
    </row>
    <row r="193" spans="1:26" ht="15.75" customHeight="1">
      <c r="A193" s="125" t="str">
        <f>IF(B193&lt;&gt;"",IF(AND(B193&gt;=_TM1,B193&lt;=_TM2,OR(TH!L193="1111",TH!M193="1111")),TH!D193,""),"")</f>
        <v/>
      </c>
      <c r="B193" s="11">
        <f t="shared" si="13"/>
        <v>5</v>
      </c>
      <c r="C193" s="115">
        <f t="shared" si="15"/>
        <v>40687</v>
      </c>
      <c r="D193" s="288" t="s">
        <v>1043</v>
      </c>
      <c r="E193" s="110">
        <v>40687</v>
      </c>
      <c r="F193" s="114" t="s">
        <v>362</v>
      </c>
      <c r="G193" s="240"/>
      <c r="H193" s="242" t="s">
        <v>1037</v>
      </c>
      <c r="I193" s="141">
        <v>245</v>
      </c>
      <c r="J193" s="141">
        <v>6124</v>
      </c>
      <c r="K193" s="238">
        <f t="shared" ref="K193:K201" si="18">ROUND(I193*J193,0)</f>
        <v>1500380</v>
      </c>
      <c r="L193" s="14" t="s">
        <v>153</v>
      </c>
      <c r="M193" s="292" t="s">
        <v>147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21"/>
    </row>
    <row r="194" spans="1:26" ht="15.75" customHeight="1">
      <c r="A194" s="125" t="str">
        <f>IF(B194&lt;&gt;"",IF(AND(B194&gt;=_TM1,B194&lt;=_TM2,OR(TH!L194="1111",TH!M194="1111")),TH!D194,""),"")</f>
        <v/>
      </c>
      <c r="B194" s="11">
        <f t="shared" si="13"/>
        <v>5</v>
      </c>
      <c r="C194" s="115">
        <f t="shared" si="15"/>
        <v>40687</v>
      </c>
      <c r="D194" s="288" t="s">
        <v>1043</v>
      </c>
      <c r="E194" s="110">
        <v>40687</v>
      </c>
      <c r="F194" s="114" t="s">
        <v>468</v>
      </c>
      <c r="G194" s="224"/>
      <c r="H194" s="242" t="s">
        <v>1037</v>
      </c>
      <c r="I194" s="141">
        <v>431</v>
      </c>
      <c r="J194" s="141">
        <v>22554</v>
      </c>
      <c r="K194" s="238">
        <f t="shared" si="18"/>
        <v>9720774</v>
      </c>
      <c r="L194" s="14" t="s">
        <v>153</v>
      </c>
      <c r="M194" s="292" t="s">
        <v>147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21"/>
    </row>
    <row r="195" spans="1:26" ht="15.75" customHeight="1">
      <c r="A195" s="125" t="str">
        <f>IF(B195&lt;&gt;"",IF(AND(B195&gt;=_TM1,B195&lt;=_TM2,OR(TH!L195="1111",TH!M195="1111")),TH!D195,""),"")</f>
        <v/>
      </c>
      <c r="B195" s="11">
        <f t="shared" si="13"/>
        <v>5</v>
      </c>
      <c r="C195" s="115">
        <f t="shared" si="15"/>
        <v>40687</v>
      </c>
      <c r="D195" s="288" t="s">
        <v>1043</v>
      </c>
      <c r="E195" s="110">
        <v>40687</v>
      </c>
      <c r="F195" s="114" t="s">
        <v>486</v>
      </c>
      <c r="G195" s="224"/>
      <c r="H195" s="242" t="s">
        <v>1037</v>
      </c>
      <c r="I195" s="141">
        <v>22</v>
      </c>
      <c r="J195" s="141">
        <v>14784</v>
      </c>
      <c r="K195" s="238">
        <f t="shared" si="18"/>
        <v>325248</v>
      </c>
      <c r="L195" s="14" t="s">
        <v>153</v>
      </c>
      <c r="M195" s="292" t="s">
        <v>147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21"/>
    </row>
    <row r="196" spans="1:26" ht="15.75" customHeight="1">
      <c r="A196" s="125" t="str">
        <f>IF(B196&lt;&gt;"",IF(AND(B196&gt;=_TM1,B196&lt;=_TM2,OR(TH!L196="1111",TH!M196="1111")),TH!D196,""),"")</f>
        <v/>
      </c>
      <c r="B196" s="11">
        <f t="shared" si="13"/>
        <v>5</v>
      </c>
      <c r="C196" s="115">
        <f t="shared" si="15"/>
        <v>40687</v>
      </c>
      <c r="D196" s="288" t="s">
        <v>1043</v>
      </c>
      <c r="E196" s="110">
        <v>40687</v>
      </c>
      <c r="F196" s="114" t="s">
        <v>486</v>
      </c>
      <c r="G196" s="240"/>
      <c r="H196" s="242" t="s">
        <v>1037</v>
      </c>
      <c r="I196" s="141">
        <v>4</v>
      </c>
      <c r="J196" s="141">
        <v>14784</v>
      </c>
      <c r="K196" s="238">
        <f t="shared" si="18"/>
        <v>59136</v>
      </c>
      <c r="L196" s="14" t="s">
        <v>153</v>
      </c>
      <c r="M196" s="292" t="s">
        <v>147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21"/>
    </row>
    <row r="197" spans="1:26" ht="15.75" customHeight="1">
      <c r="A197" s="125" t="str">
        <f>IF(B197&lt;&gt;"",IF(AND(B197&gt;=_TM1,B197&lt;=_TM2,OR(TH!L197="1111",TH!M197="1111")),TH!D197,""),"")</f>
        <v/>
      </c>
      <c r="B197" s="11">
        <f t="shared" si="13"/>
        <v>5</v>
      </c>
      <c r="C197" s="115">
        <f t="shared" ref="C197:C228" si="19">E197</f>
        <v>40687</v>
      </c>
      <c r="D197" s="288" t="s">
        <v>1043</v>
      </c>
      <c r="E197" s="110">
        <v>40687</v>
      </c>
      <c r="F197" s="114" t="s">
        <v>478</v>
      </c>
      <c r="G197" s="240"/>
      <c r="H197" s="242" t="s">
        <v>1037</v>
      </c>
      <c r="I197" s="141">
        <v>2</v>
      </c>
      <c r="J197" s="141">
        <v>13498</v>
      </c>
      <c r="K197" s="238">
        <f t="shared" si="18"/>
        <v>26996</v>
      </c>
      <c r="L197" s="14" t="s">
        <v>153</v>
      </c>
      <c r="M197" s="292" t="s">
        <v>147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21"/>
    </row>
    <row r="198" spans="1:26" ht="15.75" customHeight="1">
      <c r="A198" s="125" t="str">
        <f>IF(B198&lt;&gt;"",IF(AND(B198&gt;=_TM1,B198&lt;=_TM2,OR(TH!L198="1111",TH!M198="1111")),TH!D198,""),"")</f>
        <v/>
      </c>
      <c r="B198" s="11">
        <f t="shared" si="13"/>
        <v>5</v>
      </c>
      <c r="C198" s="115">
        <f t="shared" si="19"/>
        <v>40687</v>
      </c>
      <c r="D198" s="288" t="s">
        <v>1043</v>
      </c>
      <c r="E198" s="110">
        <v>40687</v>
      </c>
      <c r="F198" s="114" t="s">
        <v>478</v>
      </c>
      <c r="G198" s="240"/>
      <c r="H198" s="242" t="s">
        <v>1037</v>
      </c>
      <c r="I198" s="141">
        <v>3</v>
      </c>
      <c r="J198" s="141">
        <v>13498</v>
      </c>
      <c r="K198" s="238">
        <f t="shared" si="18"/>
        <v>40494</v>
      </c>
      <c r="L198" s="14" t="s">
        <v>153</v>
      </c>
      <c r="M198" s="292" t="s">
        <v>147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21"/>
    </row>
    <row r="199" spans="1:26" ht="15.75" customHeight="1">
      <c r="A199" s="125" t="str">
        <f>IF(B199&lt;&gt;"",IF(AND(B199&gt;=_TM1,B199&lt;=_TM2,OR(TH!L199="1111",TH!M199="1111")),TH!D199,""),"")</f>
        <v/>
      </c>
      <c r="B199" s="11">
        <f t="shared" si="13"/>
        <v>5</v>
      </c>
      <c r="C199" s="115">
        <f t="shared" si="19"/>
        <v>40687</v>
      </c>
      <c r="D199" s="288" t="s">
        <v>1043</v>
      </c>
      <c r="E199" s="110">
        <v>40687</v>
      </c>
      <c r="F199" s="114" t="s">
        <v>478</v>
      </c>
      <c r="G199" s="240"/>
      <c r="H199" s="242" t="s">
        <v>1037</v>
      </c>
      <c r="I199" s="141">
        <v>1</v>
      </c>
      <c r="J199" s="141">
        <v>13498</v>
      </c>
      <c r="K199" s="238">
        <f t="shared" si="18"/>
        <v>13498</v>
      </c>
      <c r="L199" s="14" t="s">
        <v>153</v>
      </c>
      <c r="M199" s="292" t="s">
        <v>147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121"/>
    </row>
    <row r="200" spans="1:26" ht="15.75" customHeight="1">
      <c r="A200" s="125" t="str">
        <f>IF(B200&lt;&gt;"",IF(AND(B200&gt;=_TM1,B200&lt;=_TM2,OR(TH!L200="1111",TH!M200="1111")),TH!D200,""),"")</f>
        <v/>
      </c>
      <c r="B200" s="11">
        <f t="shared" si="13"/>
        <v>5</v>
      </c>
      <c r="C200" s="115">
        <f t="shared" si="19"/>
        <v>40687</v>
      </c>
      <c r="D200" s="288" t="s">
        <v>1043</v>
      </c>
      <c r="E200" s="110">
        <v>40687</v>
      </c>
      <c r="F200" s="114" t="s">
        <v>494</v>
      </c>
      <c r="G200" s="240"/>
      <c r="H200" s="242" t="s">
        <v>1037</v>
      </c>
      <c r="I200" s="141">
        <v>5</v>
      </c>
      <c r="J200" s="141">
        <v>8013</v>
      </c>
      <c r="K200" s="238">
        <f t="shared" si="18"/>
        <v>40065</v>
      </c>
      <c r="L200" s="14" t="s">
        <v>153</v>
      </c>
      <c r="M200" s="292" t="s">
        <v>147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121"/>
    </row>
    <row r="201" spans="1:26" ht="15.75" customHeight="1">
      <c r="A201" s="125" t="str">
        <f>IF(B201&lt;&gt;"",IF(AND(B201&gt;=_TM1,B201&lt;=_TM2,OR(TH!L201="1111",TH!M201="1111")),TH!D201,""),"")</f>
        <v/>
      </c>
      <c r="B201" s="11">
        <f t="shared" si="13"/>
        <v>5</v>
      </c>
      <c r="C201" s="115">
        <f t="shared" si="19"/>
        <v>40687</v>
      </c>
      <c r="D201" s="288" t="s">
        <v>1043</v>
      </c>
      <c r="E201" s="110">
        <v>40687</v>
      </c>
      <c r="F201" s="114" t="s">
        <v>491</v>
      </c>
      <c r="G201" s="224"/>
      <c r="H201" s="242" t="s">
        <v>1037</v>
      </c>
      <c r="I201" s="141">
        <v>346</v>
      </c>
      <c r="J201" s="141">
        <v>15246</v>
      </c>
      <c r="K201" s="238">
        <f t="shared" si="18"/>
        <v>5275116</v>
      </c>
      <c r="L201" s="14" t="s">
        <v>153</v>
      </c>
      <c r="M201" s="292" t="s">
        <v>147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121"/>
    </row>
    <row r="202" spans="1:26" ht="15.75" customHeight="1">
      <c r="A202" s="125" t="str">
        <f>IF(B202&lt;&gt;"",IF(AND(B202&gt;=_TM1,B202&lt;=_TM2,OR(TH!L202="1111",TH!M202="1111")),TH!D202,""),"")</f>
        <v/>
      </c>
      <c r="B202" s="11">
        <f t="shared" si="13"/>
        <v>5</v>
      </c>
      <c r="C202" s="110">
        <f t="shared" si="19"/>
        <v>40688</v>
      </c>
      <c r="D202" s="110" t="s">
        <v>310</v>
      </c>
      <c r="E202" s="110">
        <v>40688</v>
      </c>
      <c r="F202" s="114" t="s">
        <v>341</v>
      </c>
      <c r="G202" s="240" t="s">
        <v>307</v>
      </c>
      <c r="H202" s="19"/>
      <c r="I202" s="141"/>
      <c r="J202" s="141"/>
      <c r="K202" s="238">
        <v>278305</v>
      </c>
      <c r="L202" s="239" t="s">
        <v>23</v>
      </c>
      <c r="M202" s="239" t="s">
        <v>37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>x</v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235"/>
    </row>
    <row r="203" spans="1:26" ht="15.75" customHeight="1">
      <c r="A203" s="125" t="str">
        <f>IF(B203&lt;&gt;"",IF(AND(B203&gt;=_TM1,B203&lt;=_TM2,OR(TH!L203="1111",TH!M203="1111")),TH!D203,""),"")</f>
        <v/>
      </c>
      <c r="B203" s="11">
        <f t="shared" si="13"/>
        <v>5</v>
      </c>
      <c r="C203" s="12">
        <f t="shared" si="19"/>
        <v>40688</v>
      </c>
      <c r="D203" s="110" t="s">
        <v>684</v>
      </c>
      <c r="E203" s="12">
        <v>40688</v>
      </c>
      <c r="F203" s="114" t="s">
        <v>491</v>
      </c>
      <c r="G203" s="223" t="s">
        <v>490</v>
      </c>
      <c r="H203" s="4" t="s">
        <v>476</v>
      </c>
      <c r="I203" s="141">
        <v>346</v>
      </c>
      <c r="J203" s="144">
        <v>15246</v>
      </c>
      <c r="K203" s="238">
        <f>ROUND(I203*J203,0)</f>
        <v>5275116</v>
      </c>
      <c r="L203" s="14" t="s">
        <v>147</v>
      </c>
      <c r="M203" s="239" t="s">
        <v>8</v>
      </c>
      <c r="N203" s="25" t="str">
        <f>IF(AND('331-CT'!$E$7=TH!H203,OR(L203="331",M203="331")),"331",IF(AND(OR(L203="131",M203="131"),H203='131-CT'!$E$7),"131",""))</f>
        <v>331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235">
        <v>5</v>
      </c>
    </row>
    <row r="204" spans="1:26" ht="15.75" customHeight="1">
      <c r="A204" s="125" t="str">
        <f>IF(B204&lt;&gt;"",IF(AND(B204&gt;=_TM1,B204&lt;=_TM2,OR(TH!L204="1111",TH!M204="1111")),TH!D204,""),"")</f>
        <v/>
      </c>
      <c r="B204" s="11">
        <f t="shared" si="13"/>
        <v>5</v>
      </c>
      <c r="C204" s="12">
        <f t="shared" si="19"/>
        <v>40688</v>
      </c>
      <c r="D204" s="110" t="s">
        <v>684</v>
      </c>
      <c r="E204" s="12">
        <v>40688</v>
      </c>
      <c r="F204" s="114" t="s">
        <v>467</v>
      </c>
      <c r="G204" s="223" t="s">
        <v>490</v>
      </c>
      <c r="H204" s="4" t="s">
        <v>476</v>
      </c>
      <c r="I204" s="141">
        <v>643</v>
      </c>
      <c r="J204" s="141">
        <v>17427</v>
      </c>
      <c r="K204" s="238">
        <f>ROUND(I204*J204,0)</f>
        <v>11205561</v>
      </c>
      <c r="L204" s="14" t="s">
        <v>147</v>
      </c>
      <c r="M204" s="239" t="s">
        <v>8</v>
      </c>
      <c r="N204" s="25" t="str">
        <f>IF(AND('331-CT'!$E$7=TH!H204,OR(L204="331",M204="331")),"331",IF(AND(OR(L204="131",M204="131"),H204='131-CT'!$E$7),"131",""))</f>
        <v>331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235">
        <v>5</v>
      </c>
    </row>
    <row r="205" spans="1:26" ht="15.75" customHeight="1">
      <c r="A205" s="125" t="str">
        <f>IF(B205&lt;&gt;"",IF(AND(B205&gt;=_TM1,B205&lt;=_TM2,OR(TH!L205="1111",TH!M205="1111")),TH!D205,""),"")</f>
        <v/>
      </c>
      <c r="B205" s="11">
        <f t="shared" si="13"/>
        <v>5</v>
      </c>
      <c r="C205" s="12">
        <f t="shared" si="19"/>
        <v>40688</v>
      </c>
      <c r="D205" s="110" t="s">
        <v>684</v>
      </c>
      <c r="E205" s="12">
        <v>40688</v>
      </c>
      <c r="F205" s="114" t="s">
        <v>492</v>
      </c>
      <c r="G205" s="223" t="s">
        <v>490</v>
      </c>
      <c r="H205" s="4" t="s">
        <v>476</v>
      </c>
      <c r="I205" s="141">
        <v>110</v>
      </c>
      <c r="J205" s="141">
        <v>19316</v>
      </c>
      <c r="K205" s="238">
        <f>ROUND(I205*J205,0)</f>
        <v>2124760</v>
      </c>
      <c r="L205" s="14" t="s">
        <v>147</v>
      </c>
      <c r="M205" s="239" t="s">
        <v>8</v>
      </c>
      <c r="N205" s="25" t="str">
        <f>IF(AND('331-CT'!$E$7=TH!H205,OR(L205="331",M205="331")),"331",IF(AND(OR(L205="131",M205="131"),H205='131-CT'!$E$7),"131",""))</f>
        <v>331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235">
        <v>5</v>
      </c>
    </row>
    <row r="206" spans="1:26" ht="15.75" customHeight="1">
      <c r="A206" s="125" t="str">
        <f>IF(B206&lt;&gt;"",IF(AND(B206&gt;=_TM1,B206&lt;=_TM2,OR(TH!L206="1111",TH!M206="1111")),TH!D206,""),"")</f>
        <v/>
      </c>
      <c r="B206" s="11">
        <f t="shared" si="13"/>
        <v>5</v>
      </c>
      <c r="C206" s="12">
        <f t="shared" si="19"/>
        <v>40688</v>
      </c>
      <c r="D206" s="110" t="s">
        <v>684</v>
      </c>
      <c r="E206" s="12">
        <v>40688</v>
      </c>
      <c r="F206" s="114" t="s">
        <v>474</v>
      </c>
      <c r="G206" s="223" t="s">
        <v>490</v>
      </c>
      <c r="H206" s="4" t="s">
        <v>476</v>
      </c>
      <c r="I206" s="141">
        <v>293</v>
      </c>
      <c r="J206" s="141">
        <v>11587</v>
      </c>
      <c r="K206" s="238">
        <f>ROUND(I206*J206,0)</f>
        <v>3394991</v>
      </c>
      <c r="L206" s="14" t="s">
        <v>147</v>
      </c>
      <c r="M206" s="239" t="s">
        <v>8</v>
      </c>
      <c r="N206" s="25" t="str">
        <f>IF(AND('331-CT'!$E$7=TH!H206,OR(L206="331",M206="331")),"331",IF(AND(OR(L206="131",M206="131"),H206='131-CT'!$E$7),"131",""))</f>
        <v>331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235">
        <v>5</v>
      </c>
    </row>
    <row r="207" spans="1:26" ht="15.75" customHeight="1">
      <c r="A207" s="125" t="str">
        <f>IF(B207&lt;&gt;"",IF(AND(B207&gt;=_TM1,B207&lt;=_TM2,OR(TH!L207="1111",TH!M207="1111")),TH!D207,""),"")</f>
        <v/>
      </c>
      <c r="B207" s="11">
        <f t="shared" si="13"/>
        <v>5</v>
      </c>
      <c r="C207" s="12">
        <f t="shared" si="19"/>
        <v>40688</v>
      </c>
      <c r="D207" s="110" t="s">
        <v>684</v>
      </c>
      <c r="E207" s="12">
        <v>40688</v>
      </c>
      <c r="F207" s="114" t="s">
        <v>357</v>
      </c>
      <c r="G207" s="223" t="s">
        <v>490</v>
      </c>
      <c r="H207" s="4" t="s">
        <v>476</v>
      </c>
      <c r="I207" s="141"/>
      <c r="J207" s="141"/>
      <c r="K207" s="13">
        <v>2200043</v>
      </c>
      <c r="L207" s="14" t="s">
        <v>9</v>
      </c>
      <c r="M207" s="239" t="s">
        <v>8</v>
      </c>
      <c r="N207" s="25" t="str">
        <f>IF(AND('331-CT'!$E$7=TH!H207,OR(L207="331",M207="331")),"331",IF(AND(OR(L207="131",M207="131"),H207='131-CT'!$E$7),"131",""))</f>
        <v>331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235">
        <v>5</v>
      </c>
    </row>
    <row r="208" spans="1:26" ht="15.75" customHeight="1">
      <c r="A208" s="125" t="str">
        <f>IF(B208&lt;&gt;"",IF(AND(B208&gt;=_TM1,B208&lt;=_TM2,OR(TH!L208="1111",TH!M208="1111")),TH!D208,""),"")</f>
        <v/>
      </c>
      <c r="B208" s="11">
        <f t="shared" si="13"/>
        <v>5</v>
      </c>
      <c r="C208" s="12">
        <f t="shared" si="19"/>
        <v>40688</v>
      </c>
      <c r="D208" s="110" t="s">
        <v>685</v>
      </c>
      <c r="E208" s="12">
        <v>40688</v>
      </c>
      <c r="F208" s="114" t="s">
        <v>494</v>
      </c>
      <c r="G208" s="223" t="s">
        <v>493</v>
      </c>
      <c r="H208" s="4" t="s">
        <v>476</v>
      </c>
      <c r="I208" s="141">
        <v>490</v>
      </c>
      <c r="J208" s="141">
        <v>8013</v>
      </c>
      <c r="K208" s="238">
        <f t="shared" ref="K208:K214" si="20">ROUND(I208*J208,0)</f>
        <v>3926370</v>
      </c>
      <c r="L208" s="14" t="s">
        <v>147</v>
      </c>
      <c r="M208" s="239" t="s">
        <v>8</v>
      </c>
      <c r="N208" s="25" t="str">
        <f>IF(AND('331-CT'!$E$7=TH!H208,OR(L208="331",M208="331")),"331",IF(AND(OR(L208="131",M208="131"),H208='131-CT'!$E$7),"131",""))</f>
        <v>331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235">
        <v>5</v>
      </c>
    </row>
    <row r="209" spans="1:26" ht="15.75" customHeight="1">
      <c r="A209" s="125" t="str">
        <f>IF(B209&lt;&gt;"",IF(AND(B209&gt;=_TM1,B209&lt;=_TM2,OR(TH!L209="1111",TH!M209="1111")),TH!D209,""),"")</f>
        <v/>
      </c>
      <c r="B209" s="11">
        <f t="shared" si="13"/>
        <v>5</v>
      </c>
      <c r="C209" s="12">
        <f t="shared" si="19"/>
        <v>40688</v>
      </c>
      <c r="D209" s="110" t="s">
        <v>685</v>
      </c>
      <c r="E209" s="12">
        <v>40688</v>
      </c>
      <c r="F209" s="114" t="s">
        <v>495</v>
      </c>
      <c r="G209" s="223" t="s">
        <v>493</v>
      </c>
      <c r="H209" s="4" t="s">
        <v>476</v>
      </c>
      <c r="I209" s="141">
        <v>840</v>
      </c>
      <c r="J209" s="141">
        <v>10930</v>
      </c>
      <c r="K209" s="238">
        <f t="shared" si="20"/>
        <v>9181200</v>
      </c>
      <c r="L209" s="14" t="s">
        <v>147</v>
      </c>
      <c r="M209" s="239" t="s">
        <v>8</v>
      </c>
      <c r="N209" s="25" t="str">
        <f>IF(AND('331-CT'!$E$7=TH!H209,OR(L209="331",M209="331")),"331",IF(AND(OR(L209="131",M209="131"),H209='131-CT'!$E$7),"131",""))</f>
        <v>331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235">
        <v>5</v>
      </c>
    </row>
    <row r="210" spans="1:26" ht="15.75" customHeight="1">
      <c r="A210" s="125" t="str">
        <f>IF(B210&lt;&gt;"",IF(AND(B210&gt;=_TM1,B210&lt;=_TM2,OR(TH!L210="1111",TH!M210="1111")),TH!D210,""),"")</f>
        <v/>
      </c>
      <c r="B210" s="11">
        <f t="shared" si="13"/>
        <v>5</v>
      </c>
      <c r="C210" s="12">
        <f t="shared" si="19"/>
        <v>40688</v>
      </c>
      <c r="D210" s="110" t="s">
        <v>685</v>
      </c>
      <c r="E210" s="12">
        <v>40688</v>
      </c>
      <c r="F210" s="114" t="s">
        <v>496</v>
      </c>
      <c r="G210" s="223" t="s">
        <v>493</v>
      </c>
      <c r="H210" s="4" t="s">
        <v>476</v>
      </c>
      <c r="I210" s="141">
        <v>745</v>
      </c>
      <c r="J210" s="141">
        <v>10603</v>
      </c>
      <c r="K210" s="238">
        <f t="shared" si="20"/>
        <v>7899235</v>
      </c>
      <c r="L210" s="14" t="s">
        <v>147</v>
      </c>
      <c r="M210" s="239" t="s">
        <v>8</v>
      </c>
      <c r="N210" s="25" t="str">
        <f>IF(AND('331-CT'!$E$7=TH!H210,OR(L210="331",M210="331")),"331",IF(AND(OR(L210="131",M210="131"),H210='131-CT'!$E$7),"131",""))</f>
        <v>331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235">
        <v>5</v>
      </c>
    </row>
    <row r="211" spans="1:26" ht="15.75" customHeight="1">
      <c r="A211" s="125" t="str">
        <f>IF(B211&lt;&gt;"",IF(AND(B211&gt;=_TM1,B211&lt;=_TM2,OR(TH!L211="1111",TH!M211="1111")),TH!D211,""),"")</f>
        <v/>
      </c>
      <c r="B211" s="11">
        <f t="shared" si="13"/>
        <v>5</v>
      </c>
      <c r="C211" s="12">
        <f t="shared" si="19"/>
        <v>40688</v>
      </c>
      <c r="D211" s="110" t="s">
        <v>685</v>
      </c>
      <c r="E211" s="12">
        <v>40688</v>
      </c>
      <c r="F211" s="114" t="s">
        <v>497</v>
      </c>
      <c r="G211" s="223" t="s">
        <v>493</v>
      </c>
      <c r="H211" s="4" t="s">
        <v>476</v>
      </c>
      <c r="I211" s="141">
        <v>210</v>
      </c>
      <c r="J211" s="141">
        <v>6400</v>
      </c>
      <c r="K211" s="238">
        <f t="shared" si="20"/>
        <v>1344000</v>
      </c>
      <c r="L211" s="14" t="s">
        <v>147</v>
      </c>
      <c r="M211" s="239" t="s">
        <v>8</v>
      </c>
      <c r="N211" s="25" t="str">
        <f>IF(AND('331-CT'!$E$7=TH!H211,OR(L211="331",M211="331")),"331",IF(AND(OR(L211="131",M211="131"),H211='131-CT'!$E$7),"131",""))</f>
        <v>331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235">
        <v>5</v>
      </c>
    </row>
    <row r="212" spans="1:26" ht="15.75" customHeight="1">
      <c r="A212" s="125" t="str">
        <f>IF(B212&lt;&gt;"",IF(AND(B212&gt;=_TM1,B212&lt;=_TM2,OR(TH!L212="1111",TH!M212="1111")),TH!D212,""),"")</f>
        <v/>
      </c>
      <c r="B212" s="11">
        <f t="shared" si="13"/>
        <v>5</v>
      </c>
      <c r="C212" s="12">
        <f t="shared" si="19"/>
        <v>40688</v>
      </c>
      <c r="D212" s="110" t="s">
        <v>685</v>
      </c>
      <c r="E212" s="12">
        <v>40688</v>
      </c>
      <c r="F212" s="114" t="s">
        <v>498</v>
      </c>
      <c r="G212" s="223" t="s">
        <v>493</v>
      </c>
      <c r="H212" s="4" t="s">
        <v>476</v>
      </c>
      <c r="I212" s="143">
        <v>58</v>
      </c>
      <c r="J212" s="143">
        <v>26880</v>
      </c>
      <c r="K212" s="238">
        <f t="shared" si="20"/>
        <v>1559040</v>
      </c>
      <c r="L212" s="14" t="s">
        <v>147</v>
      </c>
      <c r="M212" s="239" t="s">
        <v>8</v>
      </c>
      <c r="N212" s="25" t="str">
        <f>IF(AND('331-CT'!$E$7=TH!H212,OR(L212="331",M212="331")),"331",IF(AND(OR(L212="131",M212="131"),H212='131-CT'!$E$7),"131",""))</f>
        <v>331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235">
        <v>5</v>
      </c>
    </row>
    <row r="213" spans="1:26" ht="15.75" customHeight="1">
      <c r="A213" s="125" t="str">
        <f>IF(B213&lt;&gt;"",IF(AND(B213&gt;=_TM1,B213&lt;=_TM2,OR(TH!L213="1111",TH!M213="1111")),TH!D213,""),"")</f>
        <v/>
      </c>
      <c r="B213" s="11">
        <f t="shared" si="13"/>
        <v>5</v>
      </c>
      <c r="C213" s="12">
        <f t="shared" si="19"/>
        <v>40688</v>
      </c>
      <c r="D213" s="110" t="s">
        <v>685</v>
      </c>
      <c r="E213" s="12">
        <v>40688</v>
      </c>
      <c r="F213" s="114" t="s">
        <v>499</v>
      </c>
      <c r="G213" s="223" t="s">
        <v>493</v>
      </c>
      <c r="H213" s="4" t="s">
        <v>476</v>
      </c>
      <c r="I213" s="143">
        <v>205</v>
      </c>
      <c r="J213" s="143">
        <v>11373</v>
      </c>
      <c r="K213" s="238">
        <f t="shared" si="20"/>
        <v>2331465</v>
      </c>
      <c r="L213" s="14" t="s">
        <v>147</v>
      </c>
      <c r="M213" s="239" t="s">
        <v>8</v>
      </c>
      <c r="N213" s="25" t="str">
        <f>IF(AND('331-CT'!$E$7=TH!H213,OR(L213="331",M213="331")),"331",IF(AND(OR(L213="131",M213="131"),H213='131-CT'!$E$7),"131",""))</f>
        <v>331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235">
        <v>5</v>
      </c>
    </row>
    <row r="214" spans="1:26" ht="15.75" customHeight="1">
      <c r="A214" s="125" t="str">
        <f>IF(B214&lt;&gt;"",IF(AND(B214&gt;=_TM1,B214&lt;=_TM2,OR(TH!L214="1111",TH!M214="1111")),TH!D214,""),"")</f>
        <v/>
      </c>
      <c r="B214" s="11">
        <f t="shared" ref="B214:B277" si="21">IF(C214&lt;&gt;"",MONTH(C214),"")</f>
        <v>5</v>
      </c>
      <c r="C214" s="12">
        <f t="shared" si="19"/>
        <v>40688</v>
      </c>
      <c r="D214" s="110" t="s">
        <v>685</v>
      </c>
      <c r="E214" s="12">
        <v>40688</v>
      </c>
      <c r="F214" s="114" t="s">
        <v>500</v>
      </c>
      <c r="G214" s="223" t="s">
        <v>493</v>
      </c>
      <c r="H214" s="4" t="s">
        <v>476</v>
      </c>
      <c r="I214" s="141">
        <v>295</v>
      </c>
      <c r="J214" s="141">
        <v>7268</v>
      </c>
      <c r="K214" s="238">
        <f t="shared" si="20"/>
        <v>2144060</v>
      </c>
      <c r="L214" s="14" t="s">
        <v>147</v>
      </c>
      <c r="M214" s="239" t="s">
        <v>8</v>
      </c>
      <c r="N214" s="25" t="str">
        <f>IF(AND('331-CT'!$E$7=TH!H214,OR(L214="331",M214="331")),"331",IF(AND(OR(L214="131",M214="131"),H214='131-CT'!$E$7),"131",""))</f>
        <v>331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235">
        <v>5</v>
      </c>
    </row>
    <row r="215" spans="1:26" ht="15.75" customHeight="1">
      <c r="A215" s="125" t="str">
        <f>IF(B215&lt;&gt;"",IF(AND(B215&gt;=_TM1,B215&lt;=_TM2,OR(TH!L215="1111",TH!M215="1111")),TH!D215,""),"")</f>
        <v/>
      </c>
      <c r="B215" s="11">
        <f t="shared" si="21"/>
        <v>5</v>
      </c>
      <c r="C215" s="12">
        <f t="shared" si="19"/>
        <v>40688</v>
      </c>
      <c r="D215" s="110" t="s">
        <v>685</v>
      </c>
      <c r="E215" s="12">
        <v>40688</v>
      </c>
      <c r="F215" s="114" t="s">
        <v>357</v>
      </c>
      <c r="G215" s="223" t="s">
        <v>493</v>
      </c>
      <c r="H215" s="4" t="s">
        <v>476</v>
      </c>
      <c r="I215" s="141"/>
      <c r="J215" s="141"/>
      <c r="K215" s="13">
        <v>2838537</v>
      </c>
      <c r="L215" s="14" t="s">
        <v>9</v>
      </c>
      <c r="M215" s="239" t="s">
        <v>8</v>
      </c>
      <c r="N215" s="25" t="str">
        <f>IF(AND('331-CT'!$E$7=TH!H215,OR(L215="331",M215="331")),"331",IF(AND(OR(L215="131",M215="131"),H215='131-CT'!$E$7),"131",""))</f>
        <v>331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235">
        <v>5</v>
      </c>
    </row>
    <row r="216" spans="1:26" ht="15.75" customHeight="1">
      <c r="A216" s="125" t="str">
        <f>IF(B216&lt;&gt;"",IF(AND(B216&gt;=_TM1,B216&lt;=_TM2,OR(TH!L216="1111",TH!M216="1111")),TH!D216,""),"")</f>
        <v/>
      </c>
      <c r="B216" s="11">
        <f t="shared" si="21"/>
        <v>5</v>
      </c>
      <c r="C216" s="115">
        <f t="shared" si="19"/>
        <v>40688</v>
      </c>
      <c r="D216" s="288" t="s">
        <v>1044</v>
      </c>
      <c r="E216" s="115">
        <v>40688</v>
      </c>
      <c r="F216" s="154" t="s">
        <v>364</v>
      </c>
      <c r="G216" s="224"/>
      <c r="H216" s="242" t="s">
        <v>1037</v>
      </c>
      <c r="I216" s="315">
        <v>239</v>
      </c>
      <c r="J216" s="141">
        <v>4449</v>
      </c>
      <c r="K216" s="238">
        <f t="shared" ref="K216:K224" si="22">ROUND(I216*J216,0)</f>
        <v>1063311</v>
      </c>
      <c r="L216" s="14" t="s">
        <v>153</v>
      </c>
      <c r="M216" s="292" t="s">
        <v>147</v>
      </c>
      <c r="N216" s="25" t="str">
        <f>IF(AND('331-CT'!$E$7=TH!H216,OR(L216="331",M216="331")),"331",IF(AND(OR(L216="131",M216="131"),H216='131-CT'!$E$7),"131",""))</f>
        <v/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>x</v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121"/>
    </row>
    <row r="217" spans="1:26" ht="15.75" customHeight="1">
      <c r="A217" s="125" t="str">
        <f>IF(B217&lt;&gt;"",IF(AND(B217&gt;=_TM1,B217&lt;=_TM2,OR(TH!L217="1111",TH!M217="1111")),TH!D217,""),"")</f>
        <v/>
      </c>
      <c r="B217" s="11">
        <f t="shared" si="21"/>
        <v>5</v>
      </c>
      <c r="C217" s="115">
        <f t="shared" si="19"/>
        <v>40688</v>
      </c>
      <c r="D217" s="288" t="s">
        <v>1044</v>
      </c>
      <c r="E217" s="115">
        <v>40688</v>
      </c>
      <c r="F217" s="114" t="s">
        <v>364</v>
      </c>
      <c r="G217" s="224"/>
      <c r="H217" s="242" t="s">
        <v>1037</v>
      </c>
      <c r="I217" s="315">
        <v>51</v>
      </c>
      <c r="J217" s="141">
        <v>4449</v>
      </c>
      <c r="K217" s="238">
        <f t="shared" si="22"/>
        <v>226899</v>
      </c>
      <c r="L217" s="14" t="s">
        <v>153</v>
      </c>
      <c r="M217" s="292" t="s">
        <v>147</v>
      </c>
      <c r="N217" s="25" t="str">
        <f>IF(AND('331-CT'!$E$7=TH!H217,OR(L217="331",M217="331")),"331",IF(AND(OR(L217="131",M217="131"),H217='131-CT'!$E$7),"131",""))</f>
        <v/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>x</v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121"/>
    </row>
    <row r="218" spans="1:26" ht="15.75" customHeight="1">
      <c r="A218" s="125" t="str">
        <f>IF(B218&lt;&gt;"",IF(AND(B218&gt;=_TM1,B218&lt;=_TM2,OR(TH!L218="1111",TH!M218="1111")),TH!D218,""),"")</f>
        <v/>
      </c>
      <c r="B218" s="11">
        <f t="shared" si="21"/>
        <v>5</v>
      </c>
      <c r="C218" s="115">
        <f t="shared" si="19"/>
        <v>40688</v>
      </c>
      <c r="D218" s="288" t="s">
        <v>1044</v>
      </c>
      <c r="E218" s="115">
        <v>40688</v>
      </c>
      <c r="F218" s="154" t="s">
        <v>458</v>
      </c>
      <c r="G218" s="224"/>
      <c r="H218" s="242" t="s">
        <v>1037</v>
      </c>
      <c r="I218" s="141">
        <v>12</v>
      </c>
      <c r="J218" s="141">
        <v>25200</v>
      </c>
      <c r="K218" s="238">
        <f t="shared" si="22"/>
        <v>302400</v>
      </c>
      <c r="L218" s="14" t="s">
        <v>153</v>
      </c>
      <c r="M218" s="292" t="s">
        <v>147</v>
      </c>
      <c r="N218" s="25" t="str">
        <f>IF(AND('331-CT'!$E$7=TH!H218,OR(L218="331",M218="331")),"331",IF(AND(OR(L218="131",M218="131"),H218='131-CT'!$E$7),"131",""))</f>
        <v/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121"/>
    </row>
    <row r="219" spans="1:26" ht="15.75" customHeight="1">
      <c r="A219" s="125" t="str">
        <f>IF(B219&lt;&gt;"",IF(AND(B219&gt;=_TM1,B219&lt;=_TM2,OR(TH!L219="1111",TH!M219="1111")),TH!D219,""),"")</f>
        <v/>
      </c>
      <c r="B219" s="11">
        <f t="shared" si="21"/>
        <v>5</v>
      </c>
      <c r="C219" s="115">
        <f t="shared" si="19"/>
        <v>40688</v>
      </c>
      <c r="D219" s="288" t="s">
        <v>1044</v>
      </c>
      <c r="E219" s="115">
        <v>40688</v>
      </c>
      <c r="F219" s="114" t="s">
        <v>468</v>
      </c>
      <c r="G219" s="221"/>
      <c r="H219" s="242" t="s">
        <v>1037</v>
      </c>
      <c r="I219" s="143">
        <v>209</v>
      </c>
      <c r="J219" s="141">
        <v>22554</v>
      </c>
      <c r="K219" s="238">
        <f t="shared" si="22"/>
        <v>4713786</v>
      </c>
      <c r="L219" s="14" t="s">
        <v>153</v>
      </c>
      <c r="M219" s="292" t="s">
        <v>147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121"/>
    </row>
    <row r="220" spans="1:26" ht="15.75" customHeight="1">
      <c r="A220" s="125" t="str">
        <f>IF(B220&lt;&gt;"",IF(AND(B220&gt;=_TM1,B220&lt;=_TM2,OR(TH!L220="1111",TH!M220="1111")),TH!D220,""),"")</f>
        <v/>
      </c>
      <c r="B220" s="11">
        <f t="shared" si="21"/>
        <v>5</v>
      </c>
      <c r="C220" s="115">
        <f t="shared" si="19"/>
        <v>40688</v>
      </c>
      <c r="D220" s="288" t="s">
        <v>1044</v>
      </c>
      <c r="E220" s="115">
        <v>40688</v>
      </c>
      <c r="F220" s="114" t="s">
        <v>379</v>
      </c>
      <c r="G220" s="221"/>
      <c r="H220" s="242" t="s">
        <v>1037</v>
      </c>
      <c r="I220" s="143">
        <v>52</v>
      </c>
      <c r="J220" s="141">
        <v>24325</v>
      </c>
      <c r="K220" s="238">
        <f t="shared" si="22"/>
        <v>1264900</v>
      </c>
      <c r="L220" s="14" t="s">
        <v>153</v>
      </c>
      <c r="M220" s="292" t="s">
        <v>147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121"/>
    </row>
    <row r="221" spans="1:26" ht="15.75" customHeight="1">
      <c r="A221" s="125" t="str">
        <f>IF(B221&lt;&gt;"",IF(AND(B221&gt;=_TM1,B221&lt;=_TM2,OR(TH!L221="1111",TH!M221="1111")),TH!D221,""),"")</f>
        <v/>
      </c>
      <c r="B221" s="11">
        <f t="shared" si="21"/>
        <v>5</v>
      </c>
      <c r="C221" s="115">
        <f t="shared" si="19"/>
        <v>40688</v>
      </c>
      <c r="D221" s="288" t="s">
        <v>1044</v>
      </c>
      <c r="E221" s="115">
        <v>40688</v>
      </c>
      <c r="F221" s="114" t="s">
        <v>469</v>
      </c>
      <c r="G221" s="224"/>
      <c r="H221" s="242" t="s">
        <v>1037</v>
      </c>
      <c r="I221" s="141">
        <v>406</v>
      </c>
      <c r="J221" s="141">
        <v>23716</v>
      </c>
      <c r="K221" s="238">
        <f t="shared" si="22"/>
        <v>9628696</v>
      </c>
      <c r="L221" s="14" t="s">
        <v>153</v>
      </c>
      <c r="M221" s="292" t="s">
        <v>147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121"/>
    </row>
    <row r="222" spans="1:26" ht="15.75" customHeight="1">
      <c r="A222" s="125" t="str">
        <f>IF(B222&lt;&gt;"",IF(AND(B222&gt;=_TM1,B222&lt;=_TM2,OR(TH!L222="1111",TH!M222="1111")),TH!D222,""),"")</f>
        <v/>
      </c>
      <c r="B222" s="11">
        <f t="shared" si="21"/>
        <v>5</v>
      </c>
      <c r="C222" s="115">
        <f t="shared" si="19"/>
        <v>40688</v>
      </c>
      <c r="D222" s="288" t="s">
        <v>1044</v>
      </c>
      <c r="E222" s="115">
        <v>40688</v>
      </c>
      <c r="F222" s="154" t="s">
        <v>364</v>
      </c>
      <c r="G222" s="224"/>
      <c r="H222" s="242" t="s">
        <v>1037</v>
      </c>
      <c r="I222" s="315">
        <v>50</v>
      </c>
      <c r="J222" s="141">
        <v>4449</v>
      </c>
      <c r="K222" s="238">
        <f t="shared" si="22"/>
        <v>222450</v>
      </c>
      <c r="L222" s="14" t="s">
        <v>153</v>
      </c>
      <c r="M222" s="292" t="s">
        <v>147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>x</v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121"/>
    </row>
    <row r="223" spans="1:26" ht="15.75" customHeight="1">
      <c r="A223" s="125" t="str">
        <f>IF(B223&lt;&gt;"",IF(AND(B223&gt;=_TM1,B223&lt;=_TM2,OR(TH!L223="1111",TH!M223="1111")),TH!D223,""),"")</f>
        <v/>
      </c>
      <c r="B223" s="11">
        <f t="shared" si="21"/>
        <v>5</v>
      </c>
      <c r="C223" s="115">
        <f t="shared" si="19"/>
        <v>40688</v>
      </c>
      <c r="D223" s="288" t="s">
        <v>1044</v>
      </c>
      <c r="E223" s="115">
        <v>40688</v>
      </c>
      <c r="F223" s="114" t="s">
        <v>364</v>
      </c>
      <c r="G223" s="224"/>
      <c r="H223" s="242" t="s">
        <v>1037</v>
      </c>
      <c r="I223" s="328">
        <v>17</v>
      </c>
      <c r="J223" s="141">
        <v>4449</v>
      </c>
      <c r="K223" s="238">
        <f t="shared" si="22"/>
        <v>75633</v>
      </c>
      <c r="L223" s="14" t="s">
        <v>153</v>
      </c>
      <c r="M223" s="292" t="s">
        <v>147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>x</v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121"/>
    </row>
    <row r="224" spans="1:26" ht="15.75" customHeight="1">
      <c r="A224" s="125" t="str">
        <f>IF(B224&lt;&gt;"",IF(AND(B224&gt;=_TM1,B224&lt;=_TM2,OR(TH!L224="1111",TH!M224="1111")),TH!D224,""),"")</f>
        <v/>
      </c>
      <c r="B224" s="11">
        <f t="shared" si="21"/>
        <v>5</v>
      </c>
      <c r="C224" s="115">
        <f t="shared" si="19"/>
        <v>40688</v>
      </c>
      <c r="D224" s="288" t="s">
        <v>1044</v>
      </c>
      <c r="E224" s="115">
        <v>40688</v>
      </c>
      <c r="F224" s="114" t="s">
        <v>364</v>
      </c>
      <c r="G224" s="224"/>
      <c r="H224" s="242" t="s">
        <v>1037</v>
      </c>
      <c r="I224" s="315">
        <v>75</v>
      </c>
      <c r="J224" s="141">
        <v>4449</v>
      </c>
      <c r="K224" s="238">
        <f t="shared" si="22"/>
        <v>333675</v>
      </c>
      <c r="L224" s="14" t="s">
        <v>153</v>
      </c>
      <c r="M224" s="292" t="s">
        <v>147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>x</v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121"/>
    </row>
    <row r="225" spans="1:26" ht="15.75" customHeight="1">
      <c r="A225" s="125" t="str">
        <f>IF(B225&lt;&gt;"",IF(AND(B225&gt;=_TM1,B225&lt;=_TM2,OR(TH!L225="1111",TH!M225="1111")),TH!D225,""),"")</f>
        <v/>
      </c>
      <c r="B225" s="11">
        <f t="shared" si="21"/>
        <v>5</v>
      </c>
      <c r="C225" s="110">
        <f t="shared" si="19"/>
        <v>40689</v>
      </c>
      <c r="D225" s="110" t="s">
        <v>658</v>
      </c>
      <c r="E225" s="110">
        <v>40689</v>
      </c>
      <c r="F225" s="114" t="s">
        <v>339</v>
      </c>
      <c r="G225" s="240" t="s">
        <v>307</v>
      </c>
      <c r="H225" s="19" t="s">
        <v>340</v>
      </c>
      <c r="I225" s="141"/>
      <c r="J225" s="141"/>
      <c r="K225" s="238">
        <v>5000000</v>
      </c>
      <c r="L225" s="239" t="s">
        <v>23</v>
      </c>
      <c r="M225" s="239" t="s">
        <v>44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>x</v>
      </c>
      <c r="R225" s="25" t="str">
        <f>IF(ISERROR(FIND('112'!$M$9,G225,1)),"",IF((AND(FIND('112'!$M$9,G225,1)&gt;=1,$B225&gt;='112'!$N$8,$B225&lt;='112'!$O$8,OR($L225='112'!$I$6,$M225='112'!$I$6))),"x",""))</f>
        <v>x</v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235"/>
    </row>
    <row r="226" spans="1:26" ht="15.75" customHeight="1">
      <c r="A226" s="125" t="str">
        <f>IF(B226&lt;&gt;"",IF(AND(B226&gt;=_TM1,B226&lt;=_TM2,OR(TH!L226="1111",TH!M226="1111")),TH!D226,""),"")</f>
        <v/>
      </c>
      <c r="B226" s="11">
        <f t="shared" si="21"/>
        <v>5</v>
      </c>
      <c r="C226" s="12">
        <f t="shared" si="19"/>
        <v>40689</v>
      </c>
      <c r="D226" s="110" t="s">
        <v>660</v>
      </c>
      <c r="E226" s="12">
        <v>40689</v>
      </c>
      <c r="F226" s="15" t="s">
        <v>442</v>
      </c>
      <c r="G226" s="221" t="s">
        <v>443</v>
      </c>
      <c r="H226" s="20" t="s">
        <v>444</v>
      </c>
      <c r="I226" s="141"/>
      <c r="J226" s="141"/>
      <c r="K226" s="13">
        <v>267000</v>
      </c>
      <c r="L226" s="14" t="s">
        <v>73</v>
      </c>
      <c r="M226" s="239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>x</v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>x</v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132"/>
    </row>
    <row r="227" spans="1:26" ht="15.75" customHeight="1">
      <c r="A227" s="125" t="str">
        <f>IF(B227&lt;&gt;"",IF(AND(B227&gt;=_TM1,B227&lt;=_TM2,OR(TH!L227="1111",TH!M227="1111")),TH!D227,""),"")</f>
        <v/>
      </c>
      <c r="B227" s="11">
        <f t="shared" si="21"/>
        <v>5</v>
      </c>
      <c r="C227" s="12">
        <f t="shared" si="19"/>
        <v>40689</v>
      </c>
      <c r="D227" s="110" t="s">
        <v>661</v>
      </c>
      <c r="E227" s="12">
        <v>40689</v>
      </c>
      <c r="F227" s="15" t="s">
        <v>445</v>
      </c>
      <c r="G227" s="221" t="s">
        <v>446</v>
      </c>
      <c r="H227" s="20" t="s">
        <v>447</v>
      </c>
      <c r="I227" s="143"/>
      <c r="J227" s="141"/>
      <c r="K227" s="13">
        <v>494235</v>
      </c>
      <c r="L227" s="14" t="s">
        <v>73</v>
      </c>
      <c r="M227" s="239" t="s">
        <v>44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>x</v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>x</v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235">
        <v>5</v>
      </c>
    </row>
    <row r="228" spans="1:26" ht="15.75" customHeight="1">
      <c r="A228" s="125" t="str">
        <f>IF(B228&lt;&gt;"",IF(AND(B228&gt;=_TM1,B228&lt;=_TM2,OR(TH!L228="1111",TH!M228="1111")),TH!D228,""),"")</f>
        <v/>
      </c>
      <c r="B228" s="11">
        <f t="shared" si="21"/>
        <v>5</v>
      </c>
      <c r="C228" s="12">
        <f t="shared" si="19"/>
        <v>40689</v>
      </c>
      <c r="D228" s="110" t="s">
        <v>661</v>
      </c>
      <c r="E228" s="12">
        <v>40689</v>
      </c>
      <c r="F228" s="15" t="s">
        <v>448</v>
      </c>
      <c r="G228" s="221" t="s">
        <v>446</v>
      </c>
      <c r="H228" s="20" t="s">
        <v>447</v>
      </c>
      <c r="I228" s="143"/>
      <c r="J228" s="141"/>
      <c r="K228" s="13">
        <v>49425</v>
      </c>
      <c r="L228" s="14" t="s">
        <v>9</v>
      </c>
      <c r="M228" s="239" t="s">
        <v>44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>x</v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235">
        <v>5</v>
      </c>
    </row>
    <row r="229" spans="1:26" ht="15.75" customHeight="1">
      <c r="A229" s="125" t="str">
        <f>IF(B229&lt;&gt;"",IF(AND(B229&gt;=_TM1,B229&lt;=_TM2,OR(TH!L229="1111",TH!M229="1111")),TH!D229,""),"")</f>
        <v/>
      </c>
      <c r="B229" s="11">
        <f t="shared" si="21"/>
        <v>5</v>
      </c>
      <c r="C229" s="12">
        <f t="shared" ref="C229:C235" si="23">E229</f>
        <v>40689</v>
      </c>
      <c r="D229" s="110" t="s">
        <v>662</v>
      </c>
      <c r="E229" s="12">
        <v>40689</v>
      </c>
      <c r="F229" s="15" t="s">
        <v>445</v>
      </c>
      <c r="G229" s="221" t="s">
        <v>450</v>
      </c>
      <c r="H229" s="20" t="s">
        <v>449</v>
      </c>
      <c r="I229" s="143"/>
      <c r="J229" s="141"/>
      <c r="K229" s="13">
        <v>467016</v>
      </c>
      <c r="L229" s="14" t="s">
        <v>73</v>
      </c>
      <c r="M229" s="239" t="s">
        <v>44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>x</v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>x</v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235">
        <v>5</v>
      </c>
    </row>
    <row r="230" spans="1:26" ht="15.75" customHeight="1">
      <c r="A230" s="125" t="str">
        <f>IF(B230&lt;&gt;"",IF(AND(B230&gt;=_TM1,B230&lt;=_TM2,OR(TH!L230="1111",TH!M230="1111")),TH!D230,""),"")</f>
        <v/>
      </c>
      <c r="B230" s="11">
        <f t="shared" si="21"/>
        <v>5</v>
      </c>
      <c r="C230" s="12">
        <f t="shared" si="23"/>
        <v>40689</v>
      </c>
      <c r="D230" s="110" t="s">
        <v>662</v>
      </c>
      <c r="E230" s="12">
        <v>40689</v>
      </c>
      <c r="F230" s="15" t="s">
        <v>448</v>
      </c>
      <c r="G230" s="221" t="s">
        <v>450</v>
      </c>
      <c r="H230" s="20" t="s">
        <v>449</v>
      </c>
      <c r="I230" s="143"/>
      <c r="J230" s="141"/>
      <c r="K230" s="13">
        <v>46702</v>
      </c>
      <c r="L230" s="14" t="s">
        <v>9</v>
      </c>
      <c r="M230" s="239" t="s">
        <v>44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>x</v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235">
        <v>5</v>
      </c>
    </row>
    <row r="231" spans="1:26" ht="15.75" customHeight="1">
      <c r="A231" s="125" t="str">
        <f>IF(B231&lt;&gt;"",IF(AND(B231&gt;=_TM1,B231&lt;=_TM2,OR(TH!L231="1111",TH!M231="1111")),TH!D231,""),"")</f>
        <v/>
      </c>
      <c r="B231" s="11">
        <f t="shared" si="21"/>
        <v>5</v>
      </c>
      <c r="C231" s="12">
        <f t="shared" si="23"/>
        <v>40690</v>
      </c>
      <c r="D231" s="110" t="s">
        <v>663</v>
      </c>
      <c r="E231" s="12">
        <v>40690</v>
      </c>
      <c r="F231" s="15" t="s">
        <v>501</v>
      </c>
      <c r="G231" s="223" t="s">
        <v>502</v>
      </c>
      <c r="H231" s="4" t="s">
        <v>348</v>
      </c>
      <c r="I231" s="141">
        <v>20</v>
      </c>
      <c r="J231" s="141">
        <v>67000</v>
      </c>
      <c r="K231" s="238">
        <f>ROUND(I231*J231,0)</f>
        <v>1340000</v>
      </c>
      <c r="L231" s="14" t="s">
        <v>153</v>
      </c>
      <c r="M231" s="14" t="s">
        <v>44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>x</v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235">
        <v>5</v>
      </c>
    </row>
    <row r="232" spans="1:26" ht="15.75" customHeight="1">
      <c r="A232" s="125" t="str">
        <f>IF(B232&lt;&gt;"",IF(AND(B232&gt;=_TM1,B232&lt;=_TM2,OR(TH!L232="1111",TH!M232="1111")),TH!D232,""),"")</f>
        <v/>
      </c>
      <c r="B232" s="11">
        <f t="shared" si="21"/>
        <v>5</v>
      </c>
      <c r="C232" s="12">
        <f t="shared" si="23"/>
        <v>40690</v>
      </c>
      <c r="D232" s="110" t="s">
        <v>663</v>
      </c>
      <c r="E232" s="12">
        <v>40690</v>
      </c>
      <c r="F232" s="348" t="s">
        <v>503</v>
      </c>
      <c r="G232" s="223" t="s">
        <v>502</v>
      </c>
      <c r="H232" s="4" t="s">
        <v>348</v>
      </c>
      <c r="I232" s="141"/>
      <c r="J232" s="141"/>
      <c r="K232" s="13">
        <v>134000</v>
      </c>
      <c r="L232" s="14" t="s">
        <v>9</v>
      </c>
      <c r="M232" s="14" t="s">
        <v>44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>x</v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235">
        <v>5</v>
      </c>
    </row>
    <row r="233" spans="1:26" ht="15.75" customHeight="1">
      <c r="A233" s="125" t="str">
        <f>IF(B233&lt;&gt;"",IF(AND(B233&gt;=_TM1,B233&lt;=_TM2,OR(TH!L233="1111",TH!M233="1111")),TH!D233,""),"")</f>
        <v/>
      </c>
      <c r="B233" s="11">
        <f t="shared" si="21"/>
        <v>5</v>
      </c>
      <c r="C233" s="110">
        <f t="shared" si="23"/>
        <v>40690</v>
      </c>
      <c r="D233" s="110" t="s">
        <v>311</v>
      </c>
      <c r="E233" s="110">
        <v>40690</v>
      </c>
      <c r="F233" s="114" t="s">
        <v>344</v>
      </c>
      <c r="G233" s="240" t="s">
        <v>307</v>
      </c>
      <c r="H233" s="4" t="s">
        <v>476</v>
      </c>
      <c r="I233" s="141"/>
      <c r="J233" s="141"/>
      <c r="K233" s="238">
        <v>41712396</v>
      </c>
      <c r="L233" s="239" t="s">
        <v>8</v>
      </c>
      <c r="M233" s="239" t="s">
        <v>23</v>
      </c>
      <c r="N233" s="25" t="str">
        <f>IF(AND('331-CT'!$E$7=TH!H233,OR(L233="331",M233="331")),"331",IF(AND(OR(L233="131",M233="131"),H233='131-CT'!$E$7),"131",""))</f>
        <v>331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>x</v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235"/>
    </row>
    <row r="234" spans="1:26" ht="15.75" customHeight="1">
      <c r="A234" s="125" t="str">
        <f>IF(B234&lt;&gt;"",IF(AND(B234&gt;=_TM1,B234&lt;=_TM2,OR(TH!L234="1111",TH!M234="1111")),TH!D234,""),"")</f>
        <v/>
      </c>
      <c r="B234" s="11">
        <f t="shared" si="21"/>
        <v>5</v>
      </c>
      <c r="C234" s="110">
        <f t="shared" si="23"/>
        <v>40690</v>
      </c>
      <c r="D234" s="110" t="s">
        <v>311</v>
      </c>
      <c r="E234" s="110">
        <v>40690</v>
      </c>
      <c r="F234" s="114" t="s">
        <v>313</v>
      </c>
      <c r="G234" s="240" t="s">
        <v>307</v>
      </c>
      <c r="H234" s="4"/>
      <c r="I234" s="141"/>
      <c r="J234" s="141"/>
      <c r="K234" s="238">
        <v>10000</v>
      </c>
      <c r="L234" s="239" t="s">
        <v>73</v>
      </c>
      <c r="M234" s="239" t="s">
        <v>23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>x</v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>x</v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235"/>
    </row>
    <row r="235" spans="1:26" ht="15.75" customHeight="1">
      <c r="A235" s="125" t="str">
        <f>IF(B235&lt;&gt;"",IF(AND(B235&gt;=_TM1,B235&lt;=_TM2,OR(TH!L235="1111",TH!M235="1111")),TH!D235,""),"")</f>
        <v/>
      </c>
      <c r="B235" s="11">
        <f t="shared" si="21"/>
        <v>5</v>
      </c>
      <c r="C235" s="110">
        <f t="shared" si="23"/>
        <v>40690</v>
      </c>
      <c r="D235" s="110" t="s">
        <v>311</v>
      </c>
      <c r="E235" s="110">
        <v>40690</v>
      </c>
      <c r="F235" s="114" t="s">
        <v>313</v>
      </c>
      <c r="G235" s="240" t="s">
        <v>307</v>
      </c>
      <c r="H235" s="4"/>
      <c r="I235" s="141"/>
      <c r="J235" s="141"/>
      <c r="K235" s="238">
        <v>10000</v>
      </c>
      <c r="L235" s="239" t="s">
        <v>73</v>
      </c>
      <c r="M235" s="239" t="s">
        <v>23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>x</v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>x</v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235"/>
    </row>
    <row r="236" spans="1:26" ht="15.75" customHeight="1">
      <c r="A236" s="125" t="str">
        <f>IF(B236&lt;&gt;"",IF(AND(B236&gt;=_TM1,B236&lt;=_TM2,OR(TH!L236="1111",TH!M236="1111")),TH!D236,""),"")</f>
        <v/>
      </c>
      <c r="B236" s="11">
        <f t="shared" si="21"/>
        <v>5</v>
      </c>
      <c r="C236" s="115">
        <v>40690</v>
      </c>
      <c r="D236" s="115" t="s">
        <v>905</v>
      </c>
      <c r="E236" s="115">
        <v>40690</v>
      </c>
      <c r="F236" s="116" t="s">
        <v>767</v>
      </c>
      <c r="G236" s="224" t="s">
        <v>563</v>
      </c>
      <c r="H236" s="4" t="s">
        <v>710</v>
      </c>
      <c r="I236" s="143">
        <v>98</v>
      </c>
      <c r="J236" s="143">
        <v>18940</v>
      </c>
      <c r="K236" s="238">
        <v>1856120</v>
      </c>
      <c r="L236" s="118" t="s">
        <v>237</v>
      </c>
      <c r="M236" s="118" t="s">
        <v>163</v>
      </c>
      <c r="N236" s="25" t="str">
        <f>IF(AND('331-CT'!$E$7=TH!H236,OR(L236="331",M236="331")),"331",IF(AND(OR(L236="131",M236="131"),H236='131-CT'!$E$7),"131",""))</f>
        <v/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310"/>
    </row>
    <row r="237" spans="1:26" ht="15.75" customHeight="1">
      <c r="A237" s="125" t="str">
        <f>IF(B237&lt;&gt;"",IF(AND(B237&gt;=_TM1,B237&lt;=_TM2,OR(TH!L237="1111",TH!M237="1111")),TH!D237,""),"")</f>
        <v/>
      </c>
      <c r="B237" s="11">
        <f t="shared" si="21"/>
        <v>5</v>
      </c>
      <c r="C237" s="115">
        <v>40690</v>
      </c>
      <c r="D237" s="115" t="s">
        <v>905</v>
      </c>
      <c r="E237" s="115">
        <v>40690</v>
      </c>
      <c r="F237" s="116" t="s">
        <v>768</v>
      </c>
      <c r="G237" s="224" t="s">
        <v>563</v>
      </c>
      <c r="H237" s="4" t="s">
        <v>710</v>
      </c>
      <c r="I237" s="141">
        <v>177</v>
      </c>
      <c r="J237" s="141">
        <v>15550</v>
      </c>
      <c r="K237" s="238">
        <v>2752350</v>
      </c>
      <c r="L237" s="118" t="s">
        <v>237</v>
      </c>
      <c r="M237" s="118" t="s">
        <v>163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310"/>
    </row>
    <row r="238" spans="1:26" ht="15.75" customHeight="1">
      <c r="A238" s="125" t="str">
        <f>IF(B238&lt;&gt;"",IF(AND(B238&gt;=_TM1,B238&lt;=_TM2,OR(TH!L238="1111",TH!M238="1111")),TH!D238,""),"")</f>
        <v/>
      </c>
      <c r="B238" s="11">
        <f t="shared" si="21"/>
        <v>5</v>
      </c>
      <c r="C238" s="115">
        <v>40690</v>
      </c>
      <c r="D238" s="115" t="s">
        <v>905</v>
      </c>
      <c r="E238" s="115">
        <v>40690</v>
      </c>
      <c r="F238" s="116" t="s">
        <v>769</v>
      </c>
      <c r="G238" s="224" t="s">
        <v>563</v>
      </c>
      <c r="H238" s="4" t="s">
        <v>710</v>
      </c>
      <c r="I238" s="141">
        <v>205</v>
      </c>
      <c r="J238" s="141">
        <v>19690</v>
      </c>
      <c r="K238" s="238">
        <v>4036450</v>
      </c>
      <c r="L238" s="118" t="s">
        <v>237</v>
      </c>
      <c r="M238" s="118" t="s">
        <v>163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310"/>
    </row>
    <row r="239" spans="1:26" ht="15.75" customHeight="1">
      <c r="A239" s="125" t="str">
        <f>IF(B239&lt;&gt;"",IF(AND(B239&gt;=_TM1,B239&lt;=_TM2,OR(TH!L239="1111",TH!M239="1111")),TH!D239,""),"")</f>
        <v/>
      </c>
      <c r="B239" s="11">
        <f t="shared" si="21"/>
        <v>5</v>
      </c>
      <c r="C239" s="115">
        <v>40690</v>
      </c>
      <c r="D239" s="115" t="s">
        <v>905</v>
      </c>
      <c r="E239" s="115">
        <v>40690</v>
      </c>
      <c r="F239" s="314" t="s">
        <v>777</v>
      </c>
      <c r="G239" s="224" t="s">
        <v>563</v>
      </c>
      <c r="H239" s="4" t="s">
        <v>710</v>
      </c>
      <c r="I239" s="141">
        <v>283</v>
      </c>
      <c r="J239" s="141">
        <v>9760</v>
      </c>
      <c r="K239" s="238">
        <v>2762080</v>
      </c>
      <c r="L239" s="118" t="s">
        <v>237</v>
      </c>
      <c r="M239" s="118" t="s">
        <v>163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310"/>
    </row>
    <row r="240" spans="1:26" ht="15.75" customHeight="1">
      <c r="A240" s="125" t="str">
        <f>IF(B240&lt;&gt;"",IF(AND(B240&gt;=_TM1,B240&lt;=_TM2,OR(TH!L240="1111",TH!M240="1111")),TH!D240,""),"")</f>
        <v/>
      </c>
      <c r="B240" s="11">
        <f t="shared" si="21"/>
        <v>5</v>
      </c>
      <c r="C240" s="115">
        <v>40690</v>
      </c>
      <c r="D240" s="115" t="s">
        <v>905</v>
      </c>
      <c r="E240" s="115">
        <v>40690</v>
      </c>
      <c r="F240" s="116" t="s">
        <v>770</v>
      </c>
      <c r="G240" s="224" t="s">
        <v>563</v>
      </c>
      <c r="H240" s="4" t="s">
        <v>710</v>
      </c>
      <c r="I240" s="141">
        <v>493</v>
      </c>
      <c r="J240" s="141">
        <v>7160</v>
      </c>
      <c r="K240" s="238">
        <v>3529880</v>
      </c>
      <c r="L240" s="118" t="s">
        <v>237</v>
      </c>
      <c r="M240" s="118" t="s">
        <v>163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310"/>
    </row>
    <row r="241" spans="1:26" ht="15.75" customHeight="1">
      <c r="A241" s="125" t="str">
        <f>IF(B241&lt;&gt;"",IF(AND(B241&gt;=_TM1,B241&lt;=_TM2,OR(TH!L241="1111",TH!M241="1111")),TH!D241,""),"")</f>
        <v/>
      </c>
      <c r="B241" s="11">
        <f t="shared" si="21"/>
        <v>5</v>
      </c>
      <c r="C241" s="115">
        <v>40690</v>
      </c>
      <c r="D241" s="115" t="s">
        <v>905</v>
      </c>
      <c r="E241" s="115">
        <v>40690</v>
      </c>
      <c r="F241" s="116" t="s">
        <v>771</v>
      </c>
      <c r="G241" s="224" t="s">
        <v>563</v>
      </c>
      <c r="H241" s="4" t="s">
        <v>710</v>
      </c>
      <c r="I241" s="141">
        <v>398</v>
      </c>
      <c r="J241" s="141">
        <v>7360</v>
      </c>
      <c r="K241" s="238">
        <v>2929280</v>
      </c>
      <c r="L241" s="118" t="s">
        <v>237</v>
      </c>
      <c r="M241" s="118" t="s">
        <v>163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310"/>
    </row>
    <row r="242" spans="1:26" ht="15.75" customHeight="1">
      <c r="A242" s="125" t="str">
        <f>IF(B242&lt;&gt;"",IF(AND(B242&gt;=_TM1,B242&lt;=_TM2,OR(TH!L242="1111",TH!M242="1111")),TH!D242,""),"")</f>
        <v/>
      </c>
      <c r="B242" s="11">
        <f t="shared" si="21"/>
        <v>5</v>
      </c>
      <c r="C242" s="115">
        <v>40690</v>
      </c>
      <c r="D242" s="115" t="s">
        <v>905</v>
      </c>
      <c r="E242" s="115">
        <v>40690</v>
      </c>
      <c r="F242" s="116" t="s">
        <v>772</v>
      </c>
      <c r="G242" s="224" t="s">
        <v>563</v>
      </c>
      <c r="H242" s="4" t="s">
        <v>710</v>
      </c>
      <c r="I242" s="141">
        <v>98</v>
      </c>
      <c r="J242" s="141">
        <v>15400</v>
      </c>
      <c r="K242" s="238">
        <v>1509200</v>
      </c>
      <c r="L242" s="118" t="s">
        <v>237</v>
      </c>
      <c r="M242" s="118" t="s">
        <v>163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310"/>
    </row>
    <row r="243" spans="1:26" ht="15.75" customHeight="1">
      <c r="A243" s="125" t="str">
        <f>IF(B243&lt;&gt;"",IF(AND(B243&gt;=_TM1,B243&lt;=_TM2,OR(TH!L243="1111",TH!M243="1111")),TH!D243,""),"")</f>
        <v/>
      </c>
      <c r="B243" s="11">
        <f t="shared" si="21"/>
        <v>5</v>
      </c>
      <c r="C243" s="115">
        <v>40690</v>
      </c>
      <c r="D243" s="115" t="s">
        <v>905</v>
      </c>
      <c r="E243" s="115">
        <v>40690</v>
      </c>
      <c r="F243" s="116" t="s">
        <v>716</v>
      </c>
      <c r="G243" s="224" t="s">
        <v>563</v>
      </c>
      <c r="H243" s="4" t="s">
        <v>710</v>
      </c>
      <c r="I243" s="141"/>
      <c r="J243" s="141"/>
      <c r="K243" s="238">
        <v>1937536</v>
      </c>
      <c r="L243" s="118" t="s">
        <v>237</v>
      </c>
      <c r="M243" s="118" t="s">
        <v>707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310"/>
    </row>
    <row r="244" spans="1:26" ht="15.75" customHeight="1">
      <c r="A244" s="125" t="str">
        <f>IF(B244&lt;&gt;"",IF(AND(B244&gt;=_TM1,B244&lt;=_TM2,OR(TH!L244="1111",TH!M244="1111")),TH!D244,""),"")</f>
        <v/>
      </c>
      <c r="B244" s="11">
        <f t="shared" si="21"/>
        <v>5</v>
      </c>
      <c r="C244" s="115">
        <v>40690</v>
      </c>
      <c r="D244" s="115" t="s">
        <v>906</v>
      </c>
      <c r="E244" s="115">
        <v>40690</v>
      </c>
      <c r="F244" s="116" t="s">
        <v>775</v>
      </c>
      <c r="G244" s="224" t="s">
        <v>773</v>
      </c>
      <c r="H244" s="4" t="s">
        <v>710</v>
      </c>
      <c r="I244" s="141">
        <v>191</v>
      </c>
      <c r="J244" s="141">
        <v>18480</v>
      </c>
      <c r="K244" s="238">
        <v>3529680</v>
      </c>
      <c r="L244" s="118" t="s">
        <v>237</v>
      </c>
      <c r="M244" s="118" t="s">
        <v>163</v>
      </c>
      <c r="N244" s="25" t="str">
        <f>IF(AND('331-CT'!$E$7=TH!H244,OR(L244="331",M244="331")),"331",IF(AND(OR(L244="131",M244="131"),H244='131-CT'!$E$7),"131",""))</f>
        <v/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310"/>
    </row>
    <row r="245" spans="1:26" ht="15.75" customHeight="1">
      <c r="A245" s="125" t="str">
        <f>IF(B245&lt;&gt;"",IF(AND(B245&gt;=_TM1,B245&lt;=_TM2,OR(TH!L245="1111",TH!M245="1111")),TH!D245,""),"")</f>
        <v/>
      </c>
      <c r="B245" s="11">
        <f t="shared" si="21"/>
        <v>5</v>
      </c>
      <c r="C245" s="115">
        <v>40690</v>
      </c>
      <c r="D245" s="115" t="s">
        <v>906</v>
      </c>
      <c r="E245" s="115">
        <v>40690</v>
      </c>
      <c r="F245" s="116" t="s">
        <v>776</v>
      </c>
      <c r="G245" s="224" t="s">
        <v>773</v>
      </c>
      <c r="H245" s="4" t="s">
        <v>710</v>
      </c>
      <c r="I245" s="141">
        <v>206</v>
      </c>
      <c r="J245" s="141">
        <v>15230</v>
      </c>
      <c r="K245" s="238">
        <v>3137380</v>
      </c>
      <c r="L245" s="118" t="s">
        <v>237</v>
      </c>
      <c r="M245" s="118" t="s">
        <v>163</v>
      </c>
      <c r="N245" s="25" t="str">
        <f>IF(AND('331-CT'!$E$7=TH!H245,OR(L245="331",M245="331")),"331",IF(AND(OR(L245="131",M245="131"),H245='131-CT'!$E$7),"131",""))</f>
        <v/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310"/>
    </row>
    <row r="246" spans="1:26" ht="15.75" customHeight="1">
      <c r="A246" s="125" t="str">
        <f>IF(B246&lt;&gt;"",IF(AND(B246&gt;=_TM1,B246&lt;=_TM2,OR(TH!L246="1111",TH!M246="1111")),TH!D246,""),"")</f>
        <v/>
      </c>
      <c r="B246" s="11">
        <f t="shared" si="21"/>
        <v>5</v>
      </c>
      <c r="C246" s="115">
        <v>40690</v>
      </c>
      <c r="D246" s="115" t="s">
        <v>906</v>
      </c>
      <c r="E246" s="115">
        <v>40690</v>
      </c>
      <c r="F246" s="116" t="s">
        <v>716</v>
      </c>
      <c r="G246" s="224" t="s">
        <v>773</v>
      </c>
      <c r="H246" s="4" t="s">
        <v>710</v>
      </c>
      <c r="I246" s="141"/>
      <c r="J246" s="141"/>
      <c r="K246" s="238">
        <v>666706</v>
      </c>
      <c r="L246" s="118" t="s">
        <v>237</v>
      </c>
      <c r="M246" s="118" t="s">
        <v>707</v>
      </c>
      <c r="N246" s="25" t="str">
        <f>IF(AND('331-CT'!$E$7=TH!H246,OR(L246="331",M246="331")),"331",IF(AND(OR(L246="131",M246="131"),H246='131-CT'!$E$7),"131",""))</f>
        <v/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310"/>
    </row>
    <row r="247" spans="1:26" ht="15.75" customHeight="1">
      <c r="A247" s="125" t="str">
        <f>IF(B247&lt;&gt;"",IF(AND(B247&gt;=_TM1,B247&lt;=_TM2,OR(TH!L247="1111",TH!M247="1111")),TH!D247,""),"")</f>
        <v/>
      </c>
      <c r="B247" s="11">
        <f t="shared" si="21"/>
        <v>5</v>
      </c>
      <c r="C247" s="115">
        <v>40690</v>
      </c>
      <c r="D247" s="115" t="s">
        <v>907</v>
      </c>
      <c r="E247" s="115">
        <v>40690</v>
      </c>
      <c r="F247" s="116" t="s">
        <v>778</v>
      </c>
      <c r="G247" s="224" t="s">
        <v>774</v>
      </c>
      <c r="H247" s="4" t="s">
        <v>709</v>
      </c>
      <c r="I247" s="141">
        <v>50</v>
      </c>
      <c r="J247" s="141">
        <v>13832</v>
      </c>
      <c r="K247" s="238">
        <v>691600</v>
      </c>
      <c r="L247" s="118" t="s">
        <v>237</v>
      </c>
      <c r="M247" s="118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310"/>
    </row>
    <row r="248" spans="1:26" ht="15.75" customHeight="1">
      <c r="A248" s="125" t="str">
        <f>IF(B248&lt;&gt;"",IF(AND(B248&gt;=_TM1,B248&lt;=_TM2,OR(TH!L248="1111",TH!M248="1111")),TH!D248,""),"")</f>
        <v/>
      </c>
      <c r="B248" s="11">
        <f t="shared" si="21"/>
        <v>5</v>
      </c>
      <c r="C248" s="115">
        <v>40690</v>
      </c>
      <c r="D248" s="115" t="s">
        <v>907</v>
      </c>
      <c r="E248" s="115">
        <v>40690</v>
      </c>
      <c r="F248" s="116" t="s">
        <v>732</v>
      </c>
      <c r="G248" s="224" t="s">
        <v>774</v>
      </c>
      <c r="H248" s="4" t="s">
        <v>709</v>
      </c>
      <c r="I248" s="141">
        <v>300</v>
      </c>
      <c r="J248" s="141">
        <v>3500</v>
      </c>
      <c r="K248" s="238">
        <v>1050000</v>
      </c>
      <c r="L248" s="118" t="s">
        <v>237</v>
      </c>
      <c r="M248" s="118" t="s">
        <v>163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310"/>
    </row>
    <row r="249" spans="1:26" ht="15.75" customHeight="1">
      <c r="A249" s="125" t="str">
        <f>IF(B249&lt;&gt;"",IF(AND(B249&gt;=_TM1,B249&lt;=_TM2,OR(TH!L249="1111",TH!M249="1111")),TH!D249,""),"")</f>
        <v/>
      </c>
      <c r="B249" s="11">
        <f t="shared" si="21"/>
        <v>5</v>
      </c>
      <c r="C249" s="115">
        <v>40690</v>
      </c>
      <c r="D249" s="115" t="s">
        <v>907</v>
      </c>
      <c r="E249" s="115">
        <v>40690</v>
      </c>
      <c r="F249" s="116" t="s">
        <v>779</v>
      </c>
      <c r="G249" s="224" t="s">
        <v>774</v>
      </c>
      <c r="H249" s="4" t="s">
        <v>709</v>
      </c>
      <c r="I249" s="141">
        <v>7</v>
      </c>
      <c r="J249" s="141">
        <v>19908</v>
      </c>
      <c r="K249" s="238">
        <v>139356</v>
      </c>
      <c r="L249" s="118" t="s">
        <v>237</v>
      </c>
      <c r="M249" s="118" t="s">
        <v>163</v>
      </c>
      <c r="N249" s="25" t="str">
        <f>IF(AND('331-CT'!$E$7=TH!H249,OR(L249="331",M249="331")),"331",IF(AND(OR(L249="131",M249="131"),H249='131-CT'!$E$7),"131",""))</f>
        <v>131</v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310"/>
    </row>
    <row r="250" spans="1:26" ht="15.75" customHeight="1">
      <c r="A250" s="125" t="str">
        <f>IF(B250&lt;&gt;"",IF(AND(B250&gt;=_TM1,B250&lt;=_TM2,OR(TH!L250="1111",TH!M250="1111")),TH!D250,""),"")</f>
        <v/>
      </c>
      <c r="B250" s="11">
        <f t="shared" si="21"/>
        <v>5</v>
      </c>
      <c r="C250" s="115">
        <v>40690</v>
      </c>
      <c r="D250" s="115" t="s">
        <v>907</v>
      </c>
      <c r="E250" s="115">
        <v>40690</v>
      </c>
      <c r="F250" s="116" t="s">
        <v>780</v>
      </c>
      <c r="G250" s="224" t="s">
        <v>774</v>
      </c>
      <c r="H250" s="4" t="s">
        <v>709</v>
      </c>
      <c r="I250" s="141">
        <v>7</v>
      </c>
      <c r="J250" s="141">
        <v>19285</v>
      </c>
      <c r="K250" s="238">
        <v>134995</v>
      </c>
      <c r="L250" s="118" t="s">
        <v>237</v>
      </c>
      <c r="M250" s="118" t="s">
        <v>163</v>
      </c>
      <c r="N250" s="25" t="str">
        <f>IF(AND('331-CT'!$E$7=TH!H250,OR(L250="331",M250="331")),"331",IF(AND(OR(L250="131",M250="131"),H250='131-CT'!$E$7),"131",""))</f>
        <v>131</v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310"/>
    </row>
    <row r="251" spans="1:26" ht="15.75" customHeight="1">
      <c r="A251" s="125" t="str">
        <f>IF(B251&lt;&gt;"",IF(AND(B251&gt;=_TM1,B251&lt;=_TM2,OR(TH!L251="1111",TH!M251="1111")),TH!D251,""),"")</f>
        <v/>
      </c>
      <c r="B251" s="11">
        <f t="shared" si="21"/>
        <v>5</v>
      </c>
      <c r="C251" s="115">
        <v>40690</v>
      </c>
      <c r="D251" s="115" t="s">
        <v>907</v>
      </c>
      <c r="E251" s="115">
        <v>40690</v>
      </c>
      <c r="F251" s="116" t="s">
        <v>778</v>
      </c>
      <c r="G251" s="224" t="s">
        <v>774</v>
      </c>
      <c r="H251" s="4" t="s">
        <v>709</v>
      </c>
      <c r="I251" s="141">
        <v>250</v>
      </c>
      <c r="J251" s="141">
        <v>13832</v>
      </c>
      <c r="K251" s="238">
        <v>3458000</v>
      </c>
      <c r="L251" s="118" t="s">
        <v>237</v>
      </c>
      <c r="M251" s="118" t="s">
        <v>163</v>
      </c>
      <c r="N251" s="25" t="str">
        <f>IF(AND('331-CT'!$E$7=TH!H251,OR(L251="331",M251="331")),"331",IF(AND(OR(L251="131",M251="131"),H251='131-CT'!$E$7),"131",""))</f>
        <v>131</v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310"/>
    </row>
    <row r="252" spans="1:26" ht="15.75" customHeight="1">
      <c r="A252" s="125" t="str">
        <f>IF(B252&lt;&gt;"",IF(AND(B252&gt;=_TM1,B252&lt;=_TM2,OR(TH!L252="1111",TH!M252="1111")),TH!D252,""),"")</f>
        <v/>
      </c>
      <c r="B252" s="11">
        <f t="shared" si="21"/>
        <v>5</v>
      </c>
      <c r="C252" s="115">
        <v>40690</v>
      </c>
      <c r="D252" s="115" t="s">
        <v>907</v>
      </c>
      <c r="E252" s="115">
        <v>40690</v>
      </c>
      <c r="F252" s="116" t="s">
        <v>781</v>
      </c>
      <c r="G252" s="224" t="s">
        <v>774</v>
      </c>
      <c r="H252" s="4" t="s">
        <v>709</v>
      </c>
      <c r="I252" s="141">
        <v>90</v>
      </c>
      <c r="J252" s="141">
        <v>15724</v>
      </c>
      <c r="K252" s="238">
        <v>1415160</v>
      </c>
      <c r="L252" s="118" t="s">
        <v>237</v>
      </c>
      <c r="M252" s="118" t="s">
        <v>163</v>
      </c>
      <c r="N252" s="25" t="str">
        <f>IF(AND('331-CT'!$E$7=TH!H252,OR(L252="331",M252="331")),"331",IF(AND(OR(L252="131",M252="131"),H252='131-CT'!$E$7),"131",""))</f>
        <v>131</v>
      </c>
      <c r="O252" s="25" t="str">
        <f>IF(AND($B252&gt;='111'!$N$11,$B252&lt;='111'!$O$11,OR($L252=$O$7,$M252=$O$7)),"x","")</f>
        <v/>
      </c>
      <c r="P252" s="25" t="str">
        <f>IF(AND($L252=$O$7,$B252&lt;'111'!$N$11),"x","")</f>
        <v/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310"/>
    </row>
    <row r="253" spans="1:26" ht="15.75" customHeight="1">
      <c r="A253" s="125" t="str">
        <f>IF(B253&lt;&gt;"",IF(AND(B253&gt;=_TM1,B253&lt;=_TM2,OR(TH!L253="1111",TH!M253="1111")),TH!D253,""),"")</f>
        <v/>
      </c>
      <c r="B253" s="11">
        <f t="shared" si="21"/>
        <v>5</v>
      </c>
      <c r="C253" s="115">
        <v>40690</v>
      </c>
      <c r="D253" s="115" t="s">
        <v>907</v>
      </c>
      <c r="E253" s="115">
        <v>40690</v>
      </c>
      <c r="F253" s="116" t="s">
        <v>732</v>
      </c>
      <c r="G253" s="224" t="s">
        <v>774</v>
      </c>
      <c r="H253" s="4" t="s">
        <v>709</v>
      </c>
      <c r="I253" s="141">
        <v>90</v>
      </c>
      <c r="J253" s="141">
        <v>4265</v>
      </c>
      <c r="K253" s="238">
        <v>383850</v>
      </c>
      <c r="L253" s="118" t="s">
        <v>237</v>
      </c>
      <c r="M253" s="118" t="s">
        <v>163</v>
      </c>
      <c r="N253" s="25" t="str">
        <f>IF(AND('331-CT'!$E$7=TH!H253,OR(L253="331",M253="331")),"331",IF(AND(OR(L253="131",M253="131"),H253='131-CT'!$E$7),"131",""))</f>
        <v>131</v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310"/>
    </row>
    <row r="254" spans="1:26" ht="15.75" customHeight="1">
      <c r="A254" s="125" t="str">
        <f>IF(B254&lt;&gt;"",IF(AND(B254&gt;=_TM1,B254&lt;=_TM2,OR(TH!L254="1111",TH!M254="1111")),TH!D254,""),"")</f>
        <v/>
      </c>
      <c r="B254" s="11">
        <f t="shared" si="21"/>
        <v>5</v>
      </c>
      <c r="C254" s="115">
        <v>40690</v>
      </c>
      <c r="D254" s="115" t="s">
        <v>907</v>
      </c>
      <c r="E254" s="115">
        <v>40690</v>
      </c>
      <c r="F254" s="116" t="s">
        <v>716</v>
      </c>
      <c r="G254" s="224" t="s">
        <v>774</v>
      </c>
      <c r="H254" s="4" t="s">
        <v>709</v>
      </c>
      <c r="I254" s="141"/>
      <c r="J254" s="141"/>
      <c r="K254" s="238">
        <v>727296</v>
      </c>
      <c r="L254" s="118" t="s">
        <v>237</v>
      </c>
      <c r="M254" s="118" t="s">
        <v>707</v>
      </c>
      <c r="N254" s="25" t="str">
        <f>IF(AND('331-CT'!$E$7=TH!H254,OR(L254="331",M254="331")),"331",IF(AND(OR(L254="131",M254="131"),H254='131-CT'!$E$7),"131",""))</f>
        <v>131</v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310"/>
    </row>
    <row r="255" spans="1:26" ht="15.75" customHeight="1">
      <c r="A255" s="125" t="str">
        <f>IF(B255&lt;&gt;"",IF(AND(B255&gt;=_TM1,B255&lt;=_TM2,OR(TH!L255="1111",TH!M255="1111")),TH!D255,""),"")</f>
        <v/>
      </c>
      <c r="B255" s="11">
        <f t="shared" si="21"/>
        <v>5</v>
      </c>
      <c r="C255" s="115">
        <v>40690</v>
      </c>
      <c r="D255" s="115" t="s">
        <v>908</v>
      </c>
      <c r="E255" s="115">
        <v>40690</v>
      </c>
      <c r="F255" s="116" t="s">
        <v>784</v>
      </c>
      <c r="G255" s="224" t="s">
        <v>782</v>
      </c>
      <c r="H255" s="4" t="s">
        <v>709</v>
      </c>
      <c r="I255" s="141">
        <v>2</v>
      </c>
      <c r="J255" s="141">
        <v>8839</v>
      </c>
      <c r="K255" s="238">
        <v>17678</v>
      </c>
      <c r="L255" s="118" t="s">
        <v>237</v>
      </c>
      <c r="M255" s="118" t="s">
        <v>163</v>
      </c>
      <c r="N255" s="25" t="str">
        <f>IF(AND('331-CT'!$E$7=TH!H255,OR(L255="331",M255="331")),"331",IF(AND(OR(L255="131",M255="131"),H255='131-CT'!$E$7),"131",""))</f>
        <v>131</v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310"/>
    </row>
    <row r="256" spans="1:26" ht="15.75" customHeight="1">
      <c r="A256" s="125" t="str">
        <f>IF(B256&lt;&gt;"",IF(AND(B256&gt;=_TM1,B256&lt;=_TM2,OR(TH!L256="1111",TH!M256="1111")),TH!D256,""),"")</f>
        <v/>
      </c>
      <c r="B256" s="11">
        <f t="shared" si="21"/>
        <v>5</v>
      </c>
      <c r="C256" s="115">
        <v>40690</v>
      </c>
      <c r="D256" s="115" t="s">
        <v>908</v>
      </c>
      <c r="E256" s="115">
        <v>40690</v>
      </c>
      <c r="F256" s="116" t="s">
        <v>785</v>
      </c>
      <c r="G256" s="224" t="s">
        <v>782</v>
      </c>
      <c r="H256" s="4" t="s">
        <v>709</v>
      </c>
      <c r="I256" s="141">
        <v>2</v>
      </c>
      <c r="J256" s="141">
        <v>5857</v>
      </c>
      <c r="K256" s="238">
        <v>11714</v>
      </c>
      <c r="L256" s="118" t="s">
        <v>237</v>
      </c>
      <c r="M256" s="118" t="s">
        <v>163</v>
      </c>
      <c r="N256" s="25" t="str">
        <f>IF(AND('331-CT'!$E$7=TH!H256,OR(L256="331",M256="331")),"331",IF(AND(OR(L256="131",M256="131"),H256='131-CT'!$E$7),"131",""))</f>
        <v>131</v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310"/>
    </row>
    <row r="257" spans="1:26" ht="15.75" customHeight="1">
      <c r="A257" s="125" t="str">
        <f>IF(B257&lt;&gt;"",IF(AND(B257&gt;=_TM1,B257&lt;=_TM2,OR(TH!L257="1111",TH!M257="1111")),TH!D257,""),"")</f>
        <v/>
      </c>
      <c r="B257" s="11">
        <f t="shared" si="21"/>
        <v>5</v>
      </c>
      <c r="C257" s="115">
        <v>40690</v>
      </c>
      <c r="D257" s="115" t="s">
        <v>908</v>
      </c>
      <c r="E257" s="115">
        <v>40690</v>
      </c>
      <c r="F257" s="116" t="s">
        <v>786</v>
      </c>
      <c r="G257" s="224" t="s">
        <v>782</v>
      </c>
      <c r="H257" s="4" t="s">
        <v>709</v>
      </c>
      <c r="I257" s="141">
        <v>195</v>
      </c>
      <c r="J257" s="141">
        <v>8824</v>
      </c>
      <c r="K257" s="238">
        <v>1720680</v>
      </c>
      <c r="L257" s="118" t="s">
        <v>237</v>
      </c>
      <c r="M257" s="118" t="s">
        <v>163</v>
      </c>
      <c r="N257" s="25" t="str">
        <f>IF(AND('331-CT'!$E$7=TH!H257,OR(L257="331",M257="331")),"331",IF(AND(OR(L257="131",M257="131"),H257='131-CT'!$E$7),"131",""))</f>
        <v>131</v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310"/>
    </row>
    <row r="258" spans="1:26" ht="15.75" customHeight="1">
      <c r="A258" s="125" t="str">
        <f>IF(B258&lt;&gt;"",IF(AND(B258&gt;=_TM1,B258&lt;=_TM2,OR(TH!L258="1111",TH!M258="1111")),TH!D258,""),"")</f>
        <v/>
      </c>
      <c r="B258" s="11">
        <f t="shared" si="21"/>
        <v>5</v>
      </c>
      <c r="C258" s="115">
        <v>40690</v>
      </c>
      <c r="D258" s="115" t="s">
        <v>908</v>
      </c>
      <c r="E258" s="115">
        <v>40690</v>
      </c>
      <c r="F258" s="116" t="s">
        <v>787</v>
      </c>
      <c r="G258" s="224" t="s">
        <v>782</v>
      </c>
      <c r="H258" s="4" t="s">
        <v>709</v>
      </c>
      <c r="I258" s="141">
        <v>20</v>
      </c>
      <c r="J258" s="141">
        <v>16023</v>
      </c>
      <c r="K258" s="238">
        <v>320460</v>
      </c>
      <c r="L258" s="118" t="s">
        <v>237</v>
      </c>
      <c r="M258" s="118" t="s">
        <v>163</v>
      </c>
      <c r="N258" s="25" t="str">
        <f>IF(AND('331-CT'!$E$7=TH!H258,OR(L258="331",M258="331")),"331",IF(AND(OR(L258="131",M258="131"),H258='131-CT'!$E$7),"131",""))</f>
        <v>131</v>
      </c>
      <c r="O258" s="25" t="str">
        <f>IF(AND($B258&gt;='111'!$N$11,$B258&lt;='111'!$O$11,OR($L258=$O$7,$M258=$O$7)),"x","")</f>
        <v/>
      </c>
      <c r="P258" s="25" t="str">
        <f>IF(AND($L258=$O$7,$B258&lt;'111'!$N$11),"x","")</f>
        <v/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310"/>
    </row>
    <row r="259" spans="1:26" ht="15.75" customHeight="1">
      <c r="A259" s="125" t="str">
        <f>IF(B259&lt;&gt;"",IF(AND(B259&gt;=_TM1,B259&lt;=_TM2,OR(TH!L259="1111",TH!M259="1111")),TH!D259,""),"")</f>
        <v/>
      </c>
      <c r="B259" s="11">
        <f t="shared" si="21"/>
        <v>5</v>
      </c>
      <c r="C259" s="115">
        <v>40690</v>
      </c>
      <c r="D259" s="115" t="s">
        <v>908</v>
      </c>
      <c r="E259" s="115">
        <v>40690</v>
      </c>
      <c r="F259" s="116" t="s">
        <v>788</v>
      </c>
      <c r="G259" s="224" t="s">
        <v>782</v>
      </c>
      <c r="H259" s="4" t="s">
        <v>709</v>
      </c>
      <c r="I259" s="141">
        <v>1</v>
      </c>
      <c r="J259" s="141">
        <v>7358</v>
      </c>
      <c r="K259" s="238">
        <v>7358</v>
      </c>
      <c r="L259" s="118" t="s">
        <v>237</v>
      </c>
      <c r="M259" s="118" t="s">
        <v>163</v>
      </c>
      <c r="N259" s="25" t="str">
        <f>IF(AND('331-CT'!$E$7=TH!H259,OR(L259="331",M259="331")),"331",IF(AND(OR(L259="131",M259="131"),H259='131-CT'!$E$7),"131",""))</f>
        <v>131</v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310"/>
    </row>
    <row r="260" spans="1:26" ht="15.75" customHeight="1">
      <c r="A260" s="125" t="str">
        <f>IF(B260&lt;&gt;"",IF(AND(B260&gt;=_TM1,B260&lt;=_TM2,OR(TH!L260="1111",TH!M260="1111")),TH!D260,""),"")</f>
        <v/>
      </c>
      <c r="B260" s="11">
        <f t="shared" si="21"/>
        <v>5</v>
      </c>
      <c r="C260" s="115">
        <v>40690</v>
      </c>
      <c r="D260" s="115" t="s">
        <v>908</v>
      </c>
      <c r="E260" s="115">
        <v>40690</v>
      </c>
      <c r="F260" s="116" t="s">
        <v>789</v>
      </c>
      <c r="G260" s="224" t="s">
        <v>782</v>
      </c>
      <c r="H260" s="4" t="s">
        <v>709</v>
      </c>
      <c r="I260" s="141">
        <v>4</v>
      </c>
      <c r="J260" s="141">
        <v>7429</v>
      </c>
      <c r="K260" s="238">
        <v>29716</v>
      </c>
      <c r="L260" s="118" t="s">
        <v>237</v>
      </c>
      <c r="M260" s="118" t="s">
        <v>163</v>
      </c>
      <c r="N260" s="25" t="str">
        <f>IF(AND('331-CT'!$E$7=TH!H260,OR(L260="331",M260="331")),"331",IF(AND(OR(L260="131",M260="131"),H260='131-CT'!$E$7),"131",""))</f>
        <v>131</v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310"/>
    </row>
    <row r="261" spans="1:26" ht="15.75" customHeight="1">
      <c r="A261" s="125" t="str">
        <f>IF(B261&lt;&gt;"",IF(AND(B261&gt;=_TM1,B261&lt;=_TM2,OR(TH!L261="1111",TH!M261="1111")),TH!D261,""),"")</f>
        <v/>
      </c>
      <c r="B261" s="11">
        <f t="shared" si="21"/>
        <v>5</v>
      </c>
      <c r="C261" s="115">
        <v>40690</v>
      </c>
      <c r="D261" s="115" t="s">
        <v>908</v>
      </c>
      <c r="E261" s="115">
        <v>40690</v>
      </c>
      <c r="F261" s="116" t="s">
        <v>790</v>
      </c>
      <c r="G261" s="224" t="s">
        <v>782</v>
      </c>
      <c r="H261" s="4" t="s">
        <v>709</v>
      </c>
      <c r="I261" s="141">
        <v>2</v>
      </c>
      <c r="J261" s="141">
        <v>4823</v>
      </c>
      <c r="K261" s="238">
        <v>9646</v>
      </c>
      <c r="L261" s="118" t="s">
        <v>237</v>
      </c>
      <c r="M261" s="118" t="s">
        <v>163</v>
      </c>
      <c r="N261" s="25" t="str">
        <f>IF(AND('331-CT'!$E$7=TH!H261,OR(L261="331",M261="331")),"331",IF(AND(OR(L261="131",M261="131"),H261='131-CT'!$E$7),"131",""))</f>
        <v>131</v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310"/>
    </row>
    <row r="262" spans="1:26" ht="15.75" customHeight="1">
      <c r="A262" s="125" t="str">
        <f>IF(B262&lt;&gt;"",IF(AND(B262&gt;=_TM1,B262&lt;=_TM2,OR(TH!L262="1111",TH!M262="1111")),TH!D262,""),"")</f>
        <v/>
      </c>
      <c r="B262" s="11">
        <f t="shared" si="21"/>
        <v>5</v>
      </c>
      <c r="C262" s="115">
        <v>40690</v>
      </c>
      <c r="D262" s="115" t="s">
        <v>908</v>
      </c>
      <c r="E262" s="115">
        <v>40690</v>
      </c>
      <c r="F262" s="116" t="s">
        <v>791</v>
      </c>
      <c r="G262" s="224" t="s">
        <v>782</v>
      </c>
      <c r="H262" s="4" t="s">
        <v>709</v>
      </c>
      <c r="I262" s="141">
        <v>2</v>
      </c>
      <c r="J262" s="141">
        <v>9141</v>
      </c>
      <c r="K262" s="238">
        <v>18282</v>
      </c>
      <c r="L262" s="118" t="s">
        <v>237</v>
      </c>
      <c r="M262" s="118" t="s">
        <v>163</v>
      </c>
      <c r="N262" s="25" t="str">
        <f>IF(AND('331-CT'!$E$7=TH!H262,OR(L262="331",M262="331")),"331",IF(AND(OR(L262="131",M262="131"),H262='131-CT'!$E$7),"131",""))</f>
        <v>131</v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/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310"/>
    </row>
    <row r="263" spans="1:26" ht="15.75" customHeight="1">
      <c r="A263" s="125" t="str">
        <f>IF(B263&lt;&gt;"",IF(AND(B263&gt;=_TM1,B263&lt;=_TM2,OR(TH!L263="1111",TH!M263="1111")),TH!D263,""),"")</f>
        <v/>
      </c>
      <c r="B263" s="11">
        <f t="shared" si="21"/>
        <v>5</v>
      </c>
      <c r="C263" s="115">
        <v>40690</v>
      </c>
      <c r="D263" s="115" t="s">
        <v>908</v>
      </c>
      <c r="E263" s="115">
        <v>40690</v>
      </c>
      <c r="F263" s="116" t="s">
        <v>783</v>
      </c>
      <c r="G263" s="224" t="s">
        <v>782</v>
      </c>
      <c r="H263" s="4" t="s">
        <v>709</v>
      </c>
      <c r="I263" s="141"/>
      <c r="J263" s="141"/>
      <c r="K263" s="238">
        <f>213553+2</f>
        <v>213555</v>
      </c>
      <c r="L263" s="118" t="s">
        <v>237</v>
      </c>
      <c r="M263" s="118" t="s">
        <v>707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310"/>
    </row>
    <row r="264" spans="1:26" ht="15.75" customHeight="1">
      <c r="A264" s="125" t="str">
        <f>IF(B264&lt;&gt;"",IF(AND(B264&gt;=_TM1,B264&lt;=_TM2,OR(TH!L264="1111",TH!M264="1111")),TH!D264,""),"")</f>
        <v/>
      </c>
      <c r="B264" s="11">
        <f t="shared" si="21"/>
        <v>5</v>
      </c>
      <c r="C264" s="115">
        <v>40690</v>
      </c>
      <c r="D264" s="115" t="s">
        <v>909</v>
      </c>
      <c r="E264" s="115">
        <v>40690</v>
      </c>
      <c r="F264" s="116" t="s">
        <v>797</v>
      </c>
      <c r="G264" s="224" t="s">
        <v>792</v>
      </c>
      <c r="H264" s="4" t="s">
        <v>709</v>
      </c>
      <c r="I264" s="141">
        <v>2</v>
      </c>
      <c r="J264" s="141">
        <v>7441</v>
      </c>
      <c r="K264" s="238">
        <v>14882</v>
      </c>
      <c r="L264" s="118" t="s">
        <v>237</v>
      </c>
      <c r="M264" s="118" t="s">
        <v>163</v>
      </c>
      <c r="N264" s="25" t="str">
        <f>IF(AND('331-CT'!$E$7=TH!H264,OR(L264="331",M264="331")),"331",IF(AND(OR(L264="131",M264="131"),H264='131-CT'!$E$7),"131",""))</f>
        <v>131</v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/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310"/>
    </row>
    <row r="265" spans="1:26" ht="15.75" customHeight="1">
      <c r="A265" s="125" t="str">
        <f>IF(B265&lt;&gt;"",IF(AND(B265&gt;=_TM1,B265&lt;=_TM2,OR(TH!L265="1111",TH!M265="1111")),TH!D265,""),"")</f>
        <v/>
      </c>
      <c r="B265" s="11">
        <f t="shared" si="21"/>
        <v>5</v>
      </c>
      <c r="C265" s="115">
        <v>40690</v>
      </c>
      <c r="D265" s="115" t="s">
        <v>909</v>
      </c>
      <c r="E265" s="115">
        <v>40690</v>
      </c>
      <c r="F265" s="116" t="s">
        <v>798</v>
      </c>
      <c r="G265" s="224" t="s">
        <v>792</v>
      </c>
      <c r="H265" s="4" t="s">
        <v>709</v>
      </c>
      <c r="I265" s="141">
        <v>5</v>
      </c>
      <c r="J265" s="141">
        <v>7175</v>
      </c>
      <c r="K265" s="238">
        <v>35875</v>
      </c>
      <c r="L265" s="118" t="s">
        <v>237</v>
      </c>
      <c r="M265" s="118" t="s">
        <v>163</v>
      </c>
      <c r="N265" s="25" t="str">
        <f>IF(AND('331-CT'!$E$7=TH!H265,OR(L265="331",M265="331")),"331",IF(AND(OR(L265="131",M265="131"),H265='131-CT'!$E$7),"131",""))</f>
        <v>131</v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/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310"/>
    </row>
    <row r="266" spans="1:26" ht="15.75" customHeight="1">
      <c r="A266" s="125" t="str">
        <f>IF(B266&lt;&gt;"",IF(AND(B266&gt;=_TM1,B266&lt;=_TM2,OR(TH!L266="1111",TH!M266="1111")),TH!D266,""),"")</f>
        <v/>
      </c>
      <c r="B266" s="11">
        <f t="shared" si="21"/>
        <v>5</v>
      </c>
      <c r="C266" s="115">
        <v>40690</v>
      </c>
      <c r="D266" s="115" t="s">
        <v>909</v>
      </c>
      <c r="E266" s="115">
        <v>40690</v>
      </c>
      <c r="F266" s="116" t="s">
        <v>799</v>
      </c>
      <c r="G266" s="224" t="s">
        <v>792</v>
      </c>
      <c r="H266" s="4" t="s">
        <v>709</v>
      </c>
      <c r="I266" s="141">
        <v>86</v>
      </c>
      <c r="J266" s="141">
        <v>19591</v>
      </c>
      <c r="K266" s="238">
        <v>1684826</v>
      </c>
      <c r="L266" s="118" t="s">
        <v>237</v>
      </c>
      <c r="M266" s="118" t="s">
        <v>163</v>
      </c>
      <c r="N266" s="25" t="str">
        <f>IF(AND('331-CT'!$E$7=TH!H266,OR(L266="331",M266="331")),"331",IF(AND(OR(L266="131",M266="131"),H266='131-CT'!$E$7),"131",""))</f>
        <v>131</v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/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310"/>
    </row>
    <row r="267" spans="1:26" ht="15.75" customHeight="1">
      <c r="A267" s="125" t="str">
        <f>IF(B267&lt;&gt;"",IF(AND(B267&gt;=_TM1,B267&lt;=_TM2,OR(TH!L267="1111",TH!M267="1111")),TH!D267,""),"")</f>
        <v/>
      </c>
      <c r="B267" s="11">
        <f t="shared" si="21"/>
        <v>5</v>
      </c>
      <c r="C267" s="115">
        <v>40690</v>
      </c>
      <c r="D267" s="115" t="s">
        <v>909</v>
      </c>
      <c r="E267" s="115">
        <v>40690</v>
      </c>
      <c r="F267" s="116" t="s">
        <v>796</v>
      </c>
      <c r="G267" s="224" t="s">
        <v>792</v>
      </c>
      <c r="H267" s="4" t="s">
        <v>709</v>
      </c>
      <c r="I267" s="141"/>
      <c r="J267" s="141"/>
      <c r="K267" s="238">
        <f>173558+1</f>
        <v>173559</v>
      </c>
      <c r="L267" s="118" t="s">
        <v>237</v>
      </c>
      <c r="M267" s="118" t="s">
        <v>707</v>
      </c>
      <c r="N267" s="25" t="str">
        <f>IF(AND('331-CT'!$E$7=TH!H267,OR(L267="331",M267="331")),"331",IF(AND(OR(L267="131",M267="131"),H267='131-CT'!$E$7),"131",""))</f>
        <v>131</v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310"/>
    </row>
    <row r="268" spans="1:26" ht="15.75" customHeight="1">
      <c r="A268" s="125" t="str">
        <f>IF(B268&lt;&gt;"",IF(AND(B268&gt;=_TM1,B268&lt;=_TM2,OR(TH!L268="1111",TH!M268="1111")),TH!D268,""),"")</f>
        <v/>
      </c>
      <c r="B268" s="11">
        <f t="shared" si="21"/>
        <v>5</v>
      </c>
      <c r="C268" s="115">
        <v>40690</v>
      </c>
      <c r="D268" s="115" t="s">
        <v>912</v>
      </c>
      <c r="E268" s="115">
        <v>40690</v>
      </c>
      <c r="F268" s="116" t="s">
        <v>800</v>
      </c>
      <c r="G268" s="224" t="s">
        <v>793</v>
      </c>
      <c r="H268" s="4" t="s">
        <v>709</v>
      </c>
      <c r="I268" s="141">
        <v>4</v>
      </c>
      <c r="J268" s="141">
        <v>16433</v>
      </c>
      <c r="K268" s="238">
        <v>65732</v>
      </c>
      <c r="L268" s="118" t="s">
        <v>237</v>
      </c>
      <c r="M268" s="118" t="s">
        <v>163</v>
      </c>
      <c r="N268" s="25" t="str">
        <f>IF(AND('331-CT'!$E$7=TH!H268,OR(L268="331",M268="331")),"331",IF(AND(OR(L268="131",M268="131"),H268='131-CT'!$E$7),"131",""))</f>
        <v>131</v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310"/>
    </row>
    <row r="269" spans="1:26" ht="15.75" customHeight="1">
      <c r="A269" s="125" t="str">
        <f>IF(B269&lt;&gt;"",IF(AND(B269&gt;=_TM1,B269&lt;=_TM2,OR(TH!L269="1111",TH!M269="1111")),TH!D269,""),"")</f>
        <v/>
      </c>
      <c r="B269" s="11">
        <f t="shared" si="21"/>
        <v>5</v>
      </c>
      <c r="C269" s="115">
        <v>40690</v>
      </c>
      <c r="D269" s="115" t="s">
        <v>912</v>
      </c>
      <c r="E269" s="115">
        <v>40690</v>
      </c>
      <c r="F269" s="116" t="s">
        <v>801</v>
      </c>
      <c r="G269" s="224" t="s">
        <v>793</v>
      </c>
      <c r="H269" s="4" t="s">
        <v>709</v>
      </c>
      <c r="I269" s="141">
        <v>24</v>
      </c>
      <c r="J269" s="141">
        <v>15538</v>
      </c>
      <c r="K269" s="238">
        <v>372912</v>
      </c>
      <c r="L269" s="118" t="s">
        <v>237</v>
      </c>
      <c r="M269" s="118" t="s">
        <v>163</v>
      </c>
      <c r="N269" s="25" t="str">
        <f>IF(AND('331-CT'!$E$7=TH!H269,OR(L269="331",M269="331")),"331",IF(AND(OR(L269="131",M269="131"),H269='131-CT'!$E$7),"131",""))</f>
        <v>131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310"/>
    </row>
    <row r="270" spans="1:26" ht="15.75" customHeight="1">
      <c r="A270" s="125" t="str">
        <f>IF(B270&lt;&gt;"",IF(AND(B270&gt;=_TM1,B270&lt;=_TM2,OR(TH!L270="1111",TH!M270="1111")),TH!D270,""),"")</f>
        <v/>
      </c>
      <c r="B270" s="11">
        <f t="shared" si="21"/>
        <v>5</v>
      </c>
      <c r="C270" s="115">
        <v>40690</v>
      </c>
      <c r="D270" s="115" t="s">
        <v>912</v>
      </c>
      <c r="E270" s="115">
        <v>40690</v>
      </c>
      <c r="F270" s="314" t="s">
        <v>802</v>
      </c>
      <c r="G270" s="224" t="s">
        <v>793</v>
      </c>
      <c r="H270" s="4" t="s">
        <v>709</v>
      </c>
      <c r="I270" s="141">
        <v>364</v>
      </c>
      <c r="J270" s="141">
        <v>17124</v>
      </c>
      <c r="K270" s="238">
        <v>6233136</v>
      </c>
      <c r="L270" s="118" t="s">
        <v>237</v>
      </c>
      <c r="M270" s="118" t="s">
        <v>163</v>
      </c>
      <c r="N270" s="25" t="str">
        <f>IF(AND('331-CT'!$E$7=TH!H270,OR(L270="331",M270="331")),"331",IF(AND(OR(L270="131",M270="131"),H270='131-CT'!$E$7),"131",""))</f>
        <v>131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310"/>
    </row>
    <row r="271" spans="1:26" ht="15.75" customHeight="1">
      <c r="A271" s="125" t="str">
        <f>IF(B271&lt;&gt;"",IF(AND(B271&gt;=_TM1,B271&lt;=_TM2,OR(TH!L271="1111",TH!M271="1111")),TH!D271,""),"")</f>
        <v/>
      </c>
      <c r="B271" s="11">
        <f t="shared" si="21"/>
        <v>5</v>
      </c>
      <c r="C271" s="115">
        <v>40690</v>
      </c>
      <c r="D271" s="115" t="s">
        <v>912</v>
      </c>
      <c r="E271" s="115">
        <v>40690</v>
      </c>
      <c r="F271" s="116" t="s">
        <v>803</v>
      </c>
      <c r="G271" s="224" t="s">
        <v>793</v>
      </c>
      <c r="H271" s="4" t="s">
        <v>709</v>
      </c>
      <c r="I271" s="141">
        <v>2</v>
      </c>
      <c r="J271" s="141">
        <v>12738</v>
      </c>
      <c r="K271" s="238">
        <v>25476</v>
      </c>
      <c r="L271" s="118" t="s">
        <v>237</v>
      </c>
      <c r="M271" s="118" t="s">
        <v>163</v>
      </c>
      <c r="N271" s="25" t="str">
        <f>IF(AND('331-CT'!$E$7=TH!H271,OR(L271="331",M271="331")),"331",IF(AND(OR(L271="131",M271="131"),H271='131-CT'!$E$7),"131",""))</f>
        <v>131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21"/>
    </row>
    <row r="272" spans="1:26" ht="15.75" customHeight="1">
      <c r="A272" s="125" t="str">
        <f>IF(B272&lt;&gt;"",IF(AND(B272&gt;=_TM1,B272&lt;=_TM2,OR(TH!L272="1111",TH!M272="1111")),TH!D272,""),"")</f>
        <v/>
      </c>
      <c r="B272" s="11">
        <f t="shared" si="21"/>
        <v>5</v>
      </c>
      <c r="C272" s="115">
        <v>40690</v>
      </c>
      <c r="D272" s="115" t="s">
        <v>912</v>
      </c>
      <c r="E272" s="115">
        <v>40690</v>
      </c>
      <c r="F272" s="116" t="s">
        <v>804</v>
      </c>
      <c r="G272" s="224" t="s">
        <v>793</v>
      </c>
      <c r="H272" s="4" t="s">
        <v>709</v>
      </c>
      <c r="I272" s="141">
        <v>10</v>
      </c>
      <c r="J272" s="141">
        <v>14997</v>
      </c>
      <c r="K272" s="238">
        <v>149970</v>
      </c>
      <c r="L272" s="118" t="s">
        <v>237</v>
      </c>
      <c r="M272" s="118" t="s">
        <v>163</v>
      </c>
      <c r="N272" s="25" t="str">
        <f>IF(AND('331-CT'!$E$7=TH!H272,OR(L272="331",M272="331")),"331",IF(AND(OR(L272="131",M272="131"),H272='131-CT'!$E$7),"131",""))</f>
        <v>131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21"/>
    </row>
    <row r="273" spans="1:26" ht="15.75" customHeight="1">
      <c r="A273" s="125" t="str">
        <f>IF(B273&lt;&gt;"",IF(AND(B273&gt;=_TM1,B273&lt;=_TM2,OR(TH!L273="1111",TH!M273="1111")),TH!D273,""),"")</f>
        <v/>
      </c>
      <c r="B273" s="11">
        <f t="shared" si="21"/>
        <v>5</v>
      </c>
      <c r="C273" s="115">
        <v>40690</v>
      </c>
      <c r="D273" s="115" t="s">
        <v>912</v>
      </c>
      <c r="E273" s="115">
        <v>40690</v>
      </c>
      <c r="F273" s="116" t="s">
        <v>805</v>
      </c>
      <c r="G273" s="224" t="s">
        <v>793</v>
      </c>
      <c r="H273" s="4" t="s">
        <v>709</v>
      </c>
      <c r="I273" s="141">
        <v>414</v>
      </c>
      <c r="J273" s="141">
        <v>16852</v>
      </c>
      <c r="K273" s="238">
        <v>6976728</v>
      </c>
      <c r="L273" s="118" t="s">
        <v>237</v>
      </c>
      <c r="M273" s="118" t="s">
        <v>163</v>
      </c>
      <c r="N273" s="25" t="str">
        <f>IF(AND('331-CT'!$E$7=TH!H273,OR(L273="331",M273="331")),"331",IF(AND(OR(L273="131",M273="131"),H273='131-CT'!$E$7),"131",""))</f>
        <v>131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21"/>
    </row>
    <row r="274" spans="1:26" ht="15.75" customHeight="1">
      <c r="A274" s="125" t="str">
        <f>IF(B274&lt;&gt;"",IF(AND(B274&gt;=_TM1,B274&lt;=_TM2,OR(TH!L274="1111",TH!M274="1111")),TH!D274,""),"")</f>
        <v/>
      </c>
      <c r="B274" s="11">
        <f t="shared" si="21"/>
        <v>5</v>
      </c>
      <c r="C274" s="115">
        <v>40690</v>
      </c>
      <c r="D274" s="115" t="s">
        <v>912</v>
      </c>
      <c r="E274" s="115">
        <v>40690</v>
      </c>
      <c r="F274" s="116" t="s">
        <v>806</v>
      </c>
      <c r="G274" s="224" t="s">
        <v>793</v>
      </c>
      <c r="H274" s="4" t="s">
        <v>709</v>
      </c>
      <c r="I274" s="141">
        <v>1380</v>
      </c>
      <c r="J274" s="141">
        <v>14135</v>
      </c>
      <c r="K274" s="238">
        <v>19506300</v>
      </c>
      <c r="L274" s="118" t="s">
        <v>237</v>
      </c>
      <c r="M274" s="118" t="s">
        <v>163</v>
      </c>
      <c r="N274" s="25" t="str">
        <f>IF(AND('331-CT'!$E$7=TH!H274,OR(L274="331",M274="331")),"331",IF(AND(OR(L274="131",M274="131"),H274='131-CT'!$E$7),"131",""))</f>
        <v>131</v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21"/>
    </row>
    <row r="275" spans="1:26" ht="15.75" customHeight="1">
      <c r="A275" s="125" t="str">
        <f>IF(B275&lt;&gt;"",IF(AND(B275&gt;=_TM1,B275&lt;=_TM2,OR(TH!L275="1111",TH!M275="1111")),TH!D275,""),"")</f>
        <v/>
      </c>
      <c r="B275" s="11">
        <f t="shared" si="21"/>
        <v>5</v>
      </c>
      <c r="C275" s="115">
        <v>40690</v>
      </c>
      <c r="D275" s="115" t="s">
        <v>912</v>
      </c>
      <c r="E275" s="115">
        <v>40690</v>
      </c>
      <c r="F275" s="116" t="s">
        <v>807</v>
      </c>
      <c r="G275" s="224" t="s">
        <v>793</v>
      </c>
      <c r="H275" s="4" t="s">
        <v>709</v>
      </c>
      <c r="I275" s="141">
        <v>1127</v>
      </c>
      <c r="J275" s="141">
        <v>14920</v>
      </c>
      <c r="K275" s="238">
        <v>16814840</v>
      </c>
      <c r="L275" s="118" t="s">
        <v>237</v>
      </c>
      <c r="M275" s="118" t="s">
        <v>163</v>
      </c>
      <c r="N275" s="25" t="str">
        <f>IF(AND('331-CT'!$E$7=TH!H275,OR(L275="331",M275="331")),"331",IF(AND(OR(L275="131",M275="131"),H275='131-CT'!$E$7),"131",""))</f>
        <v>131</v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/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121"/>
    </row>
    <row r="276" spans="1:26" ht="15.75" customHeight="1">
      <c r="A276" s="125" t="str">
        <f>IF(B276&lt;&gt;"",IF(AND(B276&gt;=_TM1,B276&lt;=_TM2,OR(TH!L276="1111",TH!M276="1111")),TH!D276,""),"")</f>
        <v/>
      </c>
      <c r="B276" s="11">
        <f t="shared" si="21"/>
        <v>5</v>
      </c>
      <c r="C276" s="115">
        <v>40690</v>
      </c>
      <c r="D276" s="115" t="s">
        <v>912</v>
      </c>
      <c r="E276" s="115">
        <v>40690</v>
      </c>
      <c r="F276" s="116" t="s">
        <v>783</v>
      </c>
      <c r="G276" s="224" t="s">
        <v>793</v>
      </c>
      <c r="H276" s="4" t="s">
        <v>709</v>
      </c>
      <c r="I276" s="141"/>
      <c r="J276" s="141"/>
      <c r="K276" s="238">
        <v>5014509</v>
      </c>
      <c r="L276" s="118" t="s">
        <v>237</v>
      </c>
      <c r="M276" s="118" t="s">
        <v>707</v>
      </c>
      <c r="N276" s="25" t="str">
        <f>IF(AND('331-CT'!$E$7=TH!H276,OR(L276="331",M276="331")),"331",IF(AND(OR(L276="131",M276="131"),H276='131-CT'!$E$7),"131",""))</f>
        <v>131</v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21"/>
    </row>
    <row r="277" spans="1:26" ht="15.75" customHeight="1">
      <c r="A277" s="125" t="str">
        <f>IF(B277&lt;&gt;"",IF(AND(B277&gt;=_TM1,B277&lt;=_TM2,OR(TH!L277="1111",TH!M277="1111")),TH!D277,""),"")</f>
        <v/>
      </c>
      <c r="B277" s="11">
        <f t="shared" si="21"/>
        <v>5</v>
      </c>
      <c r="C277" s="115">
        <v>40690</v>
      </c>
      <c r="D277" s="115" t="s">
        <v>905</v>
      </c>
      <c r="E277" s="115">
        <v>40690</v>
      </c>
      <c r="F277" s="116" t="s">
        <v>767</v>
      </c>
      <c r="G277" s="224" t="s">
        <v>563</v>
      </c>
      <c r="H277" s="4" t="s">
        <v>710</v>
      </c>
      <c r="I277" s="143">
        <v>98</v>
      </c>
      <c r="J277" s="143">
        <v>17821.5</v>
      </c>
      <c r="K277" s="238">
        <f t="shared" ref="K277:K308" si="24">ROUND(I277*J277,0)</f>
        <v>1746507</v>
      </c>
      <c r="L277" s="319" t="s">
        <v>161</v>
      </c>
      <c r="M277" s="319" t="s">
        <v>155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310"/>
    </row>
    <row r="278" spans="1:26" ht="15.75" customHeight="1">
      <c r="A278" s="125" t="str">
        <f>IF(B278&lt;&gt;"",IF(AND(B278&gt;=_TM1,B278&lt;=_TM2,OR(TH!L278="1111",TH!M278="1111")),TH!D278,""),"")</f>
        <v/>
      </c>
      <c r="B278" s="11">
        <f t="shared" ref="B278:B341" si="25">IF(C278&lt;&gt;"",MONTH(C278),"")</f>
        <v>5</v>
      </c>
      <c r="C278" s="115">
        <v>40690</v>
      </c>
      <c r="D278" s="115" t="s">
        <v>905</v>
      </c>
      <c r="E278" s="115">
        <v>40690</v>
      </c>
      <c r="F278" s="116" t="s">
        <v>768</v>
      </c>
      <c r="G278" s="224" t="s">
        <v>563</v>
      </c>
      <c r="H278" s="4" t="s">
        <v>710</v>
      </c>
      <c r="I278" s="141">
        <v>177</v>
      </c>
      <c r="J278" s="141">
        <v>13728.152542372882</v>
      </c>
      <c r="K278" s="238">
        <f t="shared" si="24"/>
        <v>2429883</v>
      </c>
      <c r="L278" s="319" t="s">
        <v>161</v>
      </c>
      <c r="M278" s="319" t="s">
        <v>155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310"/>
    </row>
    <row r="279" spans="1:26" ht="15.75" customHeight="1">
      <c r="A279" s="125" t="str">
        <f>IF(B279&lt;&gt;"",IF(AND(B279&gt;=_TM1,B279&lt;=_TM2,OR(TH!L279="1111",TH!M279="1111")),TH!D279,""),"")</f>
        <v/>
      </c>
      <c r="B279" s="11">
        <f t="shared" si="25"/>
        <v>5</v>
      </c>
      <c r="C279" s="115">
        <v>40690</v>
      </c>
      <c r="D279" s="115" t="s">
        <v>905</v>
      </c>
      <c r="E279" s="115">
        <v>40690</v>
      </c>
      <c r="F279" s="116" t="s">
        <v>769</v>
      </c>
      <c r="G279" s="224" t="s">
        <v>563</v>
      </c>
      <c r="H279" s="4" t="s">
        <v>710</v>
      </c>
      <c r="I279" s="141">
        <v>205</v>
      </c>
      <c r="J279" s="141">
        <v>17799.141463414635</v>
      </c>
      <c r="K279" s="238">
        <f t="shared" si="24"/>
        <v>3648824</v>
      </c>
      <c r="L279" s="319" t="s">
        <v>161</v>
      </c>
      <c r="M279" s="319" t="s">
        <v>155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310"/>
    </row>
    <row r="280" spans="1:26" ht="15.75" customHeight="1">
      <c r="A280" s="125" t="str">
        <f>IF(B280&lt;&gt;"",IF(AND(B280&gt;=_TM1,B280&lt;=_TM2,OR(TH!L280="1111",TH!M280="1111")),TH!D280,""),"")</f>
        <v/>
      </c>
      <c r="B280" s="11">
        <f t="shared" si="25"/>
        <v>5</v>
      </c>
      <c r="C280" s="115">
        <v>40690</v>
      </c>
      <c r="D280" s="115" t="s">
        <v>905</v>
      </c>
      <c r="E280" s="115">
        <v>40690</v>
      </c>
      <c r="F280" s="116" t="s">
        <v>777</v>
      </c>
      <c r="G280" s="224" t="s">
        <v>563</v>
      </c>
      <c r="H280" s="4" t="s">
        <v>710</v>
      </c>
      <c r="I280" s="141">
        <v>283</v>
      </c>
      <c r="J280" s="141">
        <v>8627.5088339222621</v>
      </c>
      <c r="K280" s="238">
        <f t="shared" si="24"/>
        <v>2441585</v>
      </c>
      <c r="L280" s="319" t="s">
        <v>161</v>
      </c>
      <c r="M280" s="319" t="s">
        <v>155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310"/>
    </row>
    <row r="281" spans="1:26" ht="15.75" customHeight="1">
      <c r="A281" s="125" t="str">
        <f>IF(B281&lt;&gt;"",IF(AND(B281&gt;=_TM1,B281&lt;=_TM2,OR(TH!L281="1111",TH!M281="1111")),TH!D281,""),"")</f>
        <v/>
      </c>
      <c r="B281" s="11">
        <f t="shared" si="25"/>
        <v>5</v>
      </c>
      <c r="C281" s="115">
        <v>40690</v>
      </c>
      <c r="D281" s="115" t="s">
        <v>905</v>
      </c>
      <c r="E281" s="115">
        <v>40690</v>
      </c>
      <c r="F281" s="116" t="s">
        <v>770</v>
      </c>
      <c r="G281" s="224" t="s">
        <v>563</v>
      </c>
      <c r="H281" s="4" t="s">
        <v>710</v>
      </c>
      <c r="I281" s="141">
        <v>493</v>
      </c>
      <c r="J281" s="141">
        <v>6982.8945233265722</v>
      </c>
      <c r="K281" s="238">
        <f t="shared" si="24"/>
        <v>3442567</v>
      </c>
      <c r="L281" s="319" t="s">
        <v>161</v>
      </c>
      <c r="M281" s="319" t="s">
        <v>155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310"/>
    </row>
    <row r="282" spans="1:26" ht="15.75" customHeight="1">
      <c r="A282" s="125" t="str">
        <f>IF(B282&lt;&gt;"",IF(AND(B282&gt;=_TM1,B282&lt;=_TM2,OR(TH!L282="1111",TH!M282="1111")),TH!D282,""),"")</f>
        <v/>
      </c>
      <c r="B282" s="11">
        <f t="shared" si="25"/>
        <v>5</v>
      </c>
      <c r="C282" s="115">
        <v>40690</v>
      </c>
      <c r="D282" s="115" t="s">
        <v>905</v>
      </c>
      <c r="E282" s="115">
        <v>40690</v>
      </c>
      <c r="F282" s="116" t="s">
        <v>771</v>
      </c>
      <c r="G282" s="224" t="s">
        <v>563</v>
      </c>
      <c r="H282" s="4" t="s">
        <v>710</v>
      </c>
      <c r="I282" s="141">
        <v>398</v>
      </c>
      <c r="J282" s="141">
        <v>7190.510050251256</v>
      </c>
      <c r="K282" s="238">
        <f t="shared" si="24"/>
        <v>2861823</v>
      </c>
      <c r="L282" s="319" t="s">
        <v>161</v>
      </c>
      <c r="M282" s="319" t="s">
        <v>155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310"/>
    </row>
    <row r="283" spans="1:26" ht="15.75" customHeight="1">
      <c r="A283" s="125" t="str">
        <f>IF(B283&lt;&gt;"",IF(AND(B283&gt;=_TM1,B283&lt;=_TM2,OR(TH!L283="1111",TH!M283="1111")),TH!D283,""),"")</f>
        <v/>
      </c>
      <c r="B283" s="11">
        <f t="shared" si="25"/>
        <v>5</v>
      </c>
      <c r="C283" s="115">
        <v>40690</v>
      </c>
      <c r="D283" s="115" t="s">
        <v>905</v>
      </c>
      <c r="E283" s="115">
        <v>40690</v>
      </c>
      <c r="F283" s="116" t="s">
        <v>772</v>
      </c>
      <c r="G283" s="224" t="s">
        <v>563</v>
      </c>
      <c r="H283" s="4" t="s">
        <v>710</v>
      </c>
      <c r="I283" s="141">
        <v>98</v>
      </c>
      <c r="J283" s="141">
        <v>13728.887755102041</v>
      </c>
      <c r="K283" s="238">
        <f t="shared" si="24"/>
        <v>1345431</v>
      </c>
      <c r="L283" s="319" t="s">
        <v>161</v>
      </c>
      <c r="M283" s="319" t="s">
        <v>155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310"/>
    </row>
    <row r="284" spans="1:26" ht="15.75" customHeight="1">
      <c r="A284" s="125" t="str">
        <f>IF(B284&lt;&gt;"",IF(AND(B284&gt;=_TM1,B284&lt;=_TM2,OR(TH!L284="1111",TH!M284="1111")),TH!D284,""),"")</f>
        <v/>
      </c>
      <c r="B284" s="11">
        <f t="shared" si="25"/>
        <v>5</v>
      </c>
      <c r="C284" s="115">
        <v>40690</v>
      </c>
      <c r="D284" s="115" t="s">
        <v>906</v>
      </c>
      <c r="E284" s="115">
        <v>40690</v>
      </c>
      <c r="F284" s="116" t="s">
        <v>775</v>
      </c>
      <c r="G284" s="224" t="s">
        <v>773</v>
      </c>
      <c r="H284" s="4" t="s">
        <v>710</v>
      </c>
      <c r="I284" s="141">
        <v>191</v>
      </c>
      <c r="J284" s="141">
        <v>17288.172774869108</v>
      </c>
      <c r="K284" s="238">
        <f t="shared" si="24"/>
        <v>3302041</v>
      </c>
      <c r="L284" s="319" t="s">
        <v>161</v>
      </c>
      <c r="M284" s="319" t="s">
        <v>155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310"/>
    </row>
    <row r="285" spans="1:26" ht="15.75" customHeight="1">
      <c r="A285" s="125" t="str">
        <f>IF(B285&lt;&gt;"",IF(AND(B285&gt;=_TM1,B285&lt;=_TM2,OR(TH!L285="1111",TH!M285="1111")),TH!D285,""),"")</f>
        <v/>
      </c>
      <c r="B285" s="11">
        <f t="shared" si="25"/>
        <v>5</v>
      </c>
      <c r="C285" s="115">
        <v>40690</v>
      </c>
      <c r="D285" s="115" t="s">
        <v>906</v>
      </c>
      <c r="E285" s="115">
        <v>40690</v>
      </c>
      <c r="F285" s="116" t="s">
        <v>776</v>
      </c>
      <c r="G285" s="224" t="s">
        <v>773</v>
      </c>
      <c r="H285" s="4" t="s">
        <v>710</v>
      </c>
      <c r="I285" s="141">
        <v>206</v>
      </c>
      <c r="J285" s="141">
        <v>14857.509708737864</v>
      </c>
      <c r="K285" s="238">
        <f t="shared" si="24"/>
        <v>3060647</v>
      </c>
      <c r="L285" s="319" t="s">
        <v>161</v>
      </c>
      <c r="M285" s="319" t="s">
        <v>155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310"/>
    </row>
    <row r="286" spans="1:26" ht="15.75" customHeight="1">
      <c r="A286" s="125" t="str">
        <f>IF(B286&lt;&gt;"",IF(AND(B286&gt;=_TM1,B286&lt;=_TM2,OR(TH!L286="1111",TH!M286="1111")),TH!D286,""),"")</f>
        <v/>
      </c>
      <c r="B286" s="11">
        <f t="shared" si="25"/>
        <v>5</v>
      </c>
      <c r="C286" s="115">
        <v>40690</v>
      </c>
      <c r="D286" s="115" t="s">
        <v>907</v>
      </c>
      <c r="E286" s="115">
        <v>40690</v>
      </c>
      <c r="F286" s="116" t="s">
        <v>778</v>
      </c>
      <c r="G286" s="224" t="s">
        <v>774</v>
      </c>
      <c r="H286" s="4" t="s">
        <v>709</v>
      </c>
      <c r="I286" s="141">
        <v>50</v>
      </c>
      <c r="J286" s="141">
        <v>12189.5</v>
      </c>
      <c r="K286" s="238">
        <f t="shared" si="24"/>
        <v>609475</v>
      </c>
      <c r="L286" s="319" t="s">
        <v>161</v>
      </c>
      <c r="M286" s="319" t="s">
        <v>155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310"/>
    </row>
    <row r="287" spans="1:26" ht="15.75" customHeight="1">
      <c r="A287" s="125" t="str">
        <f>IF(B287&lt;&gt;"",IF(AND(B287&gt;=_TM1,B287&lt;=_TM2,OR(TH!L287="1111",TH!M287="1111")),TH!D287,""),"")</f>
        <v/>
      </c>
      <c r="B287" s="11">
        <f t="shared" si="25"/>
        <v>5</v>
      </c>
      <c r="C287" s="115">
        <v>40690</v>
      </c>
      <c r="D287" s="115" t="s">
        <v>907</v>
      </c>
      <c r="E287" s="115">
        <v>40690</v>
      </c>
      <c r="F287" s="116" t="s">
        <v>732</v>
      </c>
      <c r="G287" s="224" t="s">
        <v>774</v>
      </c>
      <c r="H287" s="4" t="s">
        <v>709</v>
      </c>
      <c r="I287" s="141">
        <v>300</v>
      </c>
      <c r="J287" s="141">
        <v>2471.7633333333333</v>
      </c>
      <c r="K287" s="238">
        <f t="shared" si="24"/>
        <v>741529</v>
      </c>
      <c r="L287" s="319" t="s">
        <v>161</v>
      </c>
      <c r="M287" s="319" t="s">
        <v>155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310"/>
    </row>
    <row r="288" spans="1:26" ht="15.75" customHeight="1">
      <c r="A288" s="125" t="str">
        <f>IF(B288&lt;&gt;"",IF(AND(B288&gt;=_TM1,B288&lt;=_TM2,OR(TH!L288="1111",TH!M288="1111")),TH!D288,""),"")</f>
        <v/>
      </c>
      <c r="B288" s="11">
        <f t="shared" si="25"/>
        <v>5</v>
      </c>
      <c r="C288" s="115">
        <v>40690</v>
      </c>
      <c r="D288" s="115" t="s">
        <v>907</v>
      </c>
      <c r="E288" s="115">
        <v>40690</v>
      </c>
      <c r="F288" s="116" t="s">
        <v>779</v>
      </c>
      <c r="G288" s="224" t="s">
        <v>774</v>
      </c>
      <c r="H288" s="4" t="s">
        <v>709</v>
      </c>
      <c r="I288" s="141">
        <v>7</v>
      </c>
      <c r="J288" s="141">
        <v>17484.571428571428</v>
      </c>
      <c r="K288" s="238">
        <f t="shared" si="24"/>
        <v>122392</v>
      </c>
      <c r="L288" s="319" t="s">
        <v>161</v>
      </c>
      <c r="M288" s="319" t="s">
        <v>155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310"/>
    </row>
    <row r="289" spans="1:26" ht="15.75" customHeight="1">
      <c r="A289" s="125" t="str">
        <f>IF(B289&lt;&gt;"",IF(AND(B289&gt;=_TM1,B289&lt;=_TM2,OR(TH!L289="1111",TH!M289="1111")),TH!D289,""),"")</f>
        <v/>
      </c>
      <c r="B289" s="11">
        <f t="shared" si="25"/>
        <v>5</v>
      </c>
      <c r="C289" s="115">
        <v>40690</v>
      </c>
      <c r="D289" s="115" t="s">
        <v>907</v>
      </c>
      <c r="E289" s="115">
        <v>40690</v>
      </c>
      <c r="F289" s="116" t="s">
        <v>780</v>
      </c>
      <c r="G289" s="224" t="s">
        <v>774</v>
      </c>
      <c r="H289" s="4" t="s">
        <v>709</v>
      </c>
      <c r="I289" s="141">
        <v>7</v>
      </c>
      <c r="J289" s="141">
        <v>17484.571428571428</v>
      </c>
      <c r="K289" s="238">
        <f t="shared" si="24"/>
        <v>122392</v>
      </c>
      <c r="L289" s="319" t="s">
        <v>161</v>
      </c>
      <c r="M289" s="319" t="s">
        <v>155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310"/>
    </row>
    <row r="290" spans="1:26" ht="15.75" customHeight="1">
      <c r="A290" s="125" t="str">
        <f>IF(B290&lt;&gt;"",IF(AND(B290&gt;=_TM1,B290&lt;=_TM2,OR(TH!L290="1111",TH!M290="1111")),TH!D290,""),"")</f>
        <v/>
      </c>
      <c r="B290" s="11">
        <f t="shared" si="25"/>
        <v>5</v>
      </c>
      <c r="C290" s="115">
        <v>40690</v>
      </c>
      <c r="D290" s="115" t="s">
        <v>907</v>
      </c>
      <c r="E290" s="115">
        <v>40690</v>
      </c>
      <c r="F290" s="116" t="s">
        <v>778</v>
      </c>
      <c r="G290" s="224" t="s">
        <v>774</v>
      </c>
      <c r="H290" s="4" t="s">
        <v>709</v>
      </c>
      <c r="I290" s="141">
        <v>250</v>
      </c>
      <c r="J290" s="141">
        <v>12946.512000000001</v>
      </c>
      <c r="K290" s="238">
        <f t="shared" si="24"/>
        <v>3236628</v>
      </c>
      <c r="L290" s="319" t="s">
        <v>161</v>
      </c>
      <c r="M290" s="319" t="s">
        <v>155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/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310"/>
    </row>
    <row r="291" spans="1:26" ht="15.75" customHeight="1">
      <c r="A291" s="125" t="str">
        <f>IF(B291&lt;&gt;"",IF(AND(B291&gt;=_TM1,B291&lt;=_TM2,OR(TH!L291="1111",TH!M291="1111")),TH!D291,""),"")</f>
        <v/>
      </c>
      <c r="B291" s="11">
        <f t="shared" si="25"/>
        <v>5</v>
      </c>
      <c r="C291" s="115">
        <v>40690</v>
      </c>
      <c r="D291" s="115" t="s">
        <v>907</v>
      </c>
      <c r="E291" s="115">
        <v>40690</v>
      </c>
      <c r="F291" s="116" t="s">
        <v>781</v>
      </c>
      <c r="G291" s="224" t="s">
        <v>774</v>
      </c>
      <c r="H291" s="4" t="s">
        <v>709</v>
      </c>
      <c r="I291" s="141">
        <v>90</v>
      </c>
      <c r="J291" s="141">
        <v>15310.011111111111</v>
      </c>
      <c r="K291" s="238">
        <f t="shared" si="24"/>
        <v>1377901</v>
      </c>
      <c r="L291" s="319" t="s">
        <v>161</v>
      </c>
      <c r="M291" s="319" t="s">
        <v>155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310"/>
    </row>
    <row r="292" spans="1:26" ht="15.75" customHeight="1">
      <c r="A292" s="125" t="str">
        <f>IF(B292&lt;&gt;"",IF(AND(B292&gt;=_TM1,B292&lt;=_TM2,OR(TH!L292="1111",TH!M292="1111")),TH!D292,""),"")</f>
        <v/>
      </c>
      <c r="B292" s="11">
        <f t="shared" si="25"/>
        <v>5</v>
      </c>
      <c r="C292" s="115">
        <v>40690</v>
      </c>
      <c r="D292" s="115" t="s">
        <v>907</v>
      </c>
      <c r="E292" s="115">
        <v>40690</v>
      </c>
      <c r="F292" s="116" t="s">
        <v>732</v>
      </c>
      <c r="G292" s="224" t="s">
        <v>774</v>
      </c>
      <c r="H292" s="4" t="s">
        <v>709</v>
      </c>
      <c r="I292" s="141">
        <v>90</v>
      </c>
      <c r="J292" s="141">
        <v>3584.0111111111109</v>
      </c>
      <c r="K292" s="238">
        <f t="shared" si="24"/>
        <v>322561</v>
      </c>
      <c r="L292" s="319" t="s">
        <v>161</v>
      </c>
      <c r="M292" s="319" t="s">
        <v>155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310"/>
    </row>
    <row r="293" spans="1:26" ht="15.75" customHeight="1">
      <c r="A293" s="125" t="str">
        <f>IF(B293&lt;&gt;"",IF(AND(B293&gt;=_TM1,B293&lt;=_TM2,OR(TH!L293="1111",TH!M293="1111")),TH!D293,""),"")</f>
        <v/>
      </c>
      <c r="B293" s="11">
        <f t="shared" si="25"/>
        <v>5</v>
      </c>
      <c r="C293" s="115">
        <v>40690</v>
      </c>
      <c r="D293" s="115" t="s">
        <v>908</v>
      </c>
      <c r="E293" s="115">
        <v>40690</v>
      </c>
      <c r="F293" s="116" t="s">
        <v>784</v>
      </c>
      <c r="G293" s="224" t="s">
        <v>782</v>
      </c>
      <c r="H293" s="4" t="s">
        <v>709</v>
      </c>
      <c r="I293" s="141">
        <v>2</v>
      </c>
      <c r="J293" s="141">
        <v>7759.5</v>
      </c>
      <c r="K293" s="238">
        <f t="shared" si="24"/>
        <v>15519</v>
      </c>
      <c r="L293" s="319" t="s">
        <v>161</v>
      </c>
      <c r="M293" s="319" t="s">
        <v>155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310"/>
    </row>
    <row r="294" spans="1:26" ht="15.75" customHeight="1">
      <c r="A294" s="125" t="str">
        <f>IF(B294&lt;&gt;"",IF(AND(B294&gt;=_TM1,B294&lt;=_TM2,OR(TH!L294="1111",TH!M294="1111")),TH!D294,""),"")</f>
        <v/>
      </c>
      <c r="B294" s="11">
        <f t="shared" si="25"/>
        <v>5</v>
      </c>
      <c r="C294" s="115">
        <v>40690</v>
      </c>
      <c r="D294" s="115" t="s">
        <v>908</v>
      </c>
      <c r="E294" s="115">
        <v>40690</v>
      </c>
      <c r="F294" s="116" t="s">
        <v>785</v>
      </c>
      <c r="G294" s="224" t="s">
        <v>782</v>
      </c>
      <c r="H294" s="4" t="s">
        <v>709</v>
      </c>
      <c r="I294" s="141">
        <v>2</v>
      </c>
      <c r="J294" s="141">
        <v>3655.5</v>
      </c>
      <c r="K294" s="238">
        <f t="shared" si="24"/>
        <v>7311</v>
      </c>
      <c r="L294" s="319" t="s">
        <v>161</v>
      </c>
      <c r="M294" s="319" t="s">
        <v>155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310"/>
    </row>
    <row r="295" spans="1:26" ht="15.75" customHeight="1">
      <c r="A295" s="125" t="str">
        <f>IF(B295&lt;&gt;"",IF(AND(B295&gt;=_TM1,B295&lt;=_TM2,OR(TH!L295="1111",TH!M295="1111")),TH!D295,""),"")</f>
        <v/>
      </c>
      <c r="B295" s="11">
        <f t="shared" si="25"/>
        <v>5</v>
      </c>
      <c r="C295" s="115">
        <v>40690</v>
      </c>
      <c r="D295" s="115" t="s">
        <v>908</v>
      </c>
      <c r="E295" s="115">
        <v>40690</v>
      </c>
      <c r="F295" s="116" t="s">
        <v>786</v>
      </c>
      <c r="G295" s="224" t="s">
        <v>782</v>
      </c>
      <c r="H295" s="4" t="s">
        <v>709</v>
      </c>
      <c r="I295" s="141">
        <v>195</v>
      </c>
      <c r="J295" s="141">
        <v>7890.7948717948721</v>
      </c>
      <c r="K295" s="238">
        <f t="shared" si="24"/>
        <v>1538705</v>
      </c>
      <c r="L295" s="319" t="s">
        <v>161</v>
      </c>
      <c r="M295" s="319" t="s">
        <v>155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310"/>
    </row>
    <row r="296" spans="1:26" ht="15.75" customHeight="1">
      <c r="A296" s="125" t="str">
        <f>IF(B296&lt;&gt;"",IF(AND(B296&gt;=_TM1,B296&lt;=_TM2,OR(TH!L296="1111",TH!M296="1111")),TH!D296,""),"")</f>
        <v/>
      </c>
      <c r="B296" s="11">
        <f t="shared" si="25"/>
        <v>5</v>
      </c>
      <c r="C296" s="115">
        <v>40690</v>
      </c>
      <c r="D296" s="115" t="s">
        <v>908</v>
      </c>
      <c r="E296" s="115">
        <v>40690</v>
      </c>
      <c r="F296" s="116" t="s">
        <v>787</v>
      </c>
      <c r="G296" s="224" t="s">
        <v>782</v>
      </c>
      <c r="H296" s="4" t="s">
        <v>709</v>
      </c>
      <c r="I296" s="141">
        <v>20</v>
      </c>
      <c r="J296" s="141">
        <v>16143.5</v>
      </c>
      <c r="K296" s="238">
        <f t="shared" si="24"/>
        <v>322870</v>
      </c>
      <c r="L296" s="319" t="s">
        <v>161</v>
      </c>
      <c r="M296" s="319" t="s">
        <v>155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/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310"/>
    </row>
    <row r="297" spans="1:26" ht="15.75" customHeight="1">
      <c r="A297" s="125" t="str">
        <f>IF(B297&lt;&gt;"",IF(AND(B297&gt;=_TM1,B297&lt;=_TM2,OR(TH!L297="1111",TH!M297="1111")),TH!D297,""),"")</f>
        <v/>
      </c>
      <c r="B297" s="11">
        <f t="shared" si="25"/>
        <v>5</v>
      </c>
      <c r="C297" s="115">
        <v>40690</v>
      </c>
      <c r="D297" s="115" t="s">
        <v>908</v>
      </c>
      <c r="E297" s="115">
        <v>40690</v>
      </c>
      <c r="F297" s="116" t="s">
        <v>788</v>
      </c>
      <c r="G297" s="224" t="s">
        <v>782</v>
      </c>
      <c r="H297" s="4" t="s">
        <v>709</v>
      </c>
      <c r="I297" s="141">
        <v>1</v>
      </c>
      <c r="J297" s="141">
        <v>6972</v>
      </c>
      <c r="K297" s="238">
        <f t="shared" si="24"/>
        <v>6972</v>
      </c>
      <c r="L297" s="319" t="s">
        <v>161</v>
      </c>
      <c r="M297" s="319" t="s">
        <v>155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/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310"/>
    </row>
    <row r="298" spans="1:26" ht="15.75" customHeight="1">
      <c r="A298" s="125" t="str">
        <f>IF(B298&lt;&gt;"",IF(AND(B298&gt;=_TM1,B298&lt;=_TM2,OR(TH!L298="1111",TH!M298="1111")),TH!D298,""),"")</f>
        <v/>
      </c>
      <c r="B298" s="11">
        <f t="shared" si="25"/>
        <v>5</v>
      </c>
      <c r="C298" s="115">
        <v>40690</v>
      </c>
      <c r="D298" s="115" t="s">
        <v>908</v>
      </c>
      <c r="E298" s="115">
        <v>40690</v>
      </c>
      <c r="F298" s="116" t="s">
        <v>789</v>
      </c>
      <c r="G298" s="224" t="s">
        <v>782</v>
      </c>
      <c r="H298" s="4" t="s">
        <v>709</v>
      </c>
      <c r="I298" s="141">
        <v>4</v>
      </c>
      <c r="J298" s="141">
        <v>5808.5</v>
      </c>
      <c r="K298" s="238">
        <f t="shared" si="24"/>
        <v>23234</v>
      </c>
      <c r="L298" s="319" t="s">
        <v>161</v>
      </c>
      <c r="M298" s="319" t="s">
        <v>155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/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310"/>
    </row>
    <row r="299" spans="1:26" ht="15.75" customHeight="1">
      <c r="A299" s="125" t="str">
        <f>IF(B299&lt;&gt;"",IF(AND(B299&gt;=_TM1,B299&lt;=_TM2,OR(TH!L299="1111",TH!M299="1111")),TH!D299,""),"")</f>
        <v/>
      </c>
      <c r="B299" s="11">
        <f t="shared" si="25"/>
        <v>5</v>
      </c>
      <c r="C299" s="115">
        <v>40690</v>
      </c>
      <c r="D299" s="115" t="s">
        <v>908</v>
      </c>
      <c r="E299" s="115">
        <v>40690</v>
      </c>
      <c r="F299" s="116" t="s">
        <v>790</v>
      </c>
      <c r="G299" s="224" t="s">
        <v>782</v>
      </c>
      <c r="H299" s="4" t="s">
        <v>709</v>
      </c>
      <c r="I299" s="141">
        <v>2</v>
      </c>
      <c r="J299" s="141">
        <v>3584</v>
      </c>
      <c r="K299" s="238">
        <f t="shared" si="24"/>
        <v>7168</v>
      </c>
      <c r="L299" s="319" t="s">
        <v>161</v>
      </c>
      <c r="M299" s="319" t="s">
        <v>155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310"/>
    </row>
    <row r="300" spans="1:26" ht="15.75" customHeight="1">
      <c r="A300" s="125" t="str">
        <f>IF(B300&lt;&gt;"",IF(AND(B300&gt;=_TM1,B300&lt;=_TM2,OR(TH!L300="1111",TH!M300="1111")),TH!D300,""),"")</f>
        <v/>
      </c>
      <c r="B300" s="11">
        <f t="shared" si="25"/>
        <v>5</v>
      </c>
      <c r="C300" s="115">
        <v>40690</v>
      </c>
      <c r="D300" s="115" t="s">
        <v>908</v>
      </c>
      <c r="E300" s="115">
        <v>40690</v>
      </c>
      <c r="F300" s="116" t="s">
        <v>791</v>
      </c>
      <c r="G300" s="224" t="s">
        <v>782</v>
      </c>
      <c r="H300" s="4" t="s">
        <v>709</v>
      </c>
      <c r="I300" s="141">
        <v>2</v>
      </c>
      <c r="J300" s="141">
        <v>8627.5</v>
      </c>
      <c r="K300" s="238">
        <f t="shared" si="24"/>
        <v>17255</v>
      </c>
      <c r="L300" s="319" t="s">
        <v>161</v>
      </c>
      <c r="M300" s="319" t="s">
        <v>155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310"/>
    </row>
    <row r="301" spans="1:26" ht="15.75" customHeight="1">
      <c r="A301" s="125" t="str">
        <f>IF(B301&lt;&gt;"",IF(AND(B301&gt;=_TM1,B301&lt;=_TM2,OR(TH!L301="1111",TH!M301="1111")),TH!D301,""),"")</f>
        <v/>
      </c>
      <c r="B301" s="11">
        <f t="shared" si="25"/>
        <v>5</v>
      </c>
      <c r="C301" s="115">
        <v>40690</v>
      </c>
      <c r="D301" s="115" t="s">
        <v>909</v>
      </c>
      <c r="E301" s="115">
        <v>40690</v>
      </c>
      <c r="F301" s="116" t="s">
        <v>797</v>
      </c>
      <c r="G301" s="224" t="s">
        <v>792</v>
      </c>
      <c r="H301" s="4" t="s">
        <v>709</v>
      </c>
      <c r="I301" s="141">
        <v>2</v>
      </c>
      <c r="J301" s="141">
        <v>7190.5</v>
      </c>
      <c r="K301" s="238">
        <f t="shared" si="24"/>
        <v>14381</v>
      </c>
      <c r="L301" s="319" t="s">
        <v>161</v>
      </c>
      <c r="M301" s="319" t="s">
        <v>155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310"/>
    </row>
    <row r="302" spans="1:26" ht="15.75" customHeight="1">
      <c r="A302" s="125" t="str">
        <f>IF(B302&lt;&gt;"",IF(AND(B302&gt;=_TM1,B302&lt;=_TM2,OR(TH!L302="1111",TH!M302="1111")),TH!D302,""),"")</f>
        <v/>
      </c>
      <c r="B302" s="11">
        <f t="shared" si="25"/>
        <v>5</v>
      </c>
      <c r="C302" s="115">
        <v>40690</v>
      </c>
      <c r="D302" s="115" t="s">
        <v>909</v>
      </c>
      <c r="E302" s="115">
        <v>40690</v>
      </c>
      <c r="F302" s="116" t="s">
        <v>798</v>
      </c>
      <c r="G302" s="224" t="s">
        <v>792</v>
      </c>
      <c r="H302" s="4" t="s">
        <v>709</v>
      </c>
      <c r="I302" s="141">
        <v>5</v>
      </c>
      <c r="J302" s="141">
        <v>6971.6</v>
      </c>
      <c r="K302" s="238">
        <f t="shared" si="24"/>
        <v>34858</v>
      </c>
      <c r="L302" s="319" t="s">
        <v>161</v>
      </c>
      <c r="M302" s="319" t="s">
        <v>155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310"/>
    </row>
    <row r="303" spans="1:26" ht="15.75" customHeight="1">
      <c r="A303" s="125" t="str">
        <f>IF(B303&lt;&gt;"",IF(AND(B303&gt;=_TM1,B303&lt;=_TM2,OR(TH!L303="1111",TH!M303="1111")),TH!D303,""),"")</f>
        <v/>
      </c>
      <c r="B303" s="11">
        <f t="shared" si="25"/>
        <v>5</v>
      </c>
      <c r="C303" s="115">
        <v>40690</v>
      </c>
      <c r="D303" s="115" t="s">
        <v>909</v>
      </c>
      <c r="E303" s="115">
        <v>40690</v>
      </c>
      <c r="F303" s="116" t="s">
        <v>799</v>
      </c>
      <c r="G303" s="224" t="s">
        <v>792</v>
      </c>
      <c r="H303" s="4" t="s">
        <v>709</v>
      </c>
      <c r="I303" s="141">
        <v>86</v>
      </c>
      <c r="J303" s="141">
        <v>18284.511627906977</v>
      </c>
      <c r="K303" s="238">
        <f t="shared" si="24"/>
        <v>1572468</v>
      </c>
      <c r="L303" s="319" t="s">
        <v>161</v>
      </c>
      <c r="M303" s="319" t="s">
        <v>155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310"/>
    </row>
    <row r="304" spans="1:26" ht="15.75" customHeight="1">
      <c r="A304" s="125" t="str">
        <f>IF(B304&lt;&gt;"",IF(AND(B304&gt;=_TM1,B304&lt;=_TM2,OR(TH!L304="1111",TH!M304="1111")),TH!D304,""),"")</f>
        <v/>
      </c>
      <c r="B304" s="11">
        <f t="shared" si="25"/>
        <v>5</v>
      </c>
      <c r="C304" s="115">
        <v>40690</v>
      </c>
      <c r="D304" s="115" t="s">
        <v>912</v>
      </c>
      <c r="E304" s="115">
        <v>40690</v>
      </c>
      <c r="F304" s="116" t="s">
        <v>800</v>
      </c>
      <c r="G304" s="224" t="s">
        <v>793</v>
      </c>
      <c r="H304" s="4" t="s">
        <v>709</v>
      </c>
      <c r="I304" s="141">
        <v>4</v>
      </c>
      <c r="J304" s="141">
        <v>14857.5</v>
      </c>
      <c r="K304" s="238">
        <f t="shared" si="24"/>
        <v>59430</v>
      </c>
      <c r="L304" s="319" t="s">
        <v>161</v>
      </c>
      <c r="M304" s="319" t="s">
        <v>155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310"/>
    </row>
    <row r="305" spans="1:26" ht="15.75" customHeight="1">
      <c r="A305" s="125" t="str">
        <f>IF(B305&lt;&gt;"",IF(AND(B305&gt;=_TM1,B305&lt;=_TM2,OR(TH!L305="1111",TH!M305="1111")),TH!D305,""),"")</f>
        <v/>
      </c>
      <c r="B305" s="11">
        <f t="shared" si="25"/>
        <v>5</v>
      </c>
      <c r="C305" s="115">
        <v>40690</v>
      </c>
      <c r="D305" s="115" t="s">
        <v>912</v>
      </c>
      <c r="E305" s="115">
        <v>40690</v>
      </c>
      <c r="F305" s="116" t="s">
        <v>801</v>
      </c>
      <c r="G305" s="224" t="s">
        <v>793</v>
      </c>
      <c r="H305" s="4" t="s">
        <v>709</v>
      </c>
      <c r="I305" s="141">
        <v>24</v>
      </c>
      <c r="J305" s="141">
        <v>14857.5</v>
      </c>
      <c r="K305" s="238">
        <f t="shared" si="24"/>
        <v>356580</v>
      </c>
      <c r="L305" s="319" t="s">
        <v>161</v>
      </c>
      <c r="M305" s="319" t="s">
        <v>155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310"/>
    </row>
    <row r="306" spans="1:26" ht="15.75" customHeight="1">
      <c r="A306" s="125" t="str">
        <f>IF(B306&lt;&gt;"",IF(AND(B306&gt;=_TM1,B306&lt;=_TM2,OR(TH!L306="1111",TH!M306="1111")),TH!D306,""),"")</f>
        <v/>
      </c>
      <c r="B306" s="11">
        <f t="shared" si="25"/>
        <v>5</v>
      </c>
      <c r="C306" s="115">
        <v>40690</v>
      </c>
      <c r="D306" s="115" t="s">
        <v>912</v>
      </c>
      <c r="E306" s="115">
        <v>40690</v>
      </c>
      <c r="F306" s="116" t="s">
        <v>802</v>
      </c>
      <c r="G306" s="224" t="s">
        <v>793</v>
      </c>
      <c r="H306" s="4" t="s">
        <v>709</v>
      </c>
      <c r="I306" s="141">
        <v>364</v>
      </c>
      <c r="J306" s="141">
        <v>15447.975274725275</v>
      </c>
      <c r="K306" s="238">
        <f t="shared" si="24"/>
        <v>5623063</v>
      </c>
      <c r="L306" s="319" t="s">
        <v>161</v>
      </c>
      <c r="M306" s="319" t="s">
        <v>155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/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310"/>
    </row>
    <row r="307" spans="1:26" ht="15.75" customHeight="1">
      <c r="A307" s="125" t="str">
        <f>IF(B307&lt;&gt;"",IF(AND(B307&gt;=_TM1,B307&lt;=_TM2,OR(TH!L307="1111",TH!M307="1111")),TH!D307,""),"")</f>
        <v/>
      </c>
      <c r="B307" s="11">
        <f t="shared" si="25"/>
        <v>5</v>
      </c>
      <c r="C307" s="115">
        <v>40690</v>
      </c>
      <c r="D307" s="115" t="s">
        <v>912</v>
      </c>
      <c r="E307" s="115">
        <v>40690</v>
      </c>
      <c r="F307" s="116" t="s">
        <v>803</v>
      </c>
      <c r="G307" s="224" t="s">
        <v>793</v>
      </c>
      <c r="H307" s="4" t="s">
        <v>709</v>
      </c>
      <c r="I307" s="141">
        <v>2</v>
      </c>
      <c r="J307" s="141">
        <v>9979.5</v>
      </c>
      <c r="K307" s="238">
        <f t="shared" si="24"/>
        <v>19959</v>
      </c>
      <c r="L307" s="319" t="s">
        <v>161</v>
      </c>
      <c r="M307" s="319" t="s">
        <v>155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/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310"/>
    </row>
    <row r="308" spans="1:26" ht="15.75" customHeight="1">
      <c r="A308" s="125" t="str">
        <f>IF(B308&lt;&gt;"",IF(AND(B308&gt;=_TM1,B308&lt;=_TM2,OR(TH!L308="1111",TH!M308="1111")),TH!D308,""),"")</f>
        <v/>
      </c>
      <c r="B308" s="11">
        <f t="shared" si="25"/>
        <v>5</v>
      </c>
      <c r="C308" s="115">
        <v>40690</v>
      </c>
      <c r="D308" s="115" t="s">
        <v>912</v>
      </c>
      <c r="E308" s="115">
        <v>40690</v>
      </c>
      <c r="F308" s="116" t="s">
        <v>804</v>
      </c>
      <c r="G308" s="224" t="s">
        <v>793</v>
      </c>
      <c r="H308" s="4" t="s">
        <v>709</v>
      </c>
      <c r="I308" s="141">
        <v>10</v>
      </c>
      <c r="J308" s="141">
        <v>13217.5</v>
      </c>
      <c r="K308" s="238">
        <f t="shared" si="24"/>
        <v>132175</v>
      </c>
      <c r="L308" s="319" t="s">
        <v>161</v>
      </c>
      <c r="M308" s="319" t="s">
        <v>155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310"/>
    </row>
    <row r="309" spans="1:26" ht="15.75" customHeight="1">
      <c r="A309" s="125" t="str">
        <f>IF(B309&lt;&gt;"",IF(AND(B309&gt;=_TM1,B309&lt;=_TM2,OR(TH!L309="1111",TH!M309="1111")),TH!D309,""),"")</f>
        <v/>
      </c>
      <c r="B309" s="11">
        <f t="shared" si="25"/>
        <v>5</v>
      </c>
      <c r="C309" s="115">
        <v>40690</v>
      </c>
      <c r="D309" s="115" t="s">
        <v>912</v>
      </c>
      <c r="E309" s="115">
        <v>40690</v>
      </c>
      <c r="F309" s="116" t="s">
        <v>805</v>
      </c>
      <c r="G309" s="224" t="s">
        <v>793</v>
      </c>
      <c r="H309" s="4" t="s">
        <v>709</v>
      </c>
      <c r="I309" s="141">
        <v>414</v>
      </c>
      <c r="J309" s="141">
        <v>15420.381642512077</v>
      </c>
      <c r="K309" s="238">
        <f t="shared" ref="K309:K340" si="26">ROUND(I309*J309,0)</f>
        <v>6384038</v>
      </c>
      <c r="L309" s="319" t="s">
        <v>161</v>
      </c>
      <c r="M309" s="319" t="s">
        <v>155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310"/>
    </row>
    <row r="310" spans="1:26" ht="15.75" customHeight="1">
      <c r="A310" s="125" t="str">
        <f>IF(B310&lt;&gt;"",IF(AND(B310&gt;=_TM1,B310&lt;=_TM2,OR(TH!L310="1111",TH!M310="1111")),TH!D310,""),"")</f>
        <v/>
      </c>
      <c r="B310" s="11">
        <f t="shared" si="25"/>
        <v>5</v>
      </c>
      <c r="C310" s="115">
        <v>40690</v>
      </c>
      <c r="D310" s="115" t="s">
        <v>912</v>
      </c>
      <c r="E310" s="115">
        <v>40690</v>
      </c>
      <c r="F310" s="116" t="s">
        <v>806</v>
      </c>
      <c r="G310" s="224" t="s">
        <v>793</v>
      </c>
      <c r="H310" s="4" t="s">
        <v>709</v>
      </c>
      <c r="I310" s="141">
        <v>1380</v>
      </c>
      <c r="J310" s="141">
        <v>13959.51304347826</v>
      </c>
      <c r="K310" s="238">
        <f t="shared" si="26"/>
        <v>19264128</v>
      </c>
      <c r="L310" s="319" t="s">
        <v>161</v>
      </c>
      <c r="M310" s="319" t="s">
        <v>155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310"/>
    </row>
    <row r="311" spans="1:26" ht="15.75" customHeight="1">
      <c r="A311" s="125" t="str">
        <f>IF(B311&lt;&gt;"",IF(AND(B311&gt;=_TM1,B311&lt;=_TM2,OR(TH!L311="1111",TH!M311="1111")),TH!D311,""),"")</f>
        <v/>
      </c>
      <c r="B311" s="11">
        <f t="shared" si="25"/>
        <v>5</v>
      </c>
      <c r="C311" s="115">
        <v>40690</v>
      </c>
      <c r="D311" s="115" t="s">
        <v>912</v>
      </c>
      <c r="E311" s="115">
        <v>40690</v>
      </c>
      <c r="F311" s="116" t="s">
        <v>807</v>
      </c>
      <c r="G311" s="224" t="s">
        <v>793</v>
      </c>
      <c r="H311" s="4" t="s">
        <v>709</v>
      </c>
      <c r="I311" s="141">
        <v>1127</v>
      </c>
      <c r="J311" s="141">
        <v>13970.692990239573</v>
      </c>
      <c r="K311" s="238">
        <f t="shared" si="26"/>
        <v>15744971</v>
      </c>
      <c r="L311" s="319" t="s">
        <v>161</v>
      </c>
      <c r="M311" s="319" t="s">
        <v>155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310"/>
    </row>
    <row r="312" spans="1:26" ht="15.75" customHeight="1">
      <c r="A312" s="125" t="str">
        <f>IF(B312&lt;&gt;"",IF(AND(B312&gt;=_TM1,B312&lt;=_TM2,OR(TH!L312="1111",TH!M312="1111")),TH!D312,""),"")</f>
        <v/>
      </c>
      <c r="B312" s="11">
        <f t="shared" si="25"/>
        <v>5</v>
      </c>
      <c r="C312" s="115">
        <f t="shared" ref="C312:C354" si="27">E312</f>
        <v>40690</v>
      </c>
      <c r="D312" s="288" t="s">
        <v>1045</v>
      </c>
      <c r="E312" s="110">
        <v>40690</v>
      </c>
      <c r="F312" s="114" t="s">
        <v>364</v>
      </c>
      <c r="G312" s="240"/>
      <c r="H312" s="242" t="s">
        <v>1037</v>
      </c>
      <c r="I312" s="315">
        <v>10</v>
      </c>
      <c r="J312" s="141">
        <v>4449</v>
      </c>
      <c r="K312" s="238">
        <f t="shared" si="26"/>
        <v>44490</v>
      </c>
      <c r="L312" s="14" t="s">
        <v>153</v>
      </c>
      <c r="M312" s="292" t="s">
        <v>147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>x</v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21"/>
    </row>
    <row r="313" spans="1:26" ht="15.75" customHeight="1">
      <c r="A313" s="125" t="str">
        <f>IF(B313&lt;&gt;"",IF(AND(B313&gt;=_TM1,B313&lt;=_TM2,OR(TH!L313="1111",TH!M313="1111")),TH!D313,""),"")</f>
        <v/>
      </c>
      <c r="B313" s="11">
        <f t="shared" si="25"/>
        <v>5</v>
      </c>
      <c r="C313" s="115">
        <f t="shared" si="27"/>
        <v>40690</v>
      </c>
      <c r="D313" s="288" t="s">
        <v>1045</v>
      </c>
      <c r="E313" s="110">
        <v>40690</v>
      </c>
      <c r="F313" s="114" t="s">
        <v>364</v>
      </c>
      <c r="G313" s="240"/>
      <c r="H313" s="242" t="s">
        <v>1037</v>
      </c>
      <c r="I313" s="315">
        <v>17</v>
      </c>
      <c r="J313" s="141">
        <v>4449</v>
      </c>
      <c r="K313" s="238">
        <f t="shared" si="26"/>
        <v>75633</v>
      </c>
      <c r="L313" s="14" t="s">
        <v>153</v>
      </c>
      <c r="M313" s="292" t="s">
        <v>147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/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>x</v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121"/>
    </row>
    <row r="314" spans="1:26" ht="15.75" customHeight="1">
      <c r="A314" s="125" t="str">
        <f>IF(B314&lt;&gt;"",IF(AND(B314&gt;=_TM1,B314&lt;=_TM2,OR(TH!L314="1111",TH!M314="1111")),TH!D314,""),"")</f>
        <v/>
      </c>
      <c r="B314" s="11">
        <f t="shared" si="25"/>
        <v>5</v>
      </c>
      <c r="C314" s="115">
        <f t="shared" si="27"/>
        <v>40690</v>
      </c>
      <c r="D314" s="288" t="s">
        <v>1045</v>
      </c>
      <c r="E314" s="110">
        <v>40690</v>
      </c>
      <c r="F314" s="114" t="s">
        <v>364</v>
      </c>
      <c r="G314" s="240"/>
      <c r="H314" s="242" t="s">
        <v>1037</v>
      </c>
      <c r="I314" s="315">
        <v>70</v>
      </c>
      <c r="J314" s="141">
        <v>4449</v>
      </c>
      <c r="K314" s="238">
        <f t="shared" si="26"/>
        <v>311430</v>
      </c>
      <c r="L314" s="14" t="s">
        <v>153</v>
      </c>
      <c r="M314" s="292" t="s">
        <v>147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/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>x</v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121"/>
    </row>
    <row r="315" spans="1:26" ht="15.75" customHeight="1">
      <c r="A315" s="125" t="str">
        <f>IF(B315&lt;&gt;"",IF(AND(B315&gt;=_TM1,B315&lt;=_TM2,OR(TH!L315="1111",TH!M315="1111")),TH!D315,""),"")</f>
        <v/>
      </c>
      <c r="B315" s="11">
        <f t="shared" si="25"/>
        <v>5</v>
      </c>
      <c r="C315" s="115">
        <f t="shared" si="27"/>
        <v>40690</v>
      </c>
      <c r="D315" s="288" t="s">
        <v>1045</v>
      </c>
      <c r="E315" s="110">
        <v>40690</v>
      </c>
      <c r="F315" s="114" t="s">
        <v>494</v>
      </c>
      <c r="G315" s="240"/>
      <c r="H315" s="242" t="s">
        <v>1037</v>
      </c>
      <c r="I315" s="141">
        <v>140</v>
      </c>
      <c r="J315" s="141">
        <v>8013</v>
      </c>
      <c r="K315" s="238">
        <f t="shared" si="26"/>
        <v>1121820</v>
      </c>
      <c r="L315" s="14" t="s">
        <v>153</v>
      </c>
      <c r="M315" s="292" t="s">
        <v>147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/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121"/>
    </row>
    <row r="316" spans="1:26" ht="15.75" customHeight="1">
      <c r="A316" s="125" t="str">
        <f>IF(B316&lt;&gt;"",IF(AND(B316&gt;=_TM1,B316&lt;=_TM2,OR(TH!L316="1111",TH!M316="1111")),TH!D316,""),"")</f>
        <v/>
      </c>
      <c r="B316" s="11">
        <f t="shared" si="25"/>
        <v>5</v>
      </c>
      <c r="C316" s="115">
        <f t="shared" si="27"/>
        <v>40690</v>
      </c>
      <c r="D316" s="288" t="s">
        <v>1045</v>
      </c>
      <c r="E316" s="110">
        <v>40690</v>
      </c>
      <c r="F316" s="154" t="s">
        <v>458</v>
      </c>
      <c r="G316" s="224"/>
      <c r="H316" s="242" t="s">
        <v>1037</v>
      </c>
      <c r="I316" s="141">
        <v>5</v>
      </c>
      <c r="J316" s="141">
        <v>25200</v>
      </c>
      <c r="K316" s="238">
        <f t="shared" si="26"/>
        <v>126000</v>
      </c>
      <c r="L316" s="14" t="s">
        <v>153</v>
      </c>
      <c r="M316" s="292" t="s">
        <v>147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121"/>
    </row>
    <row r="317" spans="1:26" ht="15.75" customHeight="1">
      <c r="A317" s="125" t="str">
        <f>IF(B317&lt;&gt;"",IF(AND(B317&gt;=_TM1,B317&lt;=_TM2,OR(TH!L317="1111",TH!M317="1111")),TH!D317,""),"")</f>
        <v/>
      </c>
      <c r="B317" s="11">
        <f t="shared" si="25"/>
        <v>5</v>
      </c>
      <c r="C317" s="115">
        <f t="shared" si="27"/>
        <v>40690</v>
      </c>
      <c r="D317" s="288" t="s">
        <v>1045</v>
      </c>
      <c r="E317" s="110">
        <v>40690</v>
      </c>
      <c r="F317" s="114" t="s">
        <v>484</v>
      </c>
      <c r="G317" s="224"/>
      <c r="H317" s="242" t="s">
        <v>1037</v>
      </c>
      <c r="I317" s="143">
        <v>68</v>
      </c>
      <c r="J317" s="143">
        <v>8620</v>
      </c>
      <c r="K317" s="238">
        <f t="shared" si="26"/>
        <v>586160</v>
      </c>
      <c r="L317" s="14" t="s">
        <v>153</v>
      </c>
      <c r="M317" s="292" t="s">
        <v>147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121"/>
    </row>
    <row r="318" spans="1:26" ht="15.75" customHeight="1">
      <c r="A318" s="125" t="str">
        <f>IF(B318&lt;&gt;"",IF(AND(B318&gt;=_TM1,B318&lt;=_TM2,OR(TH!L318="1111",TH!M318="1111")),TH!D318,""),"")</f>
        <v/>
      </c>
      <c r="B318" s="11">
        <f t="shared" si="25"/>
        <v>5</v>
      </c>
      <c r="C318" s="115">
        <f t="shared" si="27"/>
        <v>40690</v>
      </c>
      <c r="D318" s="288" t="s">
        <v>1045</v>
      </c>
      <c r="E318" s="110">
        <v>40690</v>
      </c>
      <c r="F318" s="114" t="s">
        <v>474</v>
      </c>
      <c r="G318" s="224"/>
      <c r="H318" s="242" t="s">
        <v>1037</v>
      </c>
      <c r="I318" s="141">
        <v>300</v>
      </c>
      <c r="J318" s="141">
        <v>11587</v>
      </c>
      <c r="K318" s="238">
        <f t="shared" si="26"/>
        <v>3476100</v>
      </c>
      <c r="L318" s="14" t="s">
        <v>153</v>
      </c>
      <c r="M318" s="292" t="s">
        <v>147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21"/>
    </row>
    <row r="319" spans="1:26" ht="15.75" customHeight="1">
      <c r="A319" s="125" t="str">
        <f>IF(B319&lt;&gt;"",IF(AND(B319&gt;=_TM1,B319&lt;=_TM2,OR(TH!L319="1111",TH!M319="1111")),TH!D319,""),"")</f>
        <v/>
      </c>
      <c r="B319" s="11">
        <f t="shared" si="25"/>
        <v>5</v>
      </c>
      <c r="C319" s="115">
        <f t="shared" si="27"/>
        <v>40690</v>
      </c>
      <c r="D319" s="288" t="s">
        <v>1045</v>
      </c>
      <c r="E319" s="110">
        <v>40690</v>
      </c>
      <c r="F319" s="154" t="s">
        <v>458</v>
      </c>
      <c r="G319" s="224"/>
      <c r="H319" s="242" t="s">
        <v>1037</v>
      </c>
      <c r="I319" s="141">
        <v>21</v>
      </c>
      <c r="J319" s="141">
        <v>25200</v>
      </c>
      <c r="K319" s="238">
        <f t="shared" si="26"/>
        <v>529200</v>
      </c>
      <c r="L319" s="14" t="s">
        <v>153</v>
      </c>
      <c r="M319" s="292" t="s">
        <v>147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21"/>
    </row>
    <row r="320" spans="1:26" ht="15.75" customHeight="1">
      <c r="A320" s="125" t="str">
        <f>IF(B320&lt;&gt;"",IF(AND(B320&gt;=_TM1,B320&lt;=_TM2,OR(TH!L320="1111",TH!M320="1111")),TH!D320,""),"")</f>
        <v/>
      </c>
      <c r="B320" s="11">
        <f t="shared" si="25"/>
        <v>5</v>
      </c>
      <c r="C320" s="115">
        <f t="shared" si="27"/>
        <v>40690</v>
      </c>
      <c r="D320" s="115" t="s">
        <v>1057</v>
      </c>
      <c r="E320" s="115">
        <v>40690</v>
      </c>
      <c r="F320" s="217" t="s">
        <v>767</v>
      </c>
      <c r="G320" s="224"/>
      <c r="H320" s="242" t="s">
        <v>1037</v>
      </c>
      <c r="I320" s="141">
        <v>98</v>
      </c>
      <c r="J320" s="141">
        <v>17821.5</v>
      </c>
      <c r="K320" s="238">
        <f t="shared" si="26"/>
        <v>1746507</v>
      </c>
      <c r="L320" s="14" t="s">
        <v>155</v>
      </c>
      <c r="M320" s="292" t="s">
        <v>153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21"/>
    </row>
    <row r="321" spans="1:26" ht="15.75" customHeight="1">
      <c r="A321" s="125" t="str">
        <f>IF(B321&lt;&gt;"",IF(AND(B321&gt;=_TM1,B321&lt;=_TM2,OR(TH!L321="1111",TH!M321="1111")),TH!D321,""),"")</f>
        <v/>
      </c>
      <c r="B321" s="11">
        <f t="shared" si="25"/>
        <v>5</v>
      </c>
      <c r="C321" s="115">
        <f t="shared" si="27"/>
        <v>40690</v>
      </c>
      <c r="D321" s="115" t="s">
        <v>1057</v>
      </c>
      <c r="E321" s="115">
        <v>40690</v>
      </c>
      <c r="F321" s="116" t="s">
        <v>768</v>
      </c>
      <c r="G321" s="224"/>
      <c r="H321" s="242" t="s">
        <v>1037</v>
      </c>
      <c r="I321" s="141">
        <v>177</v>
      </c>
      <c r="J321" s="141">
        <v>13728.152542372882</v>
      </c>
      <c r="K321" s="238">
        <f t="shared" si="26"/>
        <v>2429883</v>
      </c>
      <c r="L321" s="14" t="s">
        <v>155</v>
      </c>
      <c r="M321" s="292" t="s">
        <v>153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21"/>
    </row>
    <row r="322" spans="1:26" ht="15.75" customHeight="1">
      <c r="A322" s="125" t="str">
        <f>IF(B322&lt;&gt;"",IF(AND(B322&gt;=_TM1,B322&lt;=_TM2,OR(TH!L322="1111",TH!M322="1111")),TH!D322,""),"")</f>
        <v/>
      </c>
      <c r="B322" s="11">
        <f t="shared" si="25"/>
        <v>5</v>
      </c>
      <c r="C322" s="115">
        <f t="shared" si="27"/>
        <v>40690</v>
      </c>
      <c r="D322" s="115" t="s">
        <v>1057</v>
      </c>
      <c r="E322" s="115">
        <v>40690</v>
      </c>
      <c r="F322" s="116" t="s">
        <v>769</v>
      </c>
      <c r="G322" s="224"/>
      <c r="H322" s="242" t="s">
        <v>1037</v>
      </c>
      <c r="I322" s="141">
        <v>205</v>
      </c>
      <c r="J322" s="141">
        <v>17799.141463414635</v>
      </c>
      <c r="K322" s="238">
        <f t="shared" si="26"/>
        <v>3648824</v>
      </c>
      <c r="L322" s="14" t="s">
        <v>155</v>
      </c>
      <c r="M322" s="292" t="s">
        <v>153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/>
      </c>
      <c r="Y322" s="25" t="str">
        <f>IF(AND(B322&lt;=NKC!$N$8,B322&gt;=NKC!$M$8),"x","")</f>
        <v/>
      </c>
      <c r="Z322" s="121"/>
    </row>
    <row r="323" spans="1:26" ht="15.75" customHeight="1">
      <c r="A323" s="125" t="str">
        <f>IF(B323&lt;&gt;"",IF(AND(B323&gt;=_TM1,B323&lt;=_TM2,OR(TH!L323="1111",TH!M323="1111")),TH!D323,""),"")</f>
        <v/>
      </c>
      <c r="B323" s="11">
        <f t="shared" si="25"/>
        <v>5</v>
      </c>
      <c r="C323" s="115">
        <f t="shared" si="27"/>
        <v>40690</v>
      </c>
      <c r="D323" s="115" t="s">
        <v>1057</v>
      </c>
      <c r="E323" s="115">
        <v>40690</v>
      </c>
      <c r="F323" s="116" t="s">
        <v>777</v>
      </c>
      <c r="G323" s="224"/>
      <c r="H323" s="242" t="s">
        <v>1037</v>
      </c>
      <c r="I323" s="141">
        <v>283</v>
      </c>
      <c r="J323" s="141">
        <v>8627.5088339222621</v>
      </c>
      <c r="K323" s="238">
        <f t="shared" si="26"/>
        <v>2441585</v>
      </c>
      <c r="L323" s="14" t="s">
        <v>155</v>
      </c>
      <c r="M323" s="292" t="s">
        <v>153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21"/>
    </row>
    <row r="324" spans="1:26" ht="15.75" customHeight="1">
      <c r="A324" s="125" t="str">
        <f>IF(B324&lt;&gt;"",IF(AND(B324&gt;=_TM1,B324&lt;=_TM2,OR(TH!L324="1111",TH!M324="1111")),TH!D324,""),"")</f>
        <v/>
      </c>
      <c r="B324" s="11">
        <f t="shared" si="25"/>
        <v>5</v>
      </c>
      <c r="C324" s="115">
        <f t="shared" si="27"/>
        <v>40690</v>
      </c>
      <c r="D324" s="115" t="s">
        <v>1057</v>
      </c>
      <c r="E324" s="115">
        <v>40690</v>
      </c>
      <c r="F324" s="116" t="s">
        <v>770</v>
      </c>
      <c r="G324" s="224"/>
      <c r="H324" s="242" t="s">
        <v>1037</v>
      </c>
      <c r="I324" s="141">
        <v>493</v>
      </c>
      <c r="J324" s="141">
        <v>6982.8945233265722</v>
      </c>
      <c r="K324" s="238">
        <f t="shared" si="26"/>
        <v>3442567</v>
      </c>
      <c r="L324" s="14" t="s">
        <v>155</v>
      </c>
      <c r="M324" s="292" t="s">
        <v>153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/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121"/>
    </row>
    <row r="325" spans="1:26" ht="15.75" customHeight="1">
      <c r="A325" s="125" t="str">
        <f>IF(B325&lt;&gt;"",IF(AND(B325&gt;=_TM1,B325&lt;=_TM2,OR(TH!L325="1111",TH!M325="1111")),TH!D325,""),"")</f>
        <v/>
      </c>
      <c r="B325" s="11">
        <f t="shared" si="25"/>
        <v>5</v>
      </c>
      <c r="C325" s="115">
        <f t="shared" si="27"/>
        <v>40690</v>
      </c>
      <c r="D325" s="115" t="s">
        <v>1057</v>
      </c>
      <c r="E325" s="115">
        <v>40690</v>
      </c>
      <c r="F325" s="116" t="s">
        <v>771</v>
      </c>
      <c r="G325" s="224"/>
      <c r="H325" s="242" t="s">
        <v>1037</v>
      </c>
      <c r="I325" s="141">
        <v>398</v>
      </c>
      <c r="J325" s="141">
        <v>7190.510050251256</v>
      </c>
      <c r="K325" s="238">
        <f t="shared" si="26"/>
        <v>2861823</v>
      </c>
      <c r="L325" s="14" t="s">
        <v>155</v>
      </c>
      <c r="M325" s="292" t="s">
        <v>153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/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21"/>
    </row>
    <row r="326" spans="1:26" ht="15.75" customHeight="1">
      <c r="A326" s="125" t="str">
        <f>IF(B326&lt;&gt;"",IF(AND(B326&gt;=_TM1,B326&lt;=_TM2,OR(TH!L326="1111",TH!M326="1111")),TH!D326,""),"")</f>
        <v/>
      </c>
      <c r="B326" s="11">
        <f t="shared" si="25"/>
        <v>5</v>
      </c>
      <c r="C326" s="115">
        <f t="shared" si="27"/>
        <v>40690</v>
      </c>
      <c r="D326" s="115" t="s">
        <v>1057</v>
      </c>
      <c r="E326" s="115">
        <v>40690</v>
      </c>
      <c r="F326" s="116" t="s">
        <v>772</v>
      </c>
      <c r="G326" s="224"/>
      <c r="H326" s="242" t="s">
        <v>1037</v>
      </c>
      <c r="I326" s="141">
        <v>98</v>
      </c>
      <c r="J326" s="141">
        <v>13728.887755102041</v>
      </c>
      <c r="K326" s="238">
        <f t="shared" si="26"/>
        <v>1345431</v>
      </c>
      <c r="L326" s="14" t="s">
        <v>155</v>
      </c>
      <c r="M326" s="292" t="s">
        <v>153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/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21"/>
    </row>
    <row r="327" spans="1:26" ht="15.75" customHeight="1">
      <c r="A327" s="125" t="str">
        <f>IF(B327&lt;&gt;"",IF(AND(B327&gt;=_TM1,B327&lt;=_TM2,OR(TH!L327="1111",TH!M327="1111")),TH!D327,""),"")</f>
        <v/>
      </c>
      <c r="B327" s="11">
        <f t="shared" si="25"/>
        <v>5</v>
      </c>
      <c r="C327" s="115">
        <f t="shared" si="27"/>
        <v>40690</v>
      </c>
      <c r="D327" s="115" t="s">
        <v>1057</v>
      </c>
      <c r="E327" s="115">
        <v>40690</v>
      </c>
      <c r="F327" s="116" t="s">
        <v>775</v>
      </c>
      <c r="G327" s="224"/>
      <c r="H327" s="242" t="s">
        <v>1037</v>
      </c>
      <c r="I327" s="141">
        <v>191</v>
      </c>
      <c r="J327" s="141">
        <v>17288.172774869108</v>
      </c>
      <c r="K327" s="238">
        <f t="shared" si="26"/>
        <v>3302041</v>
      </c>
      <c r="L327" s="14" t="s">
        <v>155</v>
      </c>
      <c r="M327" s="292" t="s">
        <v>153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21"/>
    </row>
    <row r="328" spans="1:26" ht="15.75" customHeight="1">
      <c r="A328" s="125" t="str">
        <f>IF(B328&lt;&gt;"",IF(AND(B328&gt;=_TM1,B328&lt;=_TM2,OR(TH!L328="1111",TH!M328="1111")),TH!D328,""),"")</f>
        <v/>
      </c>
      <c r="B328" s="11">
        <f t="shared" si="25"/>
        <v>5</v>
      </c>
      <c r="C328" s="115">
        <f t="shared" si="27"/>
        <v>40690</v>
      </c>
      <c r="D328" s="115" t="s">
        <v>1057</v>
      </c>
      <c r="E328" s="115">
        <v>40690</v>
      </c>
      <c r="F328" s="116" t="s">
        <v>776</v>
      </c>
      <c r="G328" s="224"/>
      <c r="H328" s="242" t="s">
        <v>1037</v>
      </c>
      <c r="I328" s="141">
        <v>206</v>
      </c>
      <c r="J328" s="141">
        <v>14857.509708737864</v>
      </c>
      <c r="K328" s="238">
        <f t="shared" si="26"/>
        <v>3060647</v>
      </c>
      <c r="L328" s="14" t="s">
        <v>155</v>
      </c>
      <c r="M328" s="292" t="s">
        <v>153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21"/>
    </row>
    <row r="329" spans="1:26" ht="15.75" customHeight="1">
      <c r="A329" s="125" t="str">
        <f>IF(B329&lt;&gt;"",IF(AND(B329&gt;=_TM1,B329&lt;=_TM2,OR(TH!L329="1111",TH!M329="1111")),TH!D329,""),"")</f>
        <v/>
      </c>
      <c r="B329" s="11">
        <f t="shared" si="25"/>
        <v>5</v>
      </c>
      <c r="C329" s="115">
        <f t="shared" si="27"/>
        <v>40690</v>
      </c>
      <c r="D329" s="115" t="s">
        <v>1058</v>
      </c>
      <c r="E329" s="115">
        <v>40690</v>
      </c>
      <c r="F329" s="116" t="s">
        <v>778</v>
      </c>
      <c r="G329" s="224"/>
      <c r="H329" s="242" t="s">
        <v>1037</v>
      </c>
      <c r="I329" s="141">
        <v>50</v>
      </c>
      <c r="J329" s="141">
        <v>12189.5</v>
      </c>
      <c r="K329" s="238">
        <f t="shared" si="26"/>
        <v>609475</v>
      </c>
      <c r="L329" s="14" t="s">
        <v>155</v>
      </c>
      <c r="M329" s="292" t="s">
        <v>153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121"/>
    </row>
    <row r="330" spans="1:26" ht="15.75" customHeight="1">
      <c r="A330" s="125" t="str">
        <f>IF(B330&lt;&gt;"",IF(AND(B330&gt;=_TM1,B330&lt;=_TM2,OR(TH!L330="1111",TH!M330="1111")),TH!D330,""),"")</f>
        <v/>
      </c>
      <c r="B330" s="11">
        <f t="shared" si="25"/>
        <v>5</v>
      </c>
      <c r="C330" s="115">
        <f t="shared" si="27"/>
        <v>40690</v>
      </c>
      <c r="D330" s="115" t="s">
        <v>1058</v>
      </c>
      <c r="E330" s="115">
        <v>40690</v>
      </c>
      <c r="F330" s="116" t="s">
        <v>732</v>
      </c>
      <c r="G330" s="224"/>
      <c r="H330" s="242" t="s">
        <v>1037</v>
      </c>
      <c r="I330" s="141">
        <v>300</v>
      </c>
      <c r="J330" s="141">
        <v>2471.7633333333333</v>
      </c>
      <c r="K330" s="238">
        <f t="shared" si="26"/>
        <v>741529</v>
      </c>
      <c r="L330" s="14" t="s">
        <v>155</v>
      </c>
      <c r="M330" s="292" t="s">
        <v>153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21"/>
    </row>
    <row r="331" spans="1:26" ht="15.75" customHeight="1">
      <c r="A331" s="125" t="str">
        <f>IF(B331&lt;&gt;"",IF(AND(B331&gt;=_TM1,B331&lt;=_TM2,OR(TH!L331="1111",TH!M331="1111")),TH!D331,""),"")</f>
        <v/>
      </c>
      <c r="B331" s="11">
        <f t="shared" si="25"/>
        <v>5</v>
      </c>
      <c r="C331" s="115">
        <f t="shared" si="27"/>
        <v>40690</v>
      </c>
      <c r="D331" s="115" t="s">
        <v>1058</v>
      </c>
      <c r="E331" s="115">
        <v>40690</v>
      </c>
      <c r="F331" s="114" t="s">
        <v>779</v>
      </c>
      <c r="G331" s="224"/>
      <c r="H331" s="242" t="s">
        <v>1037</v>
      </c>
      <c r="I331" s="141">
        <v>7</v>
      </c>
      <c r="J331" s="141">
        <v>17484.571428571428</v>
      </c>
      <c r="K331" s="238">
        <f t="shared" si="26"/>
        <v>122392</v>
      </c>
      <c r="L331" s="14" t="s">
        <v>155</v>
      </c>
      <c r="M331" s="292" t="s">
        <v>153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21"/>
    </row>
    <row r="332" spans="1:26" ht="15.75" customHeight="1">
      <c r="A332" s="125" t="str">
        <f>IF(B332&lt;&gt;"",IF(AND(B332&gt;=_TM1,B332&lt;=_TM2,OR(TH!L332="1111",TH!M332="1111")),TH!D332,""),"")</f>
        <v/>
      </c>
      <c r="B332" s="11">
        <f t="shared" si="25"/>
        <v>5</v>
      </c>
      <c r="C332" s="115">
        <f t="shared" si="27"/>
        <v>40690</v>
      </c>
      <c r="D332" s="115" t="s">
        <v>1058</v>
      </c>
      <c r="E332" s="115">
        <v>40690</v>
      </c>
      <c r="F332" s="116" t="s">
        <v>780</v>
      </c>
      <c r="G332" s="224"/>
      <c r="H332" s="242" t="s">
        <v>1037</v>
      </c>
      <c r="I332" s="141">
        <v>7</v>
      </c>
      <c r="J332" s="141">
        <v>17484.571428571428</v>
      </c>
      <c r="K332" s="238">
        <f t="shared" si="26"/>
        <v>122392</v>
      </c>
      <c r="L332" s="14" t="s">
        <v>155</v>
      </c>
      <c r="M332" s="292" t="s">
        <v>153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121"/>
    </row>
    <row r="333" spans="1:26" ht="15.75" customHeight="1">
      <c r="A333" s="125" t="str">
        <f>IF(B333&lt;&gt;"",IF(AND(B333&gt;=_TM1,B333&lt;=_TM2,OR(TH!L333="1111",TH!M333="1111")),TH!D333,""),"")</f>
        <v/>
      </c>
      <c r="B333" s="11">
        <f t="shared" si="25"/>
        <v>5</v>
      </c>
      <c r="C333" s="115">
        <f t="shared" si="27"/>
        <v>40690</v>
      </c>
      <c r="D333" s="115" t="s">
        <v>1058</v>
      </c>
      <c r="E333" s="115">
        <v>40690</v>
      </c>
      <c r="F333" s="116" t="s">
        <v>778</v>
      </c>
      <c r="G333" s="224"/>
      <c r="H333" s="242" t="s">
        <v>1037</v>
      </c>
      <c r="I333" s="141">
        <v>250</v>
      </c>
      <c r="J333" s="141">
        <v>12946.512000000001</v>
      </c>
      <c r="K333" s="238">
        <f t="shared" si="26"/>
        <v>3236628</v>
      </c>
      <c r="L333" s="14" t="s">
        <v>155</v>
      </c>
      <c r="M333" s="292" t="s">
        <v>153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21"/>
    </row>
    <row r="334" spans="1:26" ht="15.75" customHeight="1">
      <c r="A334" s="125" t="str">
        <f>IF(B334&lt;&gt;"",IF(AND(B334&gt;=_TM1,B334&lt;=_TM2,OR(TH!L334="1111",TH!M334="1111")),TH!D334,""),"")</f>
        <v/>
      </c>
      <c r="B334" s="11">
        <f t="shared" si="25"/>
        <v>5</v>
      </c>
      <c r="C334" s="115">
        <f t="shared" si="27"/>
        <v>40690</v>
      </c>
      <c r="D334" s="115" t="s">
        <v>1058</v>
      </c>
      <c r="E334" s="115">
        <v>40690</v>
      </c>
      <c r="F334" s="116" t="s">
        <v>781</v>
      </c>
      <c r="G334" s="224"/>
      <c r="H334" s="242" t="s">
        <v>1037</v>
      </c>
      <c r="I334" s="143">
        <v>90</v>
      </c>
      <c r="J334" s="143">
        <v>15310.011111111111</v>
      </c>
      <c r="K334" s="238">
        <f t="shared" si="26"/>
        <v>1377901</v>
      </c>
      <c r="L334" s="14" t="s">
        <v>155</v>
      </c>
      <c r="M334" s="292" t="s">
        <v>153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21"/>
    </row>
    <row r="335" spans="1:26" ht="15.75" customHeight="1">
      <c r="A335" s="125" t="str">
        <f>IF(B335&lt;&gt;"",IF(AND(B335&gt;=_TM1,B335&lt;=_TM2,OR(TH!L335="1111",TH!M335="1111")),TH!D335,""),"")</f>
        <v/>
      </c>
      <c r="B335" s="11">
        <f t="shared" si="25"/>
        <v>5</v>
      </c>
      <c r="C335" s="115">
        <f t="shared" si="27"/>
        <v>40690</v>
      </c>
      <c r="D335" s="115" t="s">
        <v>1058</v>
      </c>
      <c r="E335" s="115">
        <v>40690</v>
      </c>
      <c r="F335" s="116" t="s">
        <v>732</v>
      </c>
      <c r="G335" s="224"/>
      <c r="H335" s="242" t="s">
        <v>1037</v>
      </c>
      <c r="I335" s="143">
        <v>90</v>
      </c>
      <c r="J335" s="143">
        <v>3584.0111111111109</v>
      </c>
      <c r="K335" s="238">
        <f t="shared" si="26"/>
        <v>322561</v>
      </c>
      <c r="L335" s="14" t="s">
        <v>155</v>
      </c>
      <c r="M335" s="292" t="s">
        <v>153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21"/>
    </row>
    <row r="336" spans="1:26" ht="15.75" customHeight="1">
      <c r="A336" s="125" t="str">
        <f>IF(B336&lt;&gt;"",IF(AND(B336&gt;=_TM1,B336&lt;=_TM2,OR(TH!L336="1111",TH!M336="1111")),TH!D336,""),"")</f>
        <v/>
      </c>
      <c r="B336" s="11">
        <f t="shared" si="25"/>
        <v>5</v>
      </c>
      <c r="C336" s="115">
        <f t="shared" si="27"/>
        <v>40690</v>
      </c>
      <c r="D336" s="115" t="s">
        <v>1058</v>
      </c>
      <c r="E336" s="115">
        <v>40690</v>
      </c>
      <c r="F336" s="116" t="s">
        <v>784</v>
      </c>
      <c r="G336" s="224"/>
      <c r="H336" s="242" t="s">
        <v>1037</v>
      </c>
      <c r="I336" s="141">
        <v>2</v>
      </c>
      <c r="J336" s="141">
        <v>7759.5</v>
      </c>
      <c r="K336" s="238">
        <f t="shared" si="26"/>
        <v>15519</v>
      </c>
      <c r="L336" s="14" t="s">
        <v>155</v>
      </c>
      <c r="M336" s="292" t="s">
        <v>153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21"/>
    </row>
    <row r="337" spans="1:26" ht="15.75" customHeight="1">
      <c r="A337" s="125" t="str">
        <f>IF(B337&lt;&gt;"",IF(AND(B337&gt;=_TM1,B337&lt;=_TM2,OR(TH!L337="1111",TH!M337="1111")),TH!D337,""),"")</f>
        <v/>
      </c>
      <c r="B337" s="11">
        <f t="shared" si="25"/>
        <v>5</v>
      </c>
      <c r="C337" s="115">
        <f t="shared" si="27"/>
        <v>40690</v>
      </c>
      <c r="D337" s="115" t="s">
        <v>1058</v>
      </c>
      <c r="E337" s="115">
        <v>40690</v>
      </c>
      <c r="F337" s="116" t="s">
        <v>785</v>
      </c>
      <c r="G337" s="224"/>
      <c r="H337" s="242" t="s">
        <v>1037</v>
      </c>
      <c r="I337" s="141">
        <v>2</v>
      </c>
      <c r="J337" s="141">
        <v>3655.5</v>
      </c>
      <c r="K337" s="238">
        <f t="shared" si="26"/>
        <v>7311</v>
      </c>
      <c r="L337" s="14" t="s">
        <v>155</v>
      </c>
      <c r="M337" s="292" t="s">
        <v>153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21"/>
    </row>
    <row r="338" spans="1:26" ht="15.75" customHeight="1">
      <c r="A338" s="125" t="str">
        <f>IF(B338&lt;&gt;"",IF(AND(B338&gt;=_TM1,B338&lt;=_TM2,OR(TH!L338="1111",TH!M338="1111")),TH!D338,""),"")</f>
        <v/>
      </c>
      <c r="B338" s="11">
        <f t="shared" si="25"/>
        <v>5</v>
      </c>
      <c r="C338" s="115">
        <f t="shared" si="27"/>
        <v>40690</v>
      </c>
      <c r="D338" s="115" t="s">
        <v>1059</v>
      </c>
      <c r="E338" s="115">
        <v>40690</v>
      </c>
      <c r="F338" s="116" t="s">
        <v>786</v>
      </c>
      <c r="G338" s="224"/>
      <c r="H338" s="242" t="s">
        <v>1037</v>
      </c>
      <c r="I338" s="141">
        <v>195</v>
      </c>
      <c r="J338" s="141">
        <v>7890.7948717948721</v>
      </c>
      <c r="K338" s="238">
        <f t="shared" si="26"/>
        <v>1538705</v>
      </c>
      <c r="L338" s="14" t="s">
        <v>155</v>
      </c>
      <c r="M338" s="292" t="s">
        <v>153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21"/>
    </row>
    <row r="339" spans="1:26" ht="15.75" customHeight="1">
      <c r="A339" s="125" t="str">
        <f>IF(B339&lt;&gt;"",IF(AND(B339&gt;=_TM1,B339&lt;=_TM2,OR(TH!L339="1111",TH!M339="1111")),TH!D339,""),"")</f>
        <v/>
      </c>
      <c r="B339" s="11">
        <f t="shared" si="25"/>
        <v>5</v>
      </c>
      <c r="C339" s="115">
        <f t="shared" si="27"/>
        <v>40690</v>
      </c>
      <c r="D339" s="115" t="s">
        <v>1059</v>
      </c>
      <c r="E339" s="115">
        <v>40690</v>
      </c>
      <c r="F339" s="116" t="s">
        <v>787</v>
      </c>
      <c r="G339" s="224"/>
      <c r="H339" s="242" t="s">
        <v>1037</v>
      </c>
      <c r="I339" s="141">
        <v>20</v>
      </c>
      <c r="J339" s="141">
        <v>16143.5</v>
      </c>
      <c r="K339" s="238">
        <f t="shared" si="26"/>
        <v>322870</v>
      </c>
      <c r="L339" s="14" t="s">
        <v>155</v>
      </c>
      <c r="M339" s="292" t="s">
        <v>153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21"/>
    </row>
    <row r="340" spans="1:26" ht="15.75" customHeight="1">
      <c r="A340" s="125" t="str">
        <f>IF(B340&lt;&gt;"",IF(AND(B340&gt;=_TM1,B340&lt;=_TM2,OR(TH!L340="1111",TH!M340="1111")),TH!D340,""),"")</f>
        <v/>
      </c>
      <c r="B340" s="11">
        <f t="shared" si="25"/>
        <v>5</v>
      </c>
      <c r="C340" s="115">
        <f t="shared" si="27"/>
        <v>40690</v>
      </c>
      <c r="D340" s="115" t="s">
        <v>1059</v>
      </c>
      <c r="E340" s="115">
        <v>40690</v>
      </c>
      <c r="F340" s="116" t="s">
        <v>788</v>
      </c>
      <c r="G340" s="224"/>
      <c r="H340" s="242" t="s">
        <v>1037</v>
      </c>
      <c r="I340" s="141">
        <v>1</v>
      </c>
      <c r="J340" s="141">
        <v>6972</v>
      </c>
      <c r="K340" s="238">
        <f t="shared" si="26"/>
        <v>6972</v>
      </c>
      <c r="L340" s="14" t="s">
        <v>155</v>
      </c>
      <c r="M340" s="292" t="s">
        <v>153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/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121"/>
    </row>
    <row r="341" spans="1:26" ht="15.75" customHeight="1">
      <c r="A341" s="125" t="str">
        <f>IF(B341&lt;&gt;"",IF(AND(B341&gt;=_TM1,B341&lt;=_TM2,OR(TH!L341="1111",TH!M341="1111")),TH!D341,""),"")</f>
        <v/>
      </c>
      <c r="B341" s="11">
        <f t="shared" si="25"/>
        <v>5</v>
      </c>
      <c r="C341" s="115">
        <f t="shared" si="27"/>
        <v>40690</v>
      </c>
      <c r="D341" s="115" t="s">
        <v>1059</v>
      </c>
      <c r="E341" s="115">
        <v>40690</v>
      </c>
      <c r="F341" s="116" t="s">
        <v>789</v>
      </c>
      <c r="G341" s="224"/>
      <c r="H341" s="242" t="s">
        <v>1037</v>
      </c>
      <c r="I341" s="141">
        <v>4</v>
      </c>
      <c r="J341" s="141">
        <v>5808.5</v>
      </c>
      <c r="K341" s="238">
        <f t="shared" ref="K341:K354" si="28">ROUND(I341*J341,0)</f>
        <v>23234</v>
      </c>
      <c r="L341" s="14" t="s">
        <v>155</v>
      </c>
      <c r="M341" s="292" t="s">
        <v>153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121"/>
    </row>
    <row r="342" spans="1:26" ht="15.75" customHeight="1">
      <c r="A342" s="125" t="str">
        <f>IF(B342&lt;&gt;"",IF(AND(B342&gt;=_TM1,B342&lt;=_TM2,OR(TH!L342="1111",TH!M342="1111")),TH!D342,""),"")</f>
        <v/>
      </c>
      <c r="B342" s="11">
        <f t="shared" ref="B342:B405" si="29">IF(C342&lt;&gt;"",MONTH(C342),"")</f>
        <v>5</v>
      </c>
      <c r="C342" s="115">
        <f t="shared" si="27"/>
        <v>40690</v>
      </c>
      <c r="D342" s="115" t="s">
        <v>1059</v>
      </c>
      <c r="E342" s="115">
        <v>40690</v>
      </c>
      <c r="F342" s="116" t="s">
        <v>790</v>
      </c>
      <c r="G342" s="224"/>
      <c r="H342" s="242" t="s">
        <v>1037</v>
      </c>
      <c r="I342" s="141">
        <v>2</v>
      </c>
      <c r="J342" s="141">
        <v>3584</v>
      </c>
      <c r="K342" s="238">
        <f t="shared" si="28"/>
        <v>7168</v>
      </c>
      <c r="L342" s="14" t="s">
        <v>155</v>
      </c>
      <c r="M342" s="292" t="s">
        <v>153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121"/>
    </row>
    <row r="343" spans="1:26" ht="15.75" customHeight="1">
      <c r="A343" s="125" t="str">
        <f>IF(B343&lt;&gt;"",IF(AND(B343&gt;=_TM1,B343&lt;=_TM2,OR(TH!L343="1111",TH!M343="1111")),TH!D343,""),"")</f>
        <v/>
      </c>
      <c r="B343" s="11">
        <f t="shared" si="29"/>
        <v>5</v>
      </c>
      <c r="C343" s="115">
        <f t="shared" si="27"/>
        <v>40690</v>
      </c>
      <c r="D343" s="115" t="s">
        <v>1059</v>
      </c>
      <c r="E343" s="115">
        <v>40690</v>
      </c>
      <c r="F343" s="116" t="s">
        <v>791</v>
      </c>
      <c r="G343" s="224"/>
      <c r="H343" s="242" t="s">
        <v>1037</v>
      </c>
      <c r="I343" s="141">
        <v>2</v>
      </c>
      <c r="J343" s="141">
        <v>8627.5</v>
      </c>
      <c r="K343" s="238">
        <f t="shared" si="28"/>
        <v>17255</v>
      </c>
      <c r="L343" s="14" t="s">
        <v>155</v>
      </c>
      <c r="M343" s="292" t="s">
        <v>153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21"/>
    </row>
    <row r="344" spans="1:26" ht="15.75" customHeight="1">
      <c r="A344" s="125" t="str">
        <f>IF(B344&lt;&gt;"",IF(AND(B344&gt;=_TM1,B344&lt;=_TM2,OR(TH!L344="1111",TH!M344="1111")),TH!D344,""),"")</f>
        <v/>
      </c>
      <c r="B344" s="11">
        <f t="shared" si="29"/>
        <v>5</v>
      </c>
      <c r="C344" s="115">
        <f t="shared" si="27"/>
        <v>40690</v>
      </c>
      <c r="D344" s="115" t="s">
        <v>1059</v>
      </c>
      <c r="E344" s="115">
        <v>40690</v>
      </c>
      <c r="F344" s="116" t="s">
        <v>797</v>
      </c>
      <c r="G344" s="224"/>
      <c r="H344" s="242" t="s">
        <v>1037</v>
      </c>
      <c r="I344" s="141">
        <v>2</v>
      </c>
      <c r="J344" s="141">
        <v>7190.5</v>
      </c>
      <c r="K344" s="238">
        <f t="shared" si="28"/>
        <v>14381</v>
      </c>
      <c r="L344" s="14" t="s">
        <v>155</v>
      </c>
      <c r="M344" s="292" t="s">
        <v>153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21"/>
    </row>
    <row r="345" spans="1:26" ht="15.75" customHeight="1">
      <c r="A345" s="125" t="str">
        <f>IF(B345&lt;&gt;"",IF(AND(B345&gt;=_TM1,B345&lt;=_TM2,OR(TH!L345="1111",TH!M345="1111")),TH!D345,""),"")</f>
        <v/>
      </c>
      <c r="B345" s="11">
        <f t="shared" si="29"/>
        <v>5</v>
      </c>
      <c r="C345" s="115">
        <f t="shared" si="27"/>
        <v>40690</v>
      </c>
      <c r="D345" s="115" t="s">
        <v>1059</v>
      </c>
      <c r="E345" s="115">
        <v>40690</v>
      </c>
      <c r="F345" s="116" t="s">
        <v>798</v>
      </c>
      <c r="G345" s="224"/>
      <c r="H345" s="242" t="s">
        <v>1037</v>
      </c>
      <c r="I345" s="141">
        <v>5</v>
      </c>
      <c r="J345" s="141">
        <v>6971.6</v>
      </c>
      <c r="K345" s="238">
        <f t="shared" si="28"/>
        <v>34858</v>
      </c>
      <c r="L345" s="14" t="s">
        <v>155</v>
      </c>
      <c r="M345" s="292" t="s">
        <v>153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21"/>
    </row>
    <row r="346" spans="1:26" ht="15.75" customHeight="1">
      <c r="A346" s="125" t="str">
        <f>IF(B346&lt;&gt;"",IF(AND(B346&gt;=_TM1,B346&lt;=_TM2,OR(TH!L346="1111",TH!M346="1111")),TH!D346,""),"")</f>
        <v/>
      </c>
      <c r="B346" s="11">
        <f t="shared" si="29"/>
        <v>5</v>
      </c>
      <c r="C346" s="115">
        <f t="shared" si="27"/>
        <v>40690</v>
      </c>
      <c r="D346" s="115" t="s">
        <v>1059</v>
      </c>
      <c r="E346" s="115">
        <v>40690</v>
      </c>
      <c r="F346" s="116" t="s">
        <v>799</v>
      </c>
      <c r="G346" s="224"/>
      <c r="H346" s="242" t="s">
        <v>1037</v>
      </c>
      <c r="I346" s="143">
        <v>86</v>
      </c>
      <c r="J346" s="143">
        <v>18284.511627906977</v>
      </c>
      <c r="K346" s="238">
        <f t="shared" si="28"/>
        <v>1572468</v>
      </c>
      <c r="L346" s="14" t="s">
        <v>155</v>
      </c>
      <c r="M346" s="292" t="s">
        <v>153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21"/>
    </row>
    <row r="347" spans="1:26" ht="15.75" customHeight="1">
      <c r="A347" s="125" t="str">
        <f>IF(B347&lt;&gt;"",IF(AND(B347&gt;=_TM1,B347&lt;=_TM2,OR(TH!L347="1111",TH!M347="1111")),TH!D347,""),"")</f>
        <v/>
      </c>
      <c r="B347" s="11">
        <f t="shared" si="29"/>
        <v>5</v>
      </c>
      <c r="C347" s="115">
        <f t="shared" si="27"/>
        <v>40690</v>
      </c>
      <c r="D347" s="115" t="s">
        <v>1060</v>
      </c>
      <c r="E347" s="115">
        <v>40690</v>
      </c>
      <c r="F347" s="116" t="s">
        <v>800</v>
      </c>
      <c r="G347" s="224"/>
      <c r="H347" s="242" t="s">
        <v>1037</v>
      </c>
      <c r="I347" s="141">
        <v>4</v>
      </c>
      <c r="J347" s="141">
        <v>14857.5</v>
      </c>
      <c r="K347" s="238">
        <f t="shared" si="28"/>
        <v>59430</v>
      </c>
      <c r="L347" s="14" t="s">
        <v>155</v>
      </c>
      <c r="M347" s="292" t="s">
        <v>153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21"/>
    </row>
    <row r="348" spans="1:26" ht="15.75" customHeight="1">
      <c r="A348" s="125" t="str">
        <f>IF(B348&lt;&gt;"",IF(AND(B348&gt;=_TM1,B348&lt;=_TM2,OR(TH!L348="1111",TH!M348="1111")),TH!D348,""),"")</f>
        <v/>
      </c>
      <c r="B348" s="11">
        <f t="shared" si="29"/>
        <v>5</v>
      </c>
      <c r="C348" s="115">
        <f t="shared" si="27"/>
        <v>40690</v>
      </c>
      <c r="D348" s="115" t="s">
        <v>1060</v>
      </c>
      <c r="E348" s="115">
        <v>40690</v>
      </c>
      <c r="F348" s="116" t="s">
        <v>801</v>
      </c>
      <c r="G348" s="224"/>
      <c r="H348" s="242" t="s">
        <v>1037</v>
      </c>
      <c r="I348" s="141">
        <v>24</v>
      </c>
      <c r="J348" s="141">
        <v>14857.5</v>
      </c>
      <c r="K348" s="238">
        <f t="shared" si="28"/>
        <v>356580</v>
      </c>
      <c r="L348" s="14" t="s">
        <v>155</v>
      </c>
      <c r="M348" s="292" t="s">
        <v>153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21"/>
    </row>
    <row r="349" spans="1:26" ht="15.75" customHeight="1">
      <c r="A349" s="125" t="str">
        <f>IF(B349&lt;&gt;"",IF(AND(B349&gt;=_TM1,B349&lt;=_TM2,OR(TH!L349="1111",TH!M349="1111")),TH!D349,""),"")</f>
        <v/>
      </c>
      <c r="B349" s="11">
        <f t="shared" si="29"/>
        <v>5</v>
      </c>
      <c r="C349" s="115">
        <f t="shared" si="27"/>
        <v>40690</v>
      </c>
      <c r="D349" s="115" t="s">
        <v>1060</v>
      </c>
      <c r="E349" s="115">
        <v>40690</v>
      </c>
      <c r="F349" s="116" t="s">
        <v>802</v>
      </c>
      <c r="G349" s="224"/>
      <c r="H349" s="242" t="s">
        <v>1037</v>
      </c>
      <c r="I349" s="143">
        <v>364</v>
      </c>
      <c r="J349" s="143">
        <v>15447.975274725275</v>
      </c>
      <c r="K349" s="238">
        <f t="shared" si="28"/>
        <v>5623063</v>
      </c>
      <c r="L349" s="14" t="s">
        <v>155</v>
      </c>
      <c r="M349" s="292" t="s">
        <v>153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21"/>
    </row>
    <row r="350" spans="1:26" ht="15.75" customHeight="1">
      <c r="A350" s="125" t="str">
        <f>IF(B350&lt;&gt;"",IF(AND(B350&gt;=_TM1,B350&lt;=_TM2,OR(TH!L350="1111",TH!M350="1111")),TH!D350,""),"")</f>
        <v/>
      </c>
      <c r="B350" s="11">
        <f t="shared" si="29"/>
        <v>5</v>
      </c>
      <c r="C350" s="115">
        <f t="shared" si="27"/>
        <v>40690</v>
      </c>
      <c r="D350" s="115" t="s">
        <v>1060</v>
      </c>
      <c r="E350" s="115">
        <v>40690</v>
      </c>
      <c r="F350" s="116" t="s">
        <v>803</v>
      </c>
      <c r="G350" s="224"/>
      <c r="H350" s="242" t="s">
        <v>1037</v>
      </c>
      <c r="I350" s="141">
        <v>2</v>
      </c>
      <c r="J350" s="141">
        <v>9979.5</v>
      </c>
      <c r="K350" s="238">
        <f t="shared" si="28"/>
        <v>19959</v>
      </c>
      <c r="L350" s="14" t="s">
        <v>155</v>
      </c>
      <c r="M350" s="292" t="s">
        <v>153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21"/>
    </row>
    <row r="351" spans="1:26" ht="15.75" customHeight="1">
      <c r="A351" s="125" t="str">
        <f>IF(B351&lt;&gt;"",IF(AND(B351&gt;=_TM1,B351&lt;=_TM2,OR(TH!L351="1111",TH!M351="1111")),TH!D351,""),"")</f>
        <v/>
      </c>
      <c r="B351" s="11">
        <f t="shared" si="29"/>
        <v>5</v>
      </c>
      <c r="C351" s="115">
        <f t="shared" si="27"/>
        <v>40690</v>
      </c>
      <c r="D351" s="115" t="s">
        <v>1060</v>
      </c>
      <c r="E351" s="115">
        <v>40690</v>
      </c>
      <c r="F351" s="116" t="s">
        <v>804</v>
      </c>
      <c r="G351" s="224"/>
      <c r="H351" s="242" t="s">
        <v>1037</v>
      </c>
      <c r="I351" s="141">
        <v>10</v>
      </c>
      <c r="J351" s="141">
        <v>13217.5</v>
      </c>
      <c r="K351" s="238">
        <f t="shared" si="28"/>
        <v>132175</v>
      </c>
      <c r="L351" s="14" t="s">
        <v>155</v>
      </c>
      <c r="M351" s="292" t="s">
        <v>153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21"/>
    </row>
    <row r="352" spans="1:26" ht="15.75" customHeight="1">
      <c r="A352" s="125" t="str">
        <f>IF(B352&lt;&gt;"",IF(AND(B352&gt;=_TM1,B352&lt;=_TM2,OR(TH!L352="1111",TH!M352="1111")),TH!D352,""),"")</f>
        <v/>
      </c>
      <c r="B352" s="11">
        <f t="shared" si="29"/>
        <v>5</v>
      </c>
      <c r="C352" s="115">
        <f t="shared" si="27"/>
        <v>40690</v>
      </c>
      <c r="D352" s="115" t="s">
        <v>1060</v>
      </c>
      <c r="E352" s="115">
        <v>40690</v>
      </c>
      <c r="F352" s="116" t="s">
        <v>805</v>
      </c>
      <c r="G352" s="224"/>
      <c r="H352" s="242" t="s">
        <v>1037</v>
      </c>
      <c r="I352" s="141">
        <v>414</v>
      </c>
      <c r="J352" s="141">
        <v>15420.381642512077</v>
      </c>
      <c r="K352" s="238">
        <f t="shared" si="28"/>
        <v>6384038</v>
      </c>
      <c r="L352" s="14" t="s">
        <v>155</v>
      </c>
      <c r="M352" s="292" t="s">
        <v>153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/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121"/>
    </row>
    <row r="353" spans="1:26" ht="15.75" customHeight="1">
      <c r="A353" s="125" t="str">
        <f>IF(B353&lt;&gt;"",IF(AND(B353&gt;=_TM1,B353&lt;=_TM2,OR(TH!L353="1111",TH!M353="1111")),TH!D353,""),"")</f>
        <v/>
      </c>
      <c r="B353" s="11">
        <f t="shared" si="29"/>
        <v>5</v>
      </c>
      <c r="C353" s="115">
        <f t="shared" si="27"/>
        <v>40690</v>
      </c>
      <c r="D353" s="115" t="s">
        <v>1060</v>
      </c>
      <c r="E353" s="115">
        <v>40690</v>
      </c>
      <c r="F353" s="116" t="s">
        <v>806</v>
      </c>
      <c r="G353" s="224"/>
      <c r="H353" s="242" t="s">
        <v>1037</v>
      </c>
      <c r="I353" s="141">
        <v>1380</v>
      </c>
      <c r="J353" s="141">
        <v>13959.51304347826</v>
      </c>
      <c r="K353" s="238">
        <f t="shared" si="28"/>
        <v>19264128</v>
      </c>
      <c r="L353" s="14" t="s">
        <v>155</v>
      </c>
      <c r="M353" s="292" t="s">
        <v>153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121"/>
    </row>
    <row r="354" spans="1:26" ht="15.75" customHeight="1">
      <c r="A354" s="125" t="str">
        <f>IF(B354&lt;&gt;"",IF(AND(B354&gt;=_TM1,B354&lt;=_TM2,OR(TH!L354="1111",TH!M354="1111")),TH!D354,""),"")</f>
        <v/>
      </c>
      <c r="B354" s="11">
        <f t="shared" si="29"/>
        <v>5</v>
      </c>
      <c r="C354" s="115">
        <f t="shared" si="27"/>
        <v>40690</v>
      </c>
      <c r="D354" s="115" t="s">
        <v>1060</v>
      </c>
      <c r="E354" s="115">
        <v>40690</v>
      </c>
      <c r="F354" s="116" t="s">
        <v>807</v>
      </c>
      <c r="G354" s="224"/>
      <c r="H354" s="242" t="s">
        <v>1037</v>
      </c>
      <c r="I354" s="141">
        <v>1127</v>
      </c>
      <c r="J354" s="141">
        <v>13970.692990239573</v>
      </c>
      <c r="K354" s="238">
        <f t="shared" si="28"/>
        <v>15744971</v>
      </c>
      <c r="L354" s="14" t="s">
        <v>155</v>
      </c>
      <c r="M354" s="292" t="s">
        <v>153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121"/>
    </row>
    <row r="355" spans="1:26" ht="15.75" customHeight="1">
      <c r="A355" s="125" t="str">
        <f>IF(B355&lt;&gt;"",IF(AND(B355&gt;=_TM1,B355&lt;=_TM2,OR(TH!L355="1111",TH!M355="1111")),TH!D355,""),"")</f>
        <v/>
      </c>
      <c r="B355" s="11">
        <f t="shared" si="29"/>
        <v>5</v>
      </c>
      <c r="C355" s="115">
        <v>40691</v>
      </c>
      <c r="D355" s="115" t="s">
        <v>913</v>
      </c>
      <c r="E355" s="115">
        <v>40691</v>
      </c>
      <c r="F355" s="116" t="s">
        <v>718</v>
      </c>
      <c r="G355" s="224" t="s">
        <v>794</v>
      </c>
      <c r="H355" s="4" t="s">
        <v>709</v>
      </c>
      <c r="I355" s="141">
        <v>181</v>
      </c>
      <c r="J355" s="141">
        <v>19720</v>
      </c>
      <c r="K355" s="238">
        <v>3569320</v>
      </c>
      <c r="L355" s="118" t="s">
        <v>237</v>
      </c>
      <c r="M355" s="118" t="s">
        <v>163</v>
      </c>
      <c r="N355" s="25" t="str">
        <f>IF(AND('331-CT'!$E$7=TH!H355,OR(L355="331",M355="331")),"331",IF(AND(OR(L355="131",M355="131"),H355='131-CT'!$E$7),"131",""))</f>
        <v>131</v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310"/>
    </row>
    <row r="356" spans="1:26" ht="15.75" customHeight="1">
      <c r="A356" s="125" t="str">
        <f>IF(B356&lt;&gt;"",IF(AND(B356&gt;=_TM1,B356&lt;=_TM2,OR(TH!L356="1111",TH!M356="1111")),TH!D356,""),"")</f>
        <v/>
      </c>
      <c r="B356" s="11">
        <f t="shared" si="29"/>
        <v>5</v>
      </c>
      <c r="C356" s="115">
        <v>40691</v>
      </c>
      <c r="D356" s="115" t="s">
        <v>913</v>
      </c>
      <c r="E356" s="115">
        <v>40691</v>
      </c>
      <c r="F356" s="116" t="s">
        <v>814</v>
      </c>
      <c r="G356" s="224" t="s">
        <v>794</v>
      </c>
      <c r="H356" s="4" t="s">
        <v>709</v>
      </c>
      <c r="I356" s="141">
        <v>254</v>
      </c>
      <c r="J356" s="141">
        <v>2200</v>
      </c>
      <c r="K356" s="238">
        <v>558800</v>
      </c>
      <c r="L356" s="118" t="s">
        <v>237</v>
      </c>
      <c r="M356" s="118" t="s">
        <v>163</v>
      </c>
      <c r="N356" s="25" t="str">
        <f>IF(AND('331-CT'!$E$7=TH!H356,OR(L356="331",M356="331")),"331",IF(AND(OR(L356="131",M356="131"),H356='131-CT'!$E$7),"131",""))</f>
        <v>131</v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310"/>
    </row>
    <row r="357" spans="1:26" ht="15.75" customHeight="1">
      <c r="A357" s="125" t="str">
        <f>IF(B357&lt;&gt;"",IF(AND(B357&gt;=_TM1,B357&lt;=_TM2,OR(TH!L357="1111",TH!M357="1111")),TH!D357,""),"")</f>
        <v/>
      </c>
      <c r="B357" s="11">
        <f t="shared" si="29"/>
        <v>5</v>
      </c>
      <c r="C357" s="115">
        <v>40691</v>
      </c>
      <c r="D357" s="115" t="s">
        <v>913</v>
      </c>
      <c r="E357" s="115">
        <v>40691</v>
      </c>
      <c r="F357" s="116" t="s">
        <v>815</v>
      </c>
      <c r="G357" s="224" t="s">
        <v>794</v>
      </c>
      <c r="H357" s="4" t="s">
        <v>709</v>
      </c>
      <c r="I357" s="141">
        <v>408</v>
      </c>
      <c r="J357" s="141">
        <v>15770</v>
      </c>
      <c r="K357" s="238">
        <v>6434160</v>
      </c>
      <c r="L357" s="118" t="s">
        <v>237</v>
      </c>
      <c r="M357" s="118" t="s">
        <v>163</v>
      </c>
      <c r="N357" s="25" t="str">
        <f>IF(AND('331-CT'!$E$7=TH!H357,OR(L357="331",M357="331")),"331",IF(AND(OR(L357="131",M357="131"),H357='131-CT'!$E$7),"131",""))</f>
        <v>131</v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310"/>
    </row>
    <row r="358" spans="1:26" ht="15.75" customHeight="1">
      <c r="A358" s="125" t="str">
        <f>IF(B358&lt;&gt;"",IF(AND(B358&gt;=_TM1,B358&lt;=_TM2,OR(TH!L358="1111",TH!M358="1111")),TH!D358,""),"")</f>
        <v/>
      </c>
      <c r="B358" s="11">
        <f t="shared" si="29"/>
        <v>5</v>
      </c>
      <c r="C358" s="115">
        <v>40691</v>
      </c>
      <c r="D358" s="115" t="s">
        <v>913</v>
      </c>
      <c r="E358" s="115">
        <v>40691</v>
      </c>
      <c r="F358" s="116" t="s">
        <v>816</v>
      </c>
      <c r="G358" s="224" t="s">
        <v>794</v>
      </c>
      <c r="H358" s="4" t="s">
        <v>709</v>
      </c>
      <c r="I358" s="141">
        <v>345</v>
      </c>
      <c r="J358" s="141">
        <v>11002</v>
      </c>
      <c r="K358" s="238">
        <v>3795690</v>
      </c>
      <c r="L358" s="118" t="s">
        <v>237</v>
      </c>
      <c r="M358" s="118" t="s">
        <v>163</v>
      </c>
      <c r="N358" s="25" t="str">
        <f>IF(AND('331-CT'!$E$7=TH!H358,OR(L358="331",M358="331")),"331",IF(AND(OR(L358="131",M358="131"),H358='131-CT'!$E$7),"131",""))</f>
        <v>131</v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310"/>
    </row>
    <row r="359" spans="1:26" ht="15.75" customHeight="1">
      <c r="A359" s="125" t="str">
        <f>IF(B359&lt;&gt;"",IF(AND(B359&gt;=_TM1,B359&lt;=_TM2,OR(TH!L359="1111",TH!M359="1111")),TH!D359,""),"")</f>
        <v/>
      </c>
      <c r="B359" s="11">
        <f t="shared" si="29"/>
        <v>5</v>
      </c>
      <c r="C359" s="115">
        <v>40691</v>
      </c>
      <c r="D359" s="115" t="s">
        <v>913</v>
      </c>
      <c r="E359" s="115">
        <v>40691</v>
      </c>
      <c r="F359" s="116" t="s">
        <v>817</v>
      </c>
      <c r="G359" s="224" t="s">
        <v>794</v>
      </c>
      <c r="H359" s="4" t="s">
        <v>709</v>
      </c>
      <c r="I359" s="141">
        <v>4</v>
      </c>
      <c r="J359" s="141">
        <v>12279</v>
      </c>
      <c r="K359" s="238">
        <v>49116</v>
      </c>
      <c r="L359" s="118" t="s">
        <v>237</v>
      </c>
      <c r="M359" s="118" t="s">
        <v>163</v>
      </c>
      <c r="N359" s="25" t="str">
        <f>IF(AND('331-CT'!$E$7=TH!H359,OR(L359="331",M359="331")),"331",IF(AND(OR(L359="131",M359="131"),H359='131-CT'!$E$7),"131",""))</f>
        <v>131</v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310"/>
    </row>
    <row r="360" spans="1:26" ht="15.75" customHeight="1">
      <c r="A360" s="125" t="str">
        <f>IF(B360&lt;&gt;"",IF(AND(B360&gt;=_TM1,B360&lt;=_TM2,OR(TH!L360="1111",TH!M360="1111")),TH!D360,""),"")</f>
        <v/>
      </c>
      <c r="B360" s="11">
        <f t="shared" si="29"/>
        <v>5</v>
      </c>
      <c r="C360" s="115">
        <v>40691</v>
      </c>
      <c r="D360" s="115" t="s">
        <v>913</v>
      </c>
      <c r="E360" s="115">
        <v>40691</v>
      </c>
      <c r="F360" s="116" t="s">
        <v>818</v>
      </c>
      <c r="G360" s="224" t="s">
        <v>794</v>
      </c>
      <c r="H360" s="4" t="s">
        <v>709</v>
      </c>
      <c r="I360" s="141">
        <v>67</v>
      </c>
      <c r="J360" s="141">
        <v>11075</v>
      </c>
      <c r="K360" s="238">
        <v>742025</v>
      </c>
      <c r="L360" s="118" t="s">
        <v>237</v>
      </c>
      <c r="M360" s="118" t="s">
        <v>163</v>
      </c>
      <c r="N360" s="25" t="str">
        <f>IF(AND('331-CT'!$E$7=TH!H360,OR(L360="331",M360="331")),"331",IF(AND(OR(L360="131",M360="131"),H360='131-CT'!$E$7),"131",""))</f>
        <v>131</v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310"/>
    </row>
    <row r="361" spans="1:26" ht="15.75" customHeight="1">
      <c r="A361" s="125" t="str">
        <f>IF(B361&lt;&gt;"",IF(AND(B361&gt;=_TM1,B361&lt;=_TM2,OR(TH!L361="1111",TH!M361="1111")),TH!D361,""),"")</f>
        <v/>
      </c>
      <c r="B361" s="11">
        <f t="shared" si="29"/>
        <v>5</v>
      </c>
      <c r="C361" s="115">
        <v>40691</v>
      </c>
      <c r="D361" s="115" t="s">
        <v>913</v>
      </c>
      <c r="E361" s="115">
        <v>40691</v>
      </c>
      <c r="F361" s="116" t="s">
        <v>819</v>
      </c>
      <c r="G361" s="224" t="s">
        <v>794</v>
      </c>
      <c r="H361" s="4" t="s">
        <v>709</v>
      </c>
      <c r="I361" s="141">
        <v>27</v>
      </c>
      <c r="J361" s="141">
        <v>15277</v>
      </c>
      <c r="K361" s="238">
        <v>412479</v>
      </c>
      <c r="L361" s="118" t="s">
        <v>237</v>
      </c>
      <c r="M361" s="118" t="s">
        <v>163</v>
      </c>
      <c r="N361" s="25" t="str">
        <f>IF(AND('331-CT'!$E$7=TH!H361,OR(L361="331",M361="331")),"331",IF(AND(OR(L361="131",M361="131"),H361='131-CT'!$E$7),"131",""))</f>
        <v>131</v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310"/>
    </row>
    <row r="362" spans="1:26" ht="15.75" customHeight="1">
      <c r="A362" s="125" t="str">
        <f>IF(B362&lt;&gt;"",IF(AND(B362&gt;=_TM1,B362&lt;=_TM2,OR(TH!L362="1111",TH!M362="1111")),TH!D362,""),"")</f>
        <v/>
      </c>
      <c r="B362" s="11">
        <f t="shared" si="29"/>
        <v>5</v>
      </c>
      <c r="C362" s="115">
        <v>40691</v>
      </c>
      <c r="D362" s="115" t="s">
        <v>913</v>
      </c>
      <c r="E362" s="115">
        <v>40691</v>
      </c>
      <c r="F362" s="116" t="s">
        <v>820</v>
      </c>
      <c r="G362" s="224" t="s">
        <v>794</v>
      </c>
      <c r="H362" s="4" t="s">
        <v>709</v>
      </c>
      <c r="I362" s="141">
        <v>16</v>
      </c>
      <c r="J362" s="141">
        <v>9352</v>
      </c>
      <c r="K362" s="238">
        <v>149632</v>
      </c>
      <c r="L362" s="118" t="s">
        <v>237</v>
      </c>
      <c r="M362" s="118" t="s">
        <v>163</v>
      </c>
      <c r="N362" s="25" t="str">
        <f>IF(AND('331-CT'!$E$7=TH!H362,OR(L362="331",M362="331")),"331",IF(AND(OR(L362="131",M362="131"),H362='131-CT'!$E$7),"131",""))</f>
        <v>131</v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310"/>
    </row>
    <row r="363" spans="1:26" ht="15.75" customHeight="1">
      <c r="A363" s="125" t="str">
        <f>IF(B363&lt;&gt;"",IF(AND(B363&gt;=_TM1,B363&lt;=_TM2,OR(TH!L363="1111",TH!M363="1111")),TH!D363,""),"")</f>
        <v/>
      </c>
      <c r="B363" s="11">
        <f t="shared" si="29"/>
        <v>5</v>
      </c>
      <c r="C363" s="115">
        <v>40691</v>
      </c>
      <c r="D363" s="115" t="s">
        <v>913</v>
      </c>
      <c r="E363" s="115">
        <v>40691</v>
      </c>
      <c r="F363" s="116" t="s">
        <v>796</v>
      </c>
      <c r="G363" s="224" t="s">
        <v>794</v>
      </c>
      <c r="H363" s="4" t="s">
        <v>709</v>
      </c>
      <c r="I363" s="141"/>
      <c r="J363" s="141"/>
      <c r="K363" s="238">
        <v>1571122</v>
      </c>
      <c r="L363" s="118" t="s">
        <v>237</v>
      </c>
      <c r="M363" s="118" t="s">
        <v>707</v>
      </c>
      <c r="N363" s="25" t="str">
        <f>IF(AND('331-CT'!$E$7=TH!H363,OR(L363="331",M363="331")),"331",IF(AND(OR(L363="131",M363="131"),H363='131-CT'!$E$7),"131",""))</f>
        <v>131</v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310"/>
    </row>
    <row r="364" spans="1:26" ht="15.75" customHeight="1">
      <c r="A364" s="125" t="str">
        <f>IF(B364&lt;&gt;"",IF(AND(B364&gt;=_TM1,B364&lt;=_TM2,OR(TH!L364="1111",TH!M364="1111")),TH!D364,""),"")</f>
        <v/>
      </c>
      <c r="B364" s="11">
        <f t="shared" si="29"/>
        <v>5</v>
      </c>
      <c r="C364" s="115">
        <v>40691</v>
      </c>
      <c r="D364" s="115" t="s">
        <v>914</v>
      </c>
      <c r="E364" s="115">
        <v>40691</v>
      </c>
      <c r="F364" s="116" t="s">
        <v>821</v>
      </c>
      <c r="G364" s="224" t="s">
        <v>795</v>
      </c>
      <c r="H364" s="4" t="s">
        <v>709</v>
      </c>
      <c r="I364" s="141">
        <v>127</v>
      </c>
      <c r="J364" s="141">
        <v>17979</v>
      </c>
      <c r="K364" s="238">
        <v>2283333</v>
      </c>
      <c r="L364" s="118" t="s">
        <v>237</v>
      </c>
      <c r="M364" s="118" t="s">
        <v>163</v>
      </c>
      <c r="N364" s="25" t="str">
        <f>IF(AND('331-CT'!$E$7=TH!H364,OR(L364="331",M364="331")),"331",IF(AND(OR(L364="131",M364="131"),H364='131-CT'!$E$7),"131",""))</f>
        <v>131</v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310"/>
    </row>
    <row r="365" spans="1:26" ht="15.75" customHeight="1">
      <c r="A365" s="125" t="str">
        <f>IF(B365&lt;&gt;"",IF(AND(B365&gt;=_TM1,B365&lt;=_TM2,OR(TH!L365="1111",TH!M365="1111")),TH!D365,""),"")</f>
        <v/>
      </c>
      <c r="B365" s="11">
        <f t="shared" si="29"/>
        <v>5</v>
      </c>
      <c r="C365" s="115">
        <v>40691</v>
      </c>
      <c r="D365" s="115" t="s">
        <v>914</v>
      </c>
      <c r="E365" s="115">
        <v>40691</v>
      </c>
      <c r="F365" s="116" t="s">
        <v>822</v>
      </c>
      <c r="G365" s="224" t="s">
        <v>795</v>
      </c>
      <c r="H365" s="4" t="s">
        <v>709</v>
      </c>
      <c r="I365" s="141">
        <v>5</v>
      </c>
      <c r="J365" s="141">
        <v>5282</v>
      </c>
      <c r="K365" s="238">
        <v>26410</v>
      </c>
      <c r="L365" s="118" t="s">
        <v>237</v>
      </c>
      <c r="M365" s="118" t="s">
        <v>163</v>
      </c>
      <c r="N365" s="25" t="str">
        <f>IF(AND('331-CT'!$E$7=TH!H365,OR(L365="331",M365="331")),"331",IF(AND(OR(L365="131",M365="131"),H365='131-CT'!$E$7),"131",""))</f>
        <v>131</v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310"/>
    </row>
    <row r="366" spans="1:26" ht="15.75" customHeight="1">
      <c r="A366" s="125" t="str">
        <f>IF(B366&lt;&gt;"",IF(AND(B366&gt;=_TM1,B366&lt;=_TM2,OR(TH!L366="1111",TH!M366="1111")),TH!D366,""),"")</f>
        <v/>
      </c>
      <c r="B366" s="11">
        <f t="shared" si="29"/>
        <v>5</v>
      </c>
      <c r="C366" s="115">
        <v>40691</v>
      </c>
      <c r="D366" s="115" t="s">
        <v>914</v>
      </c>
      <c r="E366" s="115">
        <v>40691</v>
      </c>
      <c r="F366" s="116" t="s">
        <v>823</v>
      </c>
      <c r="G366" s="224" t="s">
        <v>795</v>
      </c>
      <c r="H366" s="4" t="s">
        <v>709</v>
      </c>
      <c r="I366" s="141">
        <v>3</v>
      </c>
      <c r="J366" s="141">
        <v>11444</v>
      </c>
      <c r="K366" s="238">
        <v>34332</v>
      </c>
      <c r="L366" s="118" t="s">
        <v>237</v>
      </c>
      <c r="M366" s="118" t="s">
        <v>163</v>
      </c>
      <c r="N366" s="25" t="str">
        <f>IF(AND('331-CT'!$E$7=TH!H366,OR(L366="331",M366="331")),"331",IF(AND(OR(L366="131",M366="131"),H366='131-CT'!$E$7),"131",""))</f>
        <v>131</v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310"/>
    </row>
    <row r="367" spans="1:26" ht="15.75" customHeight="1">
      <c r="A367" s="125" t="str">
        <f>IF(B367&lt;&gt;"",IF(AND(B367&gt;=_TM1,B367&lt;=_TM2,OR(TH!L367="1111",TH!M367="1111")),TH!D367,""),"")</f>
        <v/>
      </c>
      <c r="B367" s="11">
        <f t="shared" si="29"/>
        <v>5</v>
      </c>
      <c r="C367" s="115">
        <v>40691</v>
      </c>
      <c r="D367" s="115" t="s">
        <v>914</v>
      </c>
      <c r="E367" s="115">
        <v>40691</v>
      </c>
      <c r="F367" s="116" t="s">
        <v>824</v>
      </c>
      <c r="G367" s="224" t="s">
        <v>795</v>
      </c>
      <c r="H367" s="4" t="s">
        <v>709</v>
      </c>
      <c r="I367" s="141">
        <v>12</v>
      </c>
      <c r="J367" s="141">
        <v>19788</v>
      </c>
      <c r="K367" s="238">
        <v>237456</v>
      </c>
      <c r="L367" s="118" t="s">
        <v>237</v>
      </c>
      <c r="M367" s="118" t="s">
        <v>163</v>
      </c>
      <c r="N367" s="25" t="str">
        <f>IF(AND('331-CT'!$E$7=TH!H367,OR(L367="331",M367="331")),"331",IF(AND(OR(L367="131",M367="131"),H367='131-CT'!$E$7),"131",""))</f>
        <v>131</v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310"/>
    </row>
    <row r="368" spans="1:26" ht="15.75" customHeight="1">
      <c r="A368" s="125" t="str">
        <f>IF(B368&lt;&gt;"",IF(AND(B368&gt;=_TM1,B368&lt;=_TM2,OR(TH!L368="1111",TH!M368="1111")),TH!D368,""),"")</f>
        <v/>
      </c>
      <c r="B368" s="11">
        <f t="shared" si="29"/>
        <v>5</v>
      </c>
      <c r="C368" s="115">
        <v>40691</v>
      </c>
      <c r="D368" s="115" t="s">
        <v>914</v>
      </c>
      <c r="E368" s="115">
        <v>40691</v>
      </c>
      <c r="F368" s="116" t="s">
        <v>825</v>
      </c>
      <c r="G368" s="224" t="s">
        <v>795</v>
      </c>
      <c r="H368" s="4" t="s">
        <v>709</v>
      </c>
      <c r="I368" s="141">
        <v>9</v>
      </c>
      <c r="J368" s="141">
        <v>8450</v>
      </c>
      <c r="K368" s="238">
        <v>76050</v>
      </c>
      <c r="L368" s="118" t="s">
        <v>237</v>
      </c>
      <c r="M368" s="118" t="s">
        <v>163</v>
      </c>
      <c r="N368" s="25" t="str">
        <f>IF(AND('331-CT'!$E$7=TH!H368,OR(L368="331",M368="331")),"331",IF(AND(OR(L368="131",M368="131"),H368='131-CT'!$E$7),"131",""))</f>
        <v>131</v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310"/>
    </row>
    <row r="369" spans="1:26" ht="15.75" customHeight="1">
      <c r="A369" s="125" t="str">
        <f>IF(B369&lt;&gt;"",IF(AND(B369&gt;=_TM1,B369&lt;=_TM2,OR(TH!L369="1111",TH!M369="1111")),TH!D369,""),"")</f>
        <v/>
      </c>
      <c r="B369" s="11">
        <f t="shared" si="29"/>
        <v>5</v>
      </c>
      <c r="C369" s="115">
        <v>40691</v>
      </c>
      <c r="D369" s="115" t="s">
        <v>914</v>
      </c>
      <c r="E369" s="115">
        <v>40691</v>
      </c>
      <c r="F369" s="116" t="s">
        <v>826</v>
      </c>
      <c r="G369" s="224" t="s">
        <v>795</v>
      </c>
      <c r="H369" s="4" t="s">
        <v>709</v>
      </c>
      <c r="I369" s="141">
        <v>8</v>
      </c>
      <c r="J369" s="141">
        <v>10110</v>
      </c>
      <c r="K369" s="238">
        <v>80880</v>
      </c>
      <c r="L369" s="118" t="s">
        <v>237</v>
      </c>
      <c r="M369" s="118" t="s">
        <v>163</v>
      </c>
      <c r="N369" s="25" t="str">
        <f>IF(AND('331-CT'!$E$7=TH!H369,OR(L369="331",M369="331")),"331",IF(AND(OR(L369="131",M369="131"),H369='131-CT'!$E$7),"131",""))</f>
        <v>131</v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310"/>
    </row>
    <row r="370" spans="1:26" ht="15.75" customHeight="1">
      <c r="A370" s="125" t="str">
        <f>IF(B370&lt;&gt;"",IF(AND(B370&gt;=_TM1,B370&lt;=_TM2,OR(TH!L370="1111",TH!M370="1111")),TH!D370,""),"")</f>
        <v/>
      </c>
      <c r="B370" s="11">
        <f t="shared" si="29"/>
        <v>5</v>
      </c>
      <c r="C370" s="115">
        <v>40691</v>
      </c>
      <c r="D370" s="115" t="s">
        <v>914</v>
      </c>
      <c r="E370" s="115">
        <v>40691</v>
      </c>
      <c r="F370" s="116" t="s">
        <v>827</v>
      </c>
      <c r="G370" s="224" t="s">
        <v>795</v>
      </c>
      <c r="H370" s="4" t="s">
        <v>709</v>
      </c>
      <c r="I370" s="141">
        <v>7</v>
      </c>
      <c r="J370" s="141">
        <v>10345</v>
      </c>
      <c r="K370" s="238">
        <v>72415</v>
      </c>
      <c r="L370" s="118" t="s">
        <v>237</v>
      </c>
      <c r="M370" s="118" t="s">
        <v>163</v>
      </c>
      <c r="N370" s="25" t="str">
        <f>IF(AND('331-CT'!$E$7=TH!H370,OR(L370="331",M370="331")),"331",IF(AND(OR(L370="131",M370="131"),H370='131-CT'!$E$7),"131",""))</f>
        <v>131</v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310"/>
    </row>
    <row r="371" spans="1:26" ht="15.75" customHeight="1">
      <c r="A371" s="125" t="str">
        <f>IF(B371&lt;&gt;"",IF(AND(B371&gt;=_TM1,B371&lt;=_TM2,OR(TH!L371="1111",TH!M371="1111")),TH!D371,""),"")</f>
        <v/>
      </c>
      <c r="B371" s="11">
        <f t="shared" si="29"/>
        <v>5</v>
      </c>
      <c r="C371" s="115">
        <v>40691</v>
      </c>
      <c r="D371" s="115" t="s">
        <v>914</v>
      </c>
      <c r="E371" s="115">
        <v>40691</v>
      </c>
      <c r="F371" s="116" t="s">
        <v>828</v>
      </c>
      <c r="G371" s="224" t="s">
        <v>795</v>
      </c>
      <c r="H371" s="4" t="s">
        <v>709</v>
      </c>
      <c r="I371" s="141">
        <v>13</v>
      </c>
      <c r="J371" s="141">
        <v>12672</v>
      </c>
      <c r="K371" s="238">
        <v>164736</v>
      </c>
      <c r="L371" s="118" t="s">
        <v>237</v>
      </c>
      <c r="M371" s="118" t="s">
        <v>163</v>
      </c>
      <c r="N371" s="25" t="str">
        <f>IF(AND('331-CT'!$E$7=TH!H371,OR(L371="331",M371="331")),"331",IF(AND(OR(L371="131",M371="131"),H371='131-CT'!$E$7),"131",""))</f>
        <v>131</v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310"/>
    </row>
    <row r="372" spans="1:26" ht="15.75" customHeight="1">
      <c r="A372" s="125" t="str">
        <f>IF(B372&lt;&gt;"",IF(AND(B372&gt;=_TM1,B372&lt;=_TM2,OR(TH!L372="1111",TH!M372="1111")),TH!D372,""),"")</f>
        <v/>
      </c>
      <c r="B372" s="11">
        <f t="shared" si="29"/>
        <v>5</v>
      </c>
      <c r="C372" s="115">
        <v>40691</v>
      </c>
      <c r="D372" s="115" t="s">
        <v>914</v>
      </c>
      <c r="E372" s="115">
        <v>40691</v>
      </c>
      <c r="F372" s="116" t="s">
        <v>796</v>
      </c>
      <c r="G372" s="224" t="s">
        <v>795</v>
      </c>
      <c r="H372" s="4" t="s">
        <v>709</v>
      </c>
      <c r="I372" s="141"/>
      <c r="J372" s="141"/>
      <c r="K372" s="238">
        <v>297561</v>
      </c>
      <c r="L372" s="118" t="s">
        <v>237</v>
      </c>
      <c r="M372" s="118" t="s">
        <v>707</v>
      </c>
      <c r="N372" s="25" t="str">
        <f>IF(AND('331-CT'!$E$7=TH!H372,OR(L372="331",M372="331")),"331",IF(AND(OR(L372="131",M372="131"),H372='131-CT'!$E$7),"131",""))</f>
        <v>131</v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310"/>
    </row>
    <row r="373" spans="1:26" ht="15.75" customHeight="1">
      <c r="A373" s="125" t="str">
        <f>IF(B373&lt;&gt;"",IF(AND(B373&gt;=_TM1,B373&lt;=_TM2,OR(TH!L373="1111",TH!M373="1111")),TH!D373,""),"")</f>
        <v/>
      </c>
      <c r="B373" s="11">
        <f t="shared" si="29"/>
        <v>5</v>
      </c>
      <c r="C373" s="115">
        <v>40691</v>
      </c>
      <c r="D373" s="115" t="s">
        <v>915</v>
      </c>
      <c r="E373" s="115">
        <v>40691</v>
      </c>
      <c r="F373" s="116" t="s">
        <v>830</v>
      </c>
      <c r="G373" s="224" t="s">
        <v>808</v>
      </c>
      <c r="H373" s="4" t="s">
        <v>709</v>
      </c>
      <c r="I373" s="141">
        <v>5</v>
      </c>
      <c r="J373" s="141">
        <v>12304</v>
      </c>
      <c r="K373" s="238">
        <v>61520</v>
      </c>
      <c r="L373" s="118" t="s">
        <v>237</v>
      </c>
      <c r="M373" s="118" t="s">
        <v>163</v>
      </c>
      <c r="N373" s="25" t="str">
        <f>IF(AND('331-CT'!$E$7=TH!H373,OR(L373="331",M373="331")),"331",IF(AND(OR(L373="131",M373="131"),H373='131-CT'!$E$7),"131",""))</f>
        <v>131</v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310"/>
    </row>
    <row r="374" spans="1:26" ht="15.75" customHeight="1">
      <c r="A374" s="125" t="str">
        <f>IF(B374&lt;&gt;"",IF(AND(B374&gt;=_TM1,B374&lt;=_TM2,OR(TH!L374="1111",TH!M374="1111")),TH!D374,""),"")</f>
        <v/>
      </c>
      <c r="B374" s="11">
        <f t="shared" si="29"/>
        <v>5</v>
      </c>
      <c r="C374" s="115">
        <v>40691</v>
      </c>
      <c r="D374" s="115" t="s">
        <v>915</v>
      </c>
      <c r="E374" s="115">
        <v>40691</v>
      </c>
      <c r="F374" s="116" t="s">
        <v>831</v>
      </c>
      <c r="G374" s="224" t="s">
        <v>808</v>
      </c>
      <c r="H374" s="4" t="s">
        <v>709</v>
      </c>
      <c r="I374" s="141">
        <v>22</v>
      </c>
      <c r="J374" s="141">
        <v>18862</v>
      </c>
      <c r="K374" s="238">
        <v>414964</v>
      </c>
      <c r="L374" s="118" t="s">
        <v>237</v>
      </c>
      <c r="M374" s="118" t="s">
        <v>163</v>
      </c>
      <c r="N374" s="25" t="str">
        <f>IF(AND('331-CT'!$E$7=TH!H374,OR(L374="331",M374="331")),"331",IF(AND(OR(L374="131",M374="131"),H374='131-CT'!$E$7),"131",""))</f>
        <v>131</v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310"/>
    </row>
    <row r="375" spans="1:26" ht="15.75" customHeight="1">
      <c r="A375" s="125" t="str">
        <f>IF(B375&lt;&gt;"",IF(AND(B375&gt;=_TM1,B375&lt;=_TM2,OR(TH!L375="1111",TH!M375="1111")),TH!D375,""),"")</f>
        <v/>
      </c>
      <c r="B375" s="11">
        <f t="shared" si="29"/>
        <v>5</v>
      </c>
      <c r="C375" s="115">
        <v>40691</v>
      </c>
      <c r="D375" s="115" t="s">
        <v>915</v>
      </c>
      <c r="E375" s="115">
        <v>40691</v>
      </c>
      <c r="F375" s="116" t="s">
        <v>832</v>
      </c>
      <c r="G375" s="224" t="s">
        <v>808</v>
      </c>
      <c r="H375" s="4" t="s">
        <v>709</v>
      </c>
      <c r="I375" s="141">
        <v>245</v>
      </c>
      <c r="J375" s="141">
        <v>9989</v>
      </c>
      <c r="K375" s="238">
        <v>2447305</v>
      </c>
      <c r="L375" s="118" t="s">
        <v>237</v>
      </c>
      <c r="M375" s="118" t="s">
        <v>163</v>
      </c>
      <c r="N375" s="25" t="str">
        <f>IF(AND('331-CT'!$E$7=TH!H375,OR(L375="331",M375="331")),"331",IF(AND(OR(L375="131",M375="131"),H375='131-CT'!$E$7),"131",""))</f>
        <v>131</v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310"/>
    </row>
    <row r="376" spans="1:26" ht="15.75" customHeight="1">
      <c r="A376" s="125" t="str">
        <f>IF(B376&lt;&gt;"",IF(AND(B376&gt;=_TM1,B376&lt;=_TM2,OR(TH!L376="1111",TH!M376="1111")),TH!D376,""),"")</f>
        <v/>
      </c>
      <c r="B376" s="11">
        <f t="shared" si="29"/>
        <v>5</v>
      </c>
      <c r="C376" s="115">
        <v>40691</v>
      </c>
      <c r="D376" s="115" t="s">
        <v>915</v>
      </c>
      <c r="E376" s="115">
        <v>40691</v>
      </c>
      <c r="F376" s="116" t="s">
        <v>833</v>
      </c>
      <c r="G376" s="224" t="s">
        <v>808</v>
      </c>
      <c r="H376" s="4" t="s">
        <v>709</v>
      </c>
      <c r="I376" s="141">
        <v>429</v>
      </c>
      <c r="J376" s="141">
        <v>25535</v>
      </c>
      <c r="K376" s="238">
        <v>10954515</v>
      </c>
      <c r="L376" s="118" t="s">
        <v>237</v>
      </c>
      <c r="M376" s="118" t="s">
        <v>163</v>
      </c>
      <c r="N376" s="25" t="str">
        <f>IF(AND('331-CT'!$E$7=TH!H376,OR(L376="331",M376="331")),"331",IF(AND(OR(L376="131",M376="131"),H376='131-CT'!$E$7),"131",""))</f>
        <v>131</v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310"/>
    </row>
    <row r="377" spans="1:26" ht="15.75" customHeight="1">
      <c r="A377" s="125" t="str">
        <f>IF(B377&lt;&gt;"",IF(AND(B377&gt;=_TM1,B377&lt;=_TM2,OR(TH!L377="1111",TH!M377="1111")),TH!D377,""),"")</f>
        <v/>
      </c>
      <c r="B377" s="11">
        <f t="shared" si="29"/>
        <v>5</v>
      </c>
      <c r="C377" s="115">
        <v>40691</v>
      </c>
      <c r="D377" s="115" t="s">
        <v>915</v>
      </c>
      <c r="E377" s="115">
        <v>40691</v>
      </c>
      <c r="F377" s="116" t="s">
        <v>821</v>
      </c>
      <c r="G377" s="224" t="s">
        <v>808</v>
      </c>
      <c r="H377" s="4" t="s">
        <v>709</v>
      </c>
      <c r="I377" s="141">
        <v>22</v>
      </c>
      <c r="J377" s="141">
        <v>17979</v>
      </c>
      <c r="K377" s="238">
        <v>395538</v>
      </c>
      <c r="L377" s="118" t="s">
        <v>237</v>
      </c>
      <c r="M377" s="118" t="s">
        <v>163</v>
      </c>
      <c r="N377" s="25" t="str">
        <f>IF(AND('331-CT'!$E$7=TH!H377,OR(L377="331",M377="331")),"331",IF(AND(OR(L377="131",M377="131"),H377='131-CT'!$E$7),"131",""))</f>
        <v>131</v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310"/>
    </row>
    <row r="378" spans="1:26" ht="15.75" customHeight="1">
      <c r="A378" s="125" t="str">
        <f>IF(B378&lt;&gt;"",IF(AND(B378&gt;=_TM1,B378&lt;=_TM2,OR(TH!L378="1111",TH!M378="1111")),TH!D378,""),"")</f>
        <v/>
      </c>
      <c r="B378" s="11">
        <f t="shared" si="29"/>
        <v>5</v>
      </c>
      <c r="C378" s="115">
        <v>40691</v>
      </c>
      <c r="D378" s="115" t="s">
        <v>915</v>
      </c>
      <c r="E378" s="115">
        <v>40691</v>
      </c>
      <c r="F378" s="116" t="s">
        <v>834</v>
      </c>
      <c r="G378" s="224" t="s">
        <v>808</v>
      </c>
      <c r="H378" s="4" t="s">
        <v>709</v>
      </c>
      <c r="I378" s="141">
        <v>4</v>
      </c>
      <c r="J378" s="141">
        <v>16852</v>
      </c>
      <c r="K378" s="238">
        <v>67408</v>
      </c>
      <c r="L378" s="118" t="s">
        <v>237</v>
      </c>
      <c r="M378" s="118" t="s">
        <v>163</v>
      </c>
      <c r="N378" s="25" t="str">
        <f>IF(AND('331-CT'!$E$7=TH!H378,OR(L378="331",M378="331")),"331",IF(AND(OR(L378="131",M378="131"),H378='131-CT'!$E$7),"131",""))</f>
        <v>131</v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310"/>
    </row>
    <row r="379" spans="1:26" ht="15.75" customHeight="1">
      <c r="A379" s="125" t="str">
        <f>IF(B379&lt;&gt;"",IF(AND(B379&gt;=_TM1,B379&lt;=_TM2,OR(TH!L379="1111",TH!M379="1111")),TH!D379,""),"")</f>
        <v/>
      </c>
      <c r="B379" s="11">
        <f t="shared" si="29"/>
        <v>5</v>
      </c>
      <c r="C379" s="115">
        <v>40691</v>
      </c>
      <c r="D379" s="115" t="s">
        <v>915</v>
      </c>
      <c r="E379" s="115">
        <v>40691</v>
      </c>
      <c r="F379" s="116" t="s">
        <v>835</v>
      </c>
      <c r="G379" s="224" t="s">
        <v>808</v>
      </c>
      <c r="H379" s="4" t="s">
        <v>709</v>
      </c>
      <c r="I379" s="141">
        <v>2</v>
      </c>
      <c r="J379" s="141">
        <v>16052</v>
      </c>
      <c r="K379" s="238">
        <v>32104</v>
      </c>
      <c r="L379" s="118" t="s">
        <v>237</v>
      </c>
      <c r="M379" s="118" t="s">
        <v>163</v>
      </c>
      <c r="N379" s="25" t="str">
        <f>IF(AND('331-CT'!$E$7=TH!H379,OR(L379="331",M379="331")),"331",IF(AND(OR(L379="131",M379="131"),H379='131-CT'!$E$7),"131",""))</f>
        <v>131</v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310"/>
    </row>
    <row r="380" spans="1:26" ht="15.75" customHeight="1">
      <c r="A380" s="125" t="str">
        <f>IF(B380&lt;&gt;"",IF(AND(B380&gt;=_TM1,B380&lt;=_TM2,OR(TH!L380="1111",TH!M380="1111")),TH!D380,""),"")</f>
        <v/>
      </c>
      <c r="B380" s="11">
        <f t="shared" si="29"/>
        <v>5</v>
      </c>
      <c r="C380" s="115">
        <v>40691</v>
      </c>
      <c r="D380" s="115" t="s">
        <v>915</v>
      </c>
      <c r="E380" s="115">
        <v>40691</v>
      </c>
      <c r="F380" s="116" t="s">
        <v>815</v>
      </c>
      <c r="G380" s="224" t="s">
        <v>808</v>
      </c>
      <c r="H380" s="4" t="s">
        <v>709</v>
      </c>
      <c r="I380" s="141">
        <v>3</v>
      </c>
      <c r="J380" s="141">
        <v>15770</v>
      </c>
      <c r="K380" s="238">
        <v>47310</v>
      </c>
      <c r="L380" s="118" t="s">
        <v>237</v>
      </c>
      <c r="M380" s="118" t="s">
        <v>163</v>
      </c>
      <c r="N380" s="25" t="str">
        <f>IF(AND('331-CT'!$E$7=TH!H380,OR(L380="331",M380="331")),"331",IF(AND(OR(L380="131",M380="131"),H380='131-CT'!$E$7),"131",""))</f>
        <v>131</v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310"/>
    </row>
    <row r="381" spans="1:26" ht="15.75" customHeight="1">
      <c r="A381" s="125" t="str">
        <f>IF(B381&lt;&gt;"",IF(AND(B381&gt;=_TM1,B381&lt;=_TM2,OR(TH!L381="1111",TH!M381="1111")),TH!D381,""),"")</f>
        <v/>
      </c>
      <c r="B381" s="11">
        <f t="shared" si="29"/>
        <v>5</v>
      </c>
      <c r="C381" s="115">
        <v>40691</v>
      </c>
      <c r="D381" s="115" t="s">
        <v>915</v>
      </c>
      <c r="E381" s="115">
        <v>40691</v>
      </c>
      <c r="F381" s="116" t="s">
        <v>796</v>
      </c>
      <c r="G381" s="224" t="s">
        <v>808</v>
      </c>
      <c r="H381" s="4" t="s">
        <v>709</v>
      </c>
      <c r="I381" s="141"/>
      <c r="J381" s="141"/>
      <c r="K381" s="238">
        <f>1442066+1</f>
        <v>1442067</v>
      </c>
      <c r="L381" s="118" t="s">
        <v>237</v>
      </c>
      <c r="M381" s="118" t="s">
        <v>707</v>
      </c>
      <c r="N381" s="25" t="str">
        <f>IF(AND('331-CT'!$E$7=TH!H381,OR(L381="331",M381="331")),"331",IF(AND(OR(L381="131",M381="131"),H381='131-CT'!$E$7),"131",""))</f>
        <v>131</v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310"/>
    </row>
    <row r="382" spans="1:26" ht="15.75" customHeight="1">
      <c r="A382" s="125" t="str">
        <f>IF(B382&lt;&gt;"",IF(AND(B382&gt;=_TM1,B382&lt;=_TM2,OR(TH!L382="1111",TH!M382="1111")),TH!D382,""),"")</f>
        <v/>
      </c>
      <c r="B382" s="11">
        <f t="shared" si="29"/>
        <v>5</v>
      </c>
      <c r="C382" s="115">
        <v>40691</v>
      </c>
      <c r="D382" s="115" t="s">
        <v>916</v>
      </c>
      <c r="E382" s="115">
        <v>40691</v>
      </c>
      <c r="F382" s="116" t="s">
        <v>819</v>
      </c>
      <c r="G382" s="224" t="s">
        <v>809</v>
      </c>
      <c r="H382" s="4" t="s">
        <v>709</v>
      </c>
      <c r="I382" s="141">
        <v>1</v>
      </c>
      <c r="J382" s="141">
        <v>15277</v>
      </c>
      <c r="K382" s="238">
        <v>15277</v>
      </c>
      <c r="L382" s="118" t="s">
        <v>237</v>
      </c>
      <c r="M382" s="118" t="s">
        <v>163</v>
      </c>
      <c r="N382" s="25" t="str">
        <f>IF(AND('331-CT'!$E$7=TH!H382,OR(L382="331",M382="331")),"331",IF(AND(OR(L382="131",M382="131"),H382='131-CT'!$E$7),"131",""))</f>
        <v>131</v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310"/>
    </row>
    <row r="383" spans="1:26" ht="15.75" customHeight="1">
      <c r="A383" s="125" t="str">
        <f>IF(B383&lt;&gt;"",IF(AND(B383&gt;=_TM1,B383&lt;=_TM2,OR(TH!L383="1111",TH!M383="1111")),TH!D383,""),"")</f>
        <v/>
      </c>
      <c r="B383" s="11">
        <f t="shared" si="29"/>
        <v>5</v>
      </c>
      <c r="C383" s="115">
        <v>40691</v>
      </c>
      <c r="D383" s="115" t="s">
        <v>916</v>
      </c>
      <c r="E383" s="115">
        <v>40691</v>
      </c>
      <c r="F383" s="116" t="s">
        <v>816</v>
      </c>
      <c r="G383" s="224" t="s">
        <v>809</v>
      </c>
      <c r="H383" s="4" t="s">
        <v>709</v>
      </c>
      <c r="I383" s="141">
        <v>5</v>
      </c>
      <c r="J383" s="141">
        <v>11002</v>
      </c>
      <c r="K383" s="238">
        <v>55010</v>
      </c>
      <c r="L383" s="118" t="s">
        <v>237</v>
      </c>
      <c r="M383" s="118" t="s">
        <v>163</v>
      </c>
      <c r="N383" s="25" t="str">
        <f>IF(AND('331-CT'!$E$7=TH!H383,OR(L383="331",M383="331")),"331",IF(AND(OR(L383="131",M383="131"),H383='131-CT'!$E$7),"131",""))</f>
        <v>131</v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310"/>
    </row>
    <row r="384" spans="1:26" ht="15.75" customHeight="1">
      <c r="A384" s="125" t="str">
        <f>IF(B384&lt;&gt;"",IF(AND(B384&gt;=_TM1,B384&lt;=_TM2,OR(TH!L384="1111",TH!M384="1111")),TH!D384,""),"")</f>
        <v/>
      </c>
      <c r="B384" s="11">
        <f t="shared" si="29"/>
        <v>5</v>
      </c>
      <c r="C384" s="115">
        <v>40691</v>
      </c>
      <c r="D384" s="115" t="s">
        <v>916</v>
      </c>
      <c r="E384" s="115">
        <v>40691</v>
      </c>
      <c r="F384" s="116" t="s">
        <v>839</v>
      </c>
      <c r="G384" s="224" t="s">
        <v>809</v>
      </c>
      <c r="H384" s="4" t="s">
        <v>709</v>
      </c>
      <c r="I384" s="141">
        <v>344</v>
      </c>
      <c r="J384" s="141">
        <v>19248</v>
      </c>
      <c r="K384" s="238">
        <v>6621312</v>
      </c>
      <c r="L384" s="118" t="s">
        <v>237</v>
      </c>
      <c r="M384" s="118" t="s">
        <v>163</v>
      </c>
      <c r="N384" s="25" t="str">
        <f>IF(AND('331-CT'!$E$7=TH!H384,OR(L384="331",M384="331")),"331",IF(AND(OR(L384="131",M384="131"),H384='131-CT'!$E$7),"131",""))</f>
        <v>131</v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310"/>
    </row>
    <row r="385" spans="1:26" ht="15.75" customHeight="1">
      <c r="A385" s="125" t="str">
        <f>IF(B385&lt;&gt;"",IF(AND(B385&gt;=_TM1,B385&lt;=_TM2,OR(TH!L385="1111",TH!M385="1111")),TH!D385,""),"")</f>
        <v/>
      </c>
      <c r="B385" s="11">
        <f t="shared" si="29"/>
        <v>5</v>
      </c>
      <c r="C385" s="115">
        <v>40691</v>
      </c>
      <c r="D385" s="115" t="s">
        <v>916</v>
      </c>
      <c r="E385" s="115">
        <v>40691</v>
      </c>
      <c r="F385" s="116" t="s">
        <v>837</v>
      </c>
      <c r="G385" s="224" t="s">
        <v>809</v>
      </c>
      <c r="H385" s="4" t="s">
        <v>709</v>
      </c>
      <c r="I385" s="141">
        <v>239</v>
      </c>
      <c r="J385" s="141">
        <v>6577</v>
      </c>
      <c r="K385" s="238">
        <v>1571903</v>
      </c>
      <c r="L385" s="118" t="s">
        <v>237</v>
      </c>
      <c r="M385" s="118" t="s">
        <v>163</v>
      </c>
      <c r="N385" s="25" t="str">
        <f>IF(AND('331-CT'!$E$7=TH!H385,OR(L385="331",M385="331")),"331",IF(AND(OR(L385="131",M385="131"),H385='131-CT'!$E$7),"131",""))</f>
        <v>131</v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310"/>
    </row>
    <row r="386" spans="1:26" ht="15.75" customHeight="1">
      <c r="A386" s="125" t="str">
        <f>IF(B386&lt;&gt;"",IF(AND(B386&gt;=_TM1,B386&lt;=_TM2,OR(TH!L386="1111",TH!M386="1111")),TH!D386,""),"")</f>
        <v/>
      </c>
      <c r="B386" s="11">
        <f t="shared" si="29"/>
        <v>5</v>
      </c>
      <c r="C386" s="115">
        <v>40691</v>
      </c>
      <c r="D386" s="115" t="s">
        <v>916</v>
      </c>
      <c r="E386" s="115">
        <v>40691</v>
      </c>
      <c r="F386" s="116" t="s">
        <v>838</v>
      </c>
      <c r="G386" s="224" t="s">
        <v>809</v>
      </c>
      <c r="H386" s="4" t="s">
        <v>709</v>
      </c>
      <c r="I386" s="141">
        <v>102</v>
      </c>
      <c r="J386" s="141">
        <v>4704</v>
      </c>
      <c r="K386" s="238">
        <v>479808</v>
      </c>
      <c r="L386" s="118" t="s">
        <v>237</v>
      </c>
      <c r="M386" s="118" t="s">
        <v>163</v>
      </c>
      <c r="N386" s="25" t="str">
        <f>IF(AND('331-CT'!$E$7=TH!H386,OR(L386="331",M386="331")),"331",IF(AND(OR(L386="131",M386="131"),H386='131-CT'!$E$7),"131",""))</f>
        <v>131</v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310"/>
    </row>
    <row r="387" spans="1:26" ht="15.75" customHeight="1">
      <c r="A387" s="125" t="str">
        <f>IF(B387&lt;&gt;"",IF(AND(B387&gt;=_TM1,B387&lt;=_TM2,OR(TH!L387="1111",TH!M387="1111")),TH!D387,""),"")</f>
        <v/>
      </c>
      <c r="B387" s="11">
        <f t="shared" si="29"/>
        <v>5</v>
      </c>
      <c r="C387" s="115">
        <v>40691</v>
      </c>
      <c r="D387" s="115" t="s">
        <v>916</v>
      </c>
      <c r="E387" s="115">
        <v>40691</v>
      </c>
      <c r="F387" s="116" t="s">
        <v>840</v>
      </c>
      <c r="G387" s="224" t="s">
        <v>809</v>
      </c>
      <c r="H387" s="4" t="s">
        <v>709</v>
      </c>
      <c r="I387" s="141">
        <v>24</v>
      </c>
      <c r="J387" s="141">
        <v>14056</v>
      </c>
      <c r="K387" s="238">
        <v>337344</v>
      </c>
      <c r="L387" s="118" t="s">
        <v>237</v>
      </c>
      <c r="M387" s="118" t="s">
        <v>163</v>
      </c>
      <c r="N387" s="25" t="str">
        <f>IF(AND('331-CT'!$E$7=TH!H387,OR(L387="331",M387="331")),"331",IF(AND(OR(L387="131",M387="131"),H387='131-CT'!$E$7),"131",""))</f>
        <v>131</v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310"/>
    </row>
    <row r="388" spans="1:26" ht="15.75" customHeight="1">
      <c r="A388" s="125" t="str">
        <f>IF(B388&lt;&gt;"",IF(AND(B388&gt;=_TM1,B388&lt;=_TM2,OR(TH!L388="1111",TH!M388="1111")),TH!D388,""),"")</f>
        <v/>
      </c>
      <c r="B388" s="11">
        <f t="shared" si="29"/>
        <v>5</v>
      </c>
      <c r="C388" s="115">
        <v>40691</v>
      </c>
      <c r="D388" s="115" t="s">
        <v>916</v>
      </c>
      <c r="E388" s="115">
        <v>40691</v>
      </c>
      <c r="F388" s="116" t="s">
        <v>833</v>
      </c>
      <c r="G388" s="224" t="s">
        <v>809</v>
      </c>
      <c r="H388" s="4" t="s">
        <v>709</v>
      </c>
      <c r="I388" s="141">
        <v>208</v>
      </c>
      <c r="J388" s="141">
        <v>25535</v>
      </c>
      <c r="K388" s="238">
        <v>5311280</v>
      </c>
      <c r="L388" s="118" t="s">
        <v>237</v>
      </c>
      <c r="M388" s="118" t="s">
        <v>163</v>
      </c>
      <c r="N388" s="25" t="str">
        <f>IF(AND('331-CT'!$E$7=TH!H388,OR(L388="331",M388="331")),"331",IF(AND(OR(L388="131",M388="131"),H388='131-CT'!$E$7),"131",""))</f>
        <v>131</v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310"/>
    </row>
    <row r="389" spans="1:26" ht="15.75" customHeight="1">
      <c r="A389" s="125" t="str">
        <f>IF(B389&lt;&gt;"",IF(AND(B389&gt;=_TM1,B389&lt;=_TM2,OR(TH!L389="1111",TH!M389="1111")),TH!D389,""),"")</f>
        <v/>
      </c>
      <c r="B389" s="11">
        <f t="shared" si="29"/>
        <v>5</v>
      </c>
      <c r="C389" s="115">
        <v>40691</v>
      </c>
      <c r="D389" s="115" t="s">
        <v>916</v>
      </c>
      <c r="E389" s="115">
        <v>40691</v>
      </c>
      <c r="F389" s="116" t="s">
        <v>841</v>
      </c>
      <c r="G389" s="224" t="s">
        <v>809</v>
      </c>
      <c r="H389" s="4" t="s">
        <v>709</v>
      </c>
      <c r="I389" s="141">
        <v>51</v>
      </c>
      <c r="J389" s="141">
        <v>27650</v>
      </c>
      <c r="K389" s="238">
        <v>1410150</v>
      </c>
      <c r="L389" s="118" t="s">
        <v>237</v>
      </c>
      <c r="M389" s="118" t="s">
        <v>163</v>
      </c>
      <c r="N389" s="25" t="str">
        <f>IF(AND('331-CT'!$E$7=TH!H389,OR(L389="331",M389="331")),"331",IF(AND(OR(L389="131",M389="131"),H389='131-CT'!$E$7),"131",""))</f>
        <v>131</v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310"/>
    </row>
    <row r="390" spans="1:26" ht="15.75" customHeight="1">
      <c r="A390" s="125" t="str">
        <f>IF(B390&lt;&gt;"",IF(AND(B390&gt;=_TM1,B390&lt;=_TM2,OR(TH!L390="1111",TH!M390="1111")),TH!D390,""),"")</f>
        <v/>
      </c>
      <c r="B390" s="11">
        <f t="shared" si="29"/>
        <v>5</v>
      </c>
      <c r="C390" s="115">
        <v>40691</v>
      </c>
      <c r="D390" s="115" t="s">
        <v>916</v>
      </c>
      <c r="E390" s="115">
        <v>40691</v>
      </c>
      <c r="F390" s="116" t="s">
        <v>796</v>
      </c>
      <c r="G390" s="224" t="s">
        <v>809</v>
      </c>
      <c r="H390" s="4" t="s">
        <v>709</v>
      </c>
      <c r="I390" s="141"/>
      <c r="J390" s="141"/>
      <c r="K390" s="238">
        <f>1580208+1</f>
        <v>1580209</v>
      </c>
      <c r="L390" s="118" t="s">
        <v>237</v>
      </c>
      <c r="M390" s="118" t="s">
        <v>707</v>
      </c>
      <c r="N390" s="25" t="str">
        <f>IF(AND('331-CT'!$E$7=TH!H390,OR(L390="331",M390="331")),"331",IF(AND(OR(L390="131",M390="131"),H390='131-CT'!$E$7),"131",""))</f>
        <v>131</v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310"/>
    </row>
    <row r="391" spans="1:26" ht="15.75" customHeight="1">
      <c r="A391" s="125" t="str">
        <f>IF(B391&lt;&gt;"",IF(AND(B391&gt;=_TM1,B391&lt;=_TM2,OR(TH!L391="1111",TH!M391="1111")),TH!D391,""),"")</f>
        <v/>
      </c>
      <c r="B391" s="11">
        <f t="shared" si="29"/>
        <v>5</v>
      </c>
      <c r="C391" s="115">
        <v>40691</v>
      </c>
      <c r="D391" s="115" t="s">
        <v>917</v>
      </c>
      <c r="E391" s="115">
        <v>40691</v>
      </c>
      <c r="F391" s="116" t="s">
        <v>843</v>
      </c>
      <c r="G391" s="224" t="s">
        <v>810</v>
      </c>
      <c r="H391" s="4" t="s">
        <v>709</v>
      </c>
      <c r="I391" s="141">
        <v>406</v>
      </c>
      <c r="J391" s="141">
        <v>26855</v>
      </c>
      <c r="K391" s="238">
        <v>10903130</v>
      </c>
      <c r="L391" s="118" t="s">
        <v>237</v>
      </c>
      <c r="M391" s="118" t="s">
        <v>163</v>
      </c>
      <c r="N391" s="25" t="str">
        <f>IF(AND('331-CT'!$E$7=TH!H391,OR(L391="331",M391="331")),"331",IF(AND(OR(L391="131",M391="131"),H391='131-CT'!$E$7),"131",""))</f>
        <v>131</v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310"/>
    </row>
    <row r="392" spans="1:26" ht="15.75" customHeight="1">
      <c r="A392" s="125" t="str">
        <f>IF(B392&lt;&gt;"",IF(AND(B392&gt;=_TM1,B392&lt;=_TM2,OR(TH!L392="1111",TH!M392="1111")),TH!D392,""),"")</f>
        <v/>
      </c>
      <c r="B392" s="11">
        <f t="shared" si="29"/>
        <v>5</v>
      </c>
      <c r="C392" s="115">
        <v>40691</v>
      </c>
      <c r="D392" s="115" t="s">
        <v>917</v>
      </c>
      <c r="E392" s="115">
        <v>40691</v>
      </c>
      <c r="F392" s="116" t="s">
        <v>844</v>
      </c>
      <c r="G392" s="224" t="s">
        <v>810</v>
      </c>
      <c r="H392" s="4" t="s">
        <v>709</v>
      </c>
      <c r="I392" s="141">
        <v>50</v>
      </c>
      <c r="J392" s="141">
        <v>5286</v>
      </c>
      <c r="K392" s="238">
        <v>264300</v>
      </c>
      <c r="L392" s="118" t="s">
        <v>237</v>
      </c>
      <c r="M392" s="118" t="s">
        <v>163</v>
      </c>
      <c r="N392" s="25" t="str">
        <f>IF(AND('331-CT'!$E$7=TH!H392,OR(L392="331",M392="331")),"331",IF(AND(OR(L392="131",M392="131"),H392='131-CT'!$E$7),"131",""))</f>
        <v>131</v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310"/>
    </row>
    <row r="393" spans="1:26" ht="15.75" customHeight="1">
      <c r="A393" s="125" t="str">
        <f>IF(B393&lt;&gt;"",IF(AND(B393&gt;=_TM1,B393&lt;=_TM2,OR(TH!L393="1111",TH!M393="1111")),TH!D393,""),"")</f>
        <v/>
      </c>
      <c r="B393" s="11">
        <f t="shared" si="29"/>
        <v>5</v>
      </c>
      <c r="C393" s="115">
        <v>40691</v>
      </c>
      <c r="D393" s="115" t="s">
        <v>917</v>
      </c>
      <c r="E393" s="115">
        <v>40691</v>
      </c>
      <c r="F393" s="116" t="s">
        <v>845</v>
      </c>
      <c r="G393" s="224" t="s">
        <v>810</v>
      </c>
      <c r="H393" s="4" t="s">
        <v>709</v>
      </c>
      <c r="I393" s="141">
        <v>68</v>
      </c>
      <c r="J393" s="141">
        <v>2734</v>
      </c>
      <c r="K393" s="238">
        <v>185912</v>
      </c>
      <c r="L393" s="118" t="s">
        <v>237</v>
      </c>
      <c r="M393" s="118" t="s">
        <v>163</v>
      </c>
      <c r="N393" s="25" t="str">
        <f>IF(AND('331-CT'!$E$7=TH!H393,OR(L393="331",M393="331")),"331",IF(AND(OR(L393="131",M393="131"),H393='131-CT'!$E$7),"131",""))</f>
        <v>131</v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21"/>
    </row>
    <row r="394" spans="1:26" ht="15.75" customHeight="1">
      <c r="A394" s="125" t="str">
        <f>IF(B394&lt;&gt;"",IF(AND(B394&gt;=_TM1,B394&lt;=_TM2,OR(TH!L394="1111",TH!M394="1111")),TH!D394,""),"")</f>
        <v/>
      </c>
      <c r="B394" s="11">
        <f t="shared" si="29"/>
        <v>5</v>
      </c>
      <c r="C394" s="115">
        <v>40691</v>
      </c>
      <c r="D394" s="115" t="s">
        <v>917</v>
      </c>
      <c r="E394" s="115">
        <v>40691</v>
      </c>
      <c r="F394" s="116" t="s">
        <v>846</v>
      </c>
      <c r="G394" s="224" t="s">
        <v>810</v>
      </c>
      <c r="H394" s="4" t="s">
        <v>709</v>
      </c>
      <c r="I394" s="141">
        <v>300</v>
      </c>
      <c r="J394" s="141">
        <v>3065</v>
      </c>
      <c r="K394" s="238">
        <v>919500</v>
      </c>
      <c r="L394" s="118" t="s">
        <v>237</v>
      </c>
      <c r="M394" s="118" t="s">
        <v>163</v>
      </c>
      <c r="N394" s="25" t="str">
        <f>IF(AND('331-CT'!$E$7=TH!H394,OR(L394="331",M394="331")),"331",IF(AND(OR(L394="131",M394="131"),H394='131-CT'!$E$7),"131",""))</f>
        <v>131</v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21"/>
    </row>
    <row r="395" spans="1:26" ht="15.75" customHeight="1">
      <c r="A395" s="125" t="str">
        <f>IF(B395&lt;&gt;"",IF(AND(B395&gt;=_TM1,B395&lt;=_TM2,OR(TH!L395="1111",TH!M395="1111")),TH!D395,""),"")</f>
        <v/>
      </c>
      <c r="B395" s="11">
        <f t="shared" si="29"/>
        <v>5</v>
      </c>
      <c r="C395" s="115">
        <v>40691</v>
      </c>
      <c r="D395" s="115" t="s">
        <v>917</v>
      </c>
      <c r="E395" s="115">
        <v>40691</v>
      </c>
      <c r="F395" s="116" t="s">
        <v>847</v>
      </c>
      <c r="G395" s="224" t="s">
        <v>810</v>
      </c>
      <c r="H395" s="4" t="s">
        <v>709</v>
      </c>
      <c r="I395" s="141">
        <v>40</v>
      </c>
      <c r="J395" s="141">
        <v>3778</v>
      </c>
      <c r="K395" s="238">
        <v>151120</v>
      </c>
      <c r="L395" s="118" t="s">
        <v>237</v>
      </c>
      <c r="M395" s="118" t="s">
        <v>163</v>
      </c>
      <c r="N395" s="25" t="str">
        <f>IF(AND('331-CT'!$E$7=TH!H395,OR(L395="331",M395="331")),"331",IF(AND(OR(L395="131",M395="131"),H395='131-CT'!$E$7),"131",""))</f>
        <v>131</v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21"/>
    </row>
    <row r="396" spans="1:26" ht="15.75" customHeight="1">
      <c r="A396" s="125" t="str">
        <f>IF(B396&lt;&gt;"",IF(AND(B396&gt;=_TM1,B396&lt;=_TM2,OR(TH!L396="1111",TH!M396="1111")),TH!D396,""),"")</f>
        <v/>
      </c>
      <c r="B396" s="11">
        <f t="shared" si="29"/>
        <v>5</v>
      </c>
      <c r="C396" s="115">
        <v>40691</v>
      </c>
      <c r="D396" s="115" t="s">
        <v>917</v>
      </c>
      <c r="E396" s="115">
        <v>40691</v>
      </c>
      <c r="F396" s="116" t="s">
        <v>848</v>
      </c>
      <c r="G396" s="224" t="s">
        <v>810</v>
      </c>
      <c r="H396" s="4" t="s">
        <v>709</v>
      </c>
      <c r="I396" s="143">
        <v>34</v>
      </c>
      <c r="J396" s="143">
        <v>4913</v>
      </c>
      <c r="K396" s="238">
        <v>167042</v>
      </c>
      <c r="L396" s="118" t="s">
        <v>237</v>
      </c>
      <c r="M396" s="118" t="s">
        <v>163</v>
      </c>
      <c r="N396" s="25" t="str">
        <f>IF(AND('331-CT'!$E$7=TH!H396,OR(L396="331",M396="331")),"331",IF(AND(OR(L396="131",M396="131"),H396='131-CT'!$E$7),"131",""))</f>
        <v>131</v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21"/>
    </row>
    <row r="397" spans="1:26" ht="15.75" customHeight="1">
      <c r="A397" s="125" t="str">
        <f>IF(B397&lt;&gt;"",IF(AND(B397&gt;=_TM1,B397&lt;=_TM2,OR(TH!L397="1111",TH!M397="1111")),TH!D397,""),"")</f>
        <v/>
      </c>
      <c r="B397" s="11">
        <f t="shared" si="29"/>
        <v>5</v>
      </c>
      <c r="C397" s="115">
        <v>40691</v>
      </c>
      <c r="D397" s="115" t="s">
        <v>917</v>
      </c>
      <c r="E397" s="115">
        <v>40691</v>
      </c>
      <c r="F397" s="116" t="s">
        <v>849</v>
      </c>
      <c r="G397" s="224" t="s">
        <v>810</v>
      </c>
      <c r="H397" s="4" t="s">
        <v>709</v>
      </c>
      <c r="I397" s="141">
        <v>140</v>
      </c>
      <c r="J397" s="141">
        <v>4320</v>
      </c>
      <c r="K397" s="238">
        <v>604800</v>
      </c>
      <c r="L397" s="118" t="s">
        <v>237</v>
      </c>
      <c r="M397" s="118" t="s">
        <v>163</v>
      </c>
      <c r="N397" s="25" t="str">
        <f>IF(AND('331-CT'!$E$7=TH!H397,OR(L397="331",M397="331")),"331",IF(AND(OR(L397="131",M397="131"),H397='131-CT'!$E$7),"131",""))</f>
        <v>131</v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21"/>
    </row>
    <row r="398" spans="1:26" ht="15.75" customHeight="1">
      <c r="A398" s="125" t="str">
        <f>IF(B398&lt;&gt;"",IF(AND(B398&gt;=_TM1,B398&lt;=_TM2,OR(TH!L398="1111",TH!M398="1111")),TH!D398,""),"")</f>
        <v/>
      </c>
      <c r="B398" s="11">
        <f t="shared" si="29"/>
        <v>5</v>
      </c>
      <c r="C398" s="115">
        <v>40691</v>
      </c>
      <c r="D398" s="115" t="s">
        <v>917</v>
      </c>
      <c r="E398" s="115">
        <v>40691</v>
      </c>
      <c r="F398" s="116" t="s">
        <v>850</v>
      </c>
      <c r="G398" s="224" t="s">
        <v>810</v>
      </c>
      <c r="H398" s="4" t="s">
        <v>709</v>
      </c>
      <c r="I398" s="141">
        <v>140</v>
      </c>
      <c r="J398" s="141">
        <v>11516</v>
      </c>
      <c r="K398" s="238">
        <v>1612240</v>
      </c>
      <c r="L398" s="118" t="s">
        <v>237</v>
      </c>
      <c r="M398" s="118" t="s">
        <v>163</v>
      </c>
      <c r="N398" s="25" t="str">
        <f>IF(AND('331-CT'!$E$7=TH!H398,OR(L398="331",M398="331")),"331",IF(AND(OR(L398="131",M398="131"),H398='131-CT'!$E$7),"131",""))</f>
        <v>131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21"/>
    </row>
    <row r="399" spans="1:26" ht="15.75" customHeight="1">
      <c r="A399" s="125" t="str">
        <f>IF(B399&lt;&gt;"",IF(AND(B399&gt;=_TM1,B399&lt;=_TM2,OR(TH!L399="1111",TH!M399="1111")),TH!D399,""),"")</f>
        <v/>
      </c>
      <c r="B399" s="11">
        <f t="shared" si="29"/>
        <v>5</v>
      </c>
      <c r="C399" s="115">
        <v>40691</v>
      </c>
      <c r="D399" s="115" t="s">
        <v>917</v>
      </c>
      <c r="E399" s="115">
        <v>40691</v>
      </c>
      <c r="F399" s="116" t="s">
        <v>796</v>
      </c>
      <c r="G399" s="224" t="s">
        <v>810</v>
      </c>
      <c r="H399" s="4" t="s">
        <v>709</v>
      </c>
      <c r="I399" s="143"/>
      <c r="J399" s="143"/>
      <c r="K399" s="238">
        <f>1480804+1</f>
        <v>1480805</v>
      </c>
      <c r="L399" s="118" t="s">
        <v>237</v>
      </c>
      <c r="M399" s="118" t="s">
        <v>707</v>
      </c>
      <c r="N399" s="25" t="str">
        <f>IF(AND('331-CT'!$E$7=TH!H399,OR(L399="331",M399="331")),"331",IF(AND(OR(L399="131",M399="131"),H399='131-CT'!$E$7),"131",""))</f>
        <v>131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310"/>
    </row>
    <row r="400" spans="1:26" ht="15.75" customHeight="1">
      <c r="A400" s="125" t="str">
        <f>IF(B400&lt;&gt;"",IF(AND(B400&gt;=_TM1,B400&lt;=_TM2,OR(TH!L400="1111",TH!M400="1111")),TH!D400,""),"")</f>
        <v/>
      </c>
      <c r="B400" s="11">
        <f t="shared" si="29"/>
        <v>5</v>
      </c>
      <c r="C400" s="115">
        <v>40691</v>
      </c>
      <c r="D400" s="115" t="s">
        <v>918</v>
      </c>
      <c r="E400" s="115">
        <v>40691</v>
      </c>
      <c r="F400" s="116" t="s">
        <v>840</v>
      </c>
      <c r="G400" s="224" t="s">
        <v>811</v>
      </c>
      <c r="H400" s="4" t="s">
        <v>709</v>
      </c>
      <c r="I400" s="141">
        <v>10</v>
      </c>
      <c r="J400" s="141">
        <v>14056</v>
      </c>
      <c r="K400" s="238">
        <v>140560</v>
      </c>
      <c r="L400" s="118" t="s">
        <v>237</v>
      </c>
      <c r="M400" s="118" t="s">
        <v>163</v>
      </c>
      <c r="N400" s="25" t="str">
        <f>IF(AND('331-CT'!$E$7=TH!H400,OR(L400="331",M400="331")),"331",IF(AND(OR(L400="131",M400="131"),H400='131-CT'!$E$7),"131",""))</f>
        <v>131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310"/>
    </row>
    <row r="401" spans="1:26" ht="15.75" customHeight="1">
      <c r="A401" s="125" t="str">
        <f>IF(B401&lt;&gt;"",IF(AND(B401&gt;=_TM1,B401&lt;=_TM2,OR(TH!L401="1111",TH!M401="1111")),TH!D401,""),"")</f>
        <v/>
      </c>
      <c r="B401" s="11">
        <f t="shared" si="29"/>
        <v>5</v>
      </c>
      <c r="C401" s="115">
        <v>40691</v>
      </c>
      <c r="D401" s="115" t="s">
        <v>918</v>
      </c>
      <c r="E401" s="115">
        <v>40691</v>
      </c>
      <c r="F401" s="116" t="s">
        <v>851</v>
      </c>
      <c r="G401" s="224" t="s">
        <v>811</v>
      </c>
      <c r="H401" s="4" t="s">
        <v>709</v>
      </c>
      <c r="I401" s="141">
        <v>68</v>
      </c>
      <c r="J401" s="141">
        <v>10433</v>
      </c>
      <c r="K401" s="238">
        <v>709444</v>
      </c>
      <c r="L401" s="118" t="s">
        <v>237</v>
      </c>
      <c r="M401" s="118" t="s">
        <v>163</v>
      </c>
      <c r="N401" s="25" t="str">
        <f>IF(AND('331-CT'!$E$7=TH!H401,OR(L401="331",M401="331")),"331",IF(AND(OR(L401="131",M401="131"),H401='131-CT'!$E$7),"131",""))</f>
        <v>131</v>
      </c>
      <c r="O401" s="25" t="str">
        <f>IF(AND($B401&gt;='111'!$N$11,$B401&lt;='111'!$O$11,OR($L401=$O$7,$M401=$O$7)),"x","")</f>
        <v/>
      </c>
      <c r="P401" s="25" t="str">
        <f>IF(AND($L401=$O$7,$B401&lt;'111'!$N$11),"x","")</f>
        <v/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310"/>
    </row>
    <row r="402" spans="1:26" ht="15.75" customHeight="1">
      <c r="A402" s="125" t="str">
        <f>IF(B402&lt;&gt;"",IF(AND(B402&gt;=_TM1,B402&lt;=_TM2,OR(TH!L402="1111",TH!M402="1111")),TH!D402,""),"")</f>
        <v/>
      </c>
      <c r="B402" s="11">
        <f t="shared" si="29"/>
        <v>5</v>
      </c>
      <c r="C402" s="115">
        <v>40691</v>
      </c>
      <c r="D402" s="115" t="s">
        <v>918</v>
      </c>
      <c r="E402" s="115">
        <v>40691</v>
      </c>
      <c r="F402" s="116" t="s">
        <v>852</v>
      </c>
      <c r="G402" s="224" t="s">
        <v>811</v>
      </c>
      <c r="H402" s="4" t="s">
        <v>709</v>
      </c>
      <c r="I402" s="141">
        <v>300</v>
      </c>
      <c r="J402" s="141">
        <v>13172</v>
      </c>
      <c r="K402" s="238">
        <v>3951600</v>
      </c>
      <c r="L402" s="118" t="s">
        <v>237</v>
      </c>
      <c r="M402" s="118" t="s">
        <v>163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310"/>
    </row>
    <row r="403" spans="1:26" ht="15.75" customHeight="1">
      <c r="A403" s="125" t="str">
        <f>IF(B403&lt;&gt;"",IF(AND(B403&gt;=_TM1,B403&lt;=_TM2,OR(TH!L403="1111",TH!M403="1111")),TH!D403,""),"")</f>
        <v/>
      </c>
      <c r="B403" s="11">
        <f t="shared" si="29"/>
        <v>5</v>
      </c>
      <c r="C403" s="115">
        <v>40691</v>
      </c>
      <c r="D403" s="115" t="s">
        <v>918</v>
      </c>
      <c r="E403" s="115">
        <v>40691</v>
      </c>
      <c r="F403" s="116" t="s">
        <v>853</v>
      </c>
      <c r="G403" s="224" t="s">
        <v>811</v>
      </c>
      <c r="H403" s="4" t="s">
        <v>709</v>
      </c>
      <c r="I403" s="141">
        <v>40</v>
      </c>
      <c r="J403" s="141">
        <v>15040</v>
      </c>
      <c r="K403" s="238">
        <v>601600</v>
      </c>
      <c r="L403" s="118" t="s">
        <v>237</v>
      </c>
      <c r="M403" s="118" t="s">
        <v>163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310"/>
    </row>
    <row r="404" spans="1:26" ht="15.75" customHeight="1">
      <c r="A404" s="125" t="str">
        <f>IF(B404&lt;&gt;"",IF(AND(B404&gt;=_TM1,B404&lt;=_TM2,OR(TH!L404="1111",TH!M404="1111")),TH!D404,""),"")</f>
        <v/>
      </c>
      <c r="B404" s="11">
        <f t="shared" si="29"/>
        <v>5</v>
      </c>
      <c r="C404" s="115">
        <v>40691</v>
      </c>
      <c r="D404" s="115" t="s">
        <v>918</v>
      </c>
      <c r="E404" s="115">
        <v>40691</v>
      </c>
      <c r="F404" s="116" t="s">
        <v>796</v>
      </c>
      <c r="G404" s="224" t="s">
        <v>811</v>
      </c>
      <c r="H404" s="4" t="s">
        <v>709</v>
      </c>
      <c r="I404" s="143"/>
      <c r="J404" s="143"/>
      <c r="K404" s="238">
        <f>540320+1</f>
        <v>540321</v>
      </c>
      <c r="L404" s="118" t="s">
        <v>237</v>
      </c>
      <c r="M404" s="118" t="s">
        <v>707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310"/>
    </row>
    <row r="405" spans="1:26" ht="15.75" customHeight="1">
      <c r="A405" s="125" t="str">
        <f>IF(B405&lt;&gt;"",IF(AND(B405&gt;=_TM1,B405&lt;=_TM2,OR(TH!L405="1111",TH!M405="1111")),TH!D405,""),"")</f>
        <v/>
      </c>
      <c r="B405" s="11">
        <f t="shared" si="29"/>
        <v>5</v>
      </c>
      <c r="C405" s="115">
        <v>40691</v>
      </c>
      <c r="D405" s="115" t="s">
        <v>913</v>
      </c>
      <c r="E405" s="115">
        <v>40691</v>
      </c>
      <c r="F405" s="116" t="s">
        <v>718</v>
      </c>
      <c r="G405" s="224" t="s">
        <v>794</v>
      </c>
      <c r="H405" s="4" t="s">
        <v>709</v>
      </c>
      <c r="I405" s="141">
        <v>181</v>
      </c>
      <c r="J405" s="141">
        <v>18284.513812154695</v>
      </c>
      <c r="K405" s="238">
        <f t="shared" ref="K405:K436" si="30">ROUND(I405*J405,0)</f>
        <v>3309497</v>
      </c>
      <c r="L405" s="319" t="s">
        <v>161</v>
      </c>
      <c r="M405" s="319" t="s">
        <v>155</v>
      </c>
      <c r="N405" s="25" t="str">
        <f>IF(AND('331-CT'!$E$7=TH!H405,OR(L405="331",M405="331")),"331",IF(AND(OR(L405="131",M405="131"),H405='131-CT'!$E$7),"131",""))</f>
        <v/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310"/>
    </row>
    <row r="406" spans="1:26" ht="15.75" customHeight="1">
      <c r="A406" s="125" t="str">
        <f>IF(B406&lt;&gt;"",IF(AND(B406&gt;=_TM1,B406&lt;=_TM2,OR(TH!L406="1111",TH!M406="1111")),TH!D406,""),"")</f>
        <v/>
      </c>
      <c r="B406" s="11">
        <f t="shared" ref="B406:B469" si="31">IF(C406&lt;&gt;"",MONTH(C406),"")</f>
        <v>5</v>
      </c>
      <c r="C406" s="115">
        <v>40691</v>
      </c>
      <c r="D406" s="115" t="s">
        <v>913</v>
      </c>
      <c r="E406" s="115">
        <v>40691</v>
      </c>
      <c r="F406" s="116" t="s">
        <v>814</v>
      </c>
      <c r="G406" s="224" t="s">
        <v>794</v>
      </c>
      <c r="H406" s="4" t="s">
        <v>709</v>
      </c>
      <c r="I406" s="141">
        <v>254</v>
      </c>
      <c r="J406" s="141">
        <v>2480.51968503937</v>
      </c>
      <c r="K406" s="238">
        <f t="shared" si="30"/>
        <v>630052</v>
      </c>
      <c r="L406" s="319" t="s">
        <v>161</v>
      </c>
      <c r="M406" s="319" t="s">
        <v>155</v>
      </c>
      <c r="N406" s="25" t="str">
        <f>IF(AND('331-CT'!$E$7=TH!H406,OR(L406="331",M406="331")),"331",IF(AND(OR(L406="131",M406="131"),H406='131-CT'!$E$7),"131",""))</f>
        <v/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310"/>
    </row>
    <row r="407" spans="1:26" ht="15.75" customHeight="1">
      <c r="A407" s="125" t="str">
        <f>IF(B407&lt;&gt;"",IF(AND(B407&gt;=_TM1,B407&lt;=_TM2,OR(TH!L407="1111",TH!M407="1111")),TH!D407,""),"")</f>
        <v/>
      </c>
      <c r="B407" s="11">
        <f t="shared" si="31"/>
        <v>5</v>
      </c>
      <c r="C407" s="115">
        <v>40691</v>
      </c>
      <c r="D407" s="115" t="s">
        <v>913</v>
      </c>
      <c r="E407" s="115">
        <v>40691</v>
      </c>
      <c r="F407" s="116" t="s">
        <v>815</v>
      </c>
      <c r="G407" s="224" t="s">
        <v>794</v>
      </c>
      <c r="H407" s="4" t="s">
        <v>709</v>
      </c>
      <c r="I407" s="141">
        <v>408</v>
      </c>
      <c r="J407" s="141">
        <v>14206.571078431372</v>
      </c>
      <c r="K407" s="238">
        <f t="shared" si="30"/>
        <v>5796281</v>
      </c>
      <c r="L407" s="319" t="s">
        <v>161</v>
      </c>
      <c r="M407" s="319" t="s">
        <v>155</v>
      </c>
      <c r="N407" s="25" t="str">
        <f>IF(AND('331-CT'!$E$7=TH!H407,OR(L407="331",M407="331")),"331",IF(AND(OR(L407="131",M407="131"),H407='131-CT'!$E$7),"131",""))</f>
        <v/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310"/>
    </row>
    <row r="408" spans="1:26" ht="15.75" customHeight="1">
      <c r="A408" s="125" t="str">
        <f>IF(B408&lt;&gt;"",IF(AND(B408&gt;=_TM1,B408&lt;=_TM2,OR(TH!L408="1111",TH!M408="1111")),TH!D408,""),"")</f>
        <v/>
      </c>
      <c r="B408" s="11">
        <f t="shared" si="31"/>
        <v>5</v>
      </c>
      <c r="C408" s="115">
        <v>40691</v>
      </c>
      <c r="D408" s="115" t="s">
        <v>913</v>
      </c>
      <c r="E408" s="115">
        <v>40691</v>
      </c>
      <c r="F408" s="116" t="s">
        <v>816</v>
      </c>
      <c r="G408" s="224" t="s">
        <v>794</v>
      </c>
      <c r="H408" s="4" t="s">
        <v>709</v>
      </c>
      <c r="I408" s="141">
        <v>345</v>
      </c>
      <c r="J408" s="141">
        <v>9372.5130434782604</v>
      </c>
      <c r="K408" s="238">
        <f t="shared" si="30"/>
        <v>3233517</v>
      </c>
      <c r="L408" s="319" t="s">
        <v>161</v>
      </c>
      <c r="M408" s="319" t="s">
        <v>155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310"/>
    </row>
    <row r="409" spans="1:26" ht="15.75" customHeight="1">
      <c r="A409" s="125" t="str">
        <f>IF(B409&lt;&gt;"",IF(AND(B409&gt;=_TM1,B409&lt;=_TM2,OR(TH!L409="1111",TH!M409="1111")),TH!D409,""),"")</f>
        <v/>
      </c>
      <c r="B409" s="11">
        <f t="shared" si="31"/>
        <v>5</v>
      </c>
      <c r="C409" s="115">
        <v>40691</v>
      </c>
      <c r="D409" s="115" t="s">
        <v>913</v>
      </c>
      <c r="E409" s="115">
        <v>40691</v>
      </c>
      <c r="F409" s="116" t="s">
        <v>817</v>
      </c>
      <c r="G409" s="224" t="s">
        <v>794</v>
      </c>
      <c r="H409" s="4" t="s">
        <v>709</v>
      </c>
      <c r="I409" s="141">
        <v>4</v>
      </c>
      <c r="J409" s="141">
        <v>9979.5</v>
      </c>
      <c r="K409" s="238">
        <f t="shared" si="30"/>
        <v>39918</v>
      </c>
      <c r="L409" s="319" t="s">
        <v>161</v>
      </c>
      <c r="M409" s="319" t="s">
        <v>155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310"/>
    </row>
    <row r="410" spans="1:26" ht="15.75" customHeight="1">
      <c r="A410" s="125" t="str">
        <f>IF(B410&lt;&gt;"",IF(AND(B410&gt;=_TM1,B410&lt;=_TM2,OR(TH!L410="1111",TH!M410="1111")),TH!D410,""),"")</f>
        <v/>
      </c>
      <c r="B410" s="11">
        <f t="shared" si="31"/>
        <v>5</v>
      </c>
      <c r="C410" s="115">
        <v>40691</v>
      </c>
      <c r="D410" s="115" t="s">
        <v>913</v>
      </c>
      <c r="E410" s="115">
        <v>40691</v>
      </c>
      <c r="F410" s="116" t="s">
        <v>818</v>
      </c>
      <c r="G410" s="224" t="s">
        <v>794</v>
      </c>
      <c r="H410" s="4" t="s">
        <v>709</v>
      </c>
      <c r="I410" s="141">
        <v>67</v>
      </c>
      <c r="J410" s="141">
        <v>9979.507462686568</v>
      </c>
      <c r="K410" s="238">
        <f t="shared" si="30"/>
        <v>668627</v>
      </c>
      <c r="L410" s="319" t="s">
        <v>161</v>
      </c>
      <c r="M410" s="319" t="s">
        <v>155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310"/>
    </row>
    <row r="411" spans="1:26" ht="15.75" customHeight="1">
      <c r="A411" s="125" t="str">
        <f>IF(B411&lt;&gt;"",IF(AND(B411&gt;=_TM1,B411&lt;=_TM2,OR(TH!L411="1111",TH!M411="1111")),TH!D411,""),"")</f>
        <v/>
      </c>
      <c r="B411" s="11">
        <f t="shared" si="31"/>
        <v>5</v>
      </c>
      <c r="C411" s="115">
        <v>40691</v>
      </c>
      <c r="D411" s="115" t="s">
        <v>913</v>
      </c>
      <c r="E411" s="115">
        <v>40691</v>
      </c>
      <c r="F411" s="116" t="s">
        <v>819</v>
      </c>
      <c r="G411" s="224" t="s">
        <v>794</v>
      </c>
      <c r="H411" s="4" t="s">
        <v>709</v>
      </c>
      <c r="I411" s="141">
        <v>27</v>
      </c>
      <c r="J411" s="141">
        <v>16143.518518518518</v>
      </c>
      <c r="K411" s="238">
        <f t="shared" si="30"/>
        <v>435875</v>
      </c>
      <c r="L411" s="319" t="s">
        <v>161</v>
      </c>
      <c r="M411" s="319" t="s">
        <v>155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310"/>
    </row>
    <row r="412" spans="1:26" ht="15.75" customHeight="1">
      <c r="A412" s="125" t="str">
        <f>IF(B412&lt;&gt;"",IF(AND(B412&gt;=_TM1,B412&lt;=_TM2,OR(TH!L412="1111",TH!M412="1111")),TH!D412,""),"")</f>
        <v/>
      </c>
      <c r="B412" s="11">
        <f t="shared" si="31"/>
        <v>5</v>
      </c>
      <c r="C412" s="115">
        <v>40691</v>
      </c>
      <c r="D412" s="115" t="s">
        <v>913</v>
      </c>
      <c r="E412" s="115">
        <v>40691</v>
      </c>
      <c r="F412" s="116" t="s">
        <v>820</v>
      </c>
      <c r="G412" s="224" t="s">
        <v>794</v>
      </c>
      <c r="H412" s="4" t="s">
        <v>709</v>
      </c>
      <c r="I412" s="141">
        <v>16</v>
      </c>
      <c r="J412" s="141">
        <v>7483.5</v>
      </c>
      <c r="K412" s="238">
        <f t="shared" si="30"/>
        <v>119736</v>
      </c>
      <c r="L412" s="319" t="s">
        <v>161</v>
      </c>
      <c r="M412" s="319" t="s">
        <v>155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310"/>
    </row>
    <row r="413" spans="1:26" ht="15.75" customHeight="1">
      <c r="A413" s="125" t="str">
        <f>IF(B413&lt;&gt;"",IF(AND(B413&gt;=_TM1,B413&lt;=_TM2,OR(TH!L413="1111",TH!M413="1111")),TH!D413,""),"")</f>
        <v/>
      </c>
      <c r="B413" s="11">
        <f t="shared" si="31"/>
        <v>5</v>
      </c>
      <c r="C413" s="115">
        <v>40691</v>
      </c>
      <c r="D413" s="115" t="s">
        <v>914</v>
      </c>
      <c r="E413" s="115">
        <v>40691</v>
      </c>
      <c r="F413" s="116" t="s">
        <v>821</v>
      </c>
      <c r="G413" s="224" t="s">
        <v>795</v>
      </c>
      <c r="H413" s="4" t="s">
        <v>709</v>
      </c>
      <c r="I413" s="141">
        <v>127</v>
      </c>
      <c r="J413" s="141">
        <v>16143.511811023622</v>
      </c>
      <c r="K413" s="238">
        <f t="shared" si="30"/>
        <v>2050226</v>
      </c>
      <c r="L413" s="319" t="s">
        <v>161</v>
      </c>
      <c r="M413" s="319" t="s">
        <v>155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310"/>
    </row>
    <row r="414" spans="1:26" ht="15.75" customHeight="1">
      <c r="A414" s="125" t="str">
        <f>IF(B414&lt;&gt;"",IF(AND(B414&gt;=_TM1,B414&lt;=_TM2,OR(TH!L414="1111",TH!M414="1111")),TH!D414,""),"")</f>
        <v/>
      </c>
      <c r="B414" s="11">
        <f t="shared" si="31"/>
        <v>5</v>
      </c>
      <c r="C414" s="115">
        <v>40691</v>
      </c>
      <c r="D414" s="115" t="s">
        <v>914</v>
      </c>
      <c r="E414" s="115">
        <v>40691</v>
      </c>
      <c r="F414" s="116" t="s">
        <v>822</v>
      </c>
      <c r="G414" s="224" t="s">
        <v>795</v>
      </c>
      <c r="H414" s="4" t="s">
        <v>709</v>
      </c>
      <c r="I414" s="141">
        <v>5</v>
      </c>
      <c r="J414" s="141">
        <v>5808.6</v>
      </c>
      <c r="K414" s="238">
        <f t="shared" si="30"/>
        <v>29043</v>
      </c>
      <c r="L414" s="319" t="s">
        <v>161</v>
      </c>
      <c r="M414" s="319" t="s">
        <v>155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310"/>
    </row>
    <row r="415" spans="1:26" ht="15.75" customHeight="1">
      <c r="A415" s="125" t="str">
        <f>IF(B415&lt;&gt;"",IF(AND(B415&gt;=_TM1,B415&lt;=_TM2,OR(TH!L415="1111",TH!M415="1111")),TH!D415,""),"")</f>
        <v/>
      </c>
      <c r="B415" s="11">
        <f t="shared" si="31"/>
        <v>5</v>
      </c>
      <c r="C415" s="115">
        <v>40691</v>
      </c>
      <c r="D415" s="115" t="s">
        <v>914</v>
      </c>
      <c r="E415" s="115">
        <v>40691</v>
      </c>
      <c r="F415" s="116" t="s">
        <v>823</v>
      </c>
      <c r="G415" s="224" t="s">
        <v>795</v>
      </c>
      <c r="H415" s="4" t="s">
        <v>709</v>
      </c>
      <c r="I415" s="141">
        <v>3</v>
      </c>
      <c r="J415" s="141">
        <v>9979.6666666666661</v>
      </c>
      <c r="K415" s="238">
        <f t="shared" si="30"/>
        <v>29939</v>
      </c>
      <c r="L415" s="319" t="s">
        <v>161</v>
      </c>
      <c r="M415" s="319" t="s">
        <v>155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310"/>
    </row>
    <row r="416" spans="1:26" ht="15.75" customHeight="1">
      <c r="A416" s="125" t="str">
        <f>IF(B416&lt;&gt;"",IF(AND(B416&gt;=_TM1,B416&lt;=_TM2,OR(TH!L416="1111",TH!M416="1111")),TH!D416,""),"")</f>
        <v/>
      </c>
      <c r="B416" s="11">
        <f t="shared" si="31"/>
        <v>5</v>
      </c>
      <c r="C416" s="115">
        <v>40691</v>
      </c>
      <c r="D416" s="115" t="s">
        <v>914</v>
      </c>
      <c r="E416" s="115">
        <v>40691</v>
      </c>
      <c r="F416" s="116" t="s">
        <v>824</v>
      </c>
      <c r="G416" s="224" t="s">
        <v>795</v>
      </c>
      <c r="H416" s="4" t="s">
        <v>709</v>
      </c>
      <c r="I416" s="141">
        <v>12</v>
      </c>
      <c r="J416" s="141">
        <v>17484.5</v>
      </c>
      <c r="K416" s="238">
        <f t="shared" si="30"/>
        <v>209814</v>
      </c>
      <c r="L416" s="319" t="s">
        <v>161</v>
      </c>
      <c r="M416" s="319" t="s">
        <v>155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310"/>
    </row>
    <row r="417" spans="1:26" ht="15.75" customHeight="1">
      <c r="A417" s="125" t="str">
        <f>IF(B417&lt;&gt;"",IF(AND(B417&gt;=_TM1,B417&lt;=_TM2,OR(TH!L417="1111",TH!M417="1111")),TH!D417,""),"")</f>
        <v/>
      </c>
      <c r="B417" s="11">
        <f t="shared" si="31"/>
        <v>5</v>
      </c>
      <c r="C417" s="115">
        <v>40691</v>
      </c>
      <c r="D417" s="115" t="s">
        <v>914</v>
      </c>
      <c r="E417" s="115">
        <v>40691</v>
      </c>
      <c r="F417" s="116" t="s">
        <v>825</v>
      </c>
      <c r="G417" s="224" t="s">
        <v>795</v>
      </c>
      <c r="H417" s="4" t="s">
        <v>709</v>
      </c>
      <c r="I417" s="141">
        <v>9</v>
      </c>
      <c r="J417" s="141">
        <v>7759.5555555555557</v>
      </c>
      <c r="K417" s="238">
        <f t="shared" si="30"/>
        <v>69836</v>
      </c>
      <c r="L417" s="319" t="s">
        <v>161</v>
      </c>
      <c r="M417" s="319" t="s">
        <v>155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310"/>
    </row>
    <row r="418" spans="1:26" ht="15.75" customHeight="1">
      <c r="A418" s="125" t="str">
        <f>IF(B418&lt;&gt;"",IF(AND(B418&gt;=_TM1,B418&lt;=_TM2,OR(TH!L418="1111",TH!M418="1111")),TH!D418,""),"")</f>
        <v/>
      </c>
      <c r="B418" s="11">
        <f t="shared" si="31"/>
        <v>5</v>
      </c>
      <c r="C418" s="115">
        <v>40691</v>
      </c>
      <c r="D418" s="115" t="s">
        <v>914</v>
      </c>
      <c r="E418" s="115">
        <v>40691</v>
      </c>
      <c r="F418" s="116" t="s">
        <v>826</v>
      </c>
      <c r="G418" s="224" t="s">
        <v>795</v>
      </c>
      <c r="H418" s="4" t="s">
        <v>709</v>
      </c>
      <c r="I418" s="141">
        <v>8</v>
      </c>
      <c r="J418" s="141">
        <v>9979.5</v>
      </c>
      <c r="K418" s="238">
        <f t="shared" si="30"/>
        <v>79836</v>
      </c>
      <c r="L418" s="319" t="s">
        <v>161</v>
      </c>
      <c r="M418" s="319" t="s">
        <v>155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310"/>
    </row>
    <row r="419" spans="1:26" ht="15.75" customHeight="1">
      <c r="A419" s="125" t="str">
        <f>IF(B419&lt;&gt;"",IF(AND(B419&gt;=_TM1,B419&lt;=_TM2,OR(TH!L419="1111",TH!M419="1111")),TH!D419,""),"")</f>
        <v/>
      </c>
      <c r="B419" s="11">
        <f t="shared" si="31"/>
        <v>5</v>
      </c>
      <c r="C419" s="115">
        <v>40691</v>
      </c>
      <c r="D419" s="115" t="s">
        <v>914</v>
      </c>
      <c r="E419" s="115">
        <v>40691</v>
      </c>
      <c r="F419" s="116" t="s">
        <v>827</v>
      </c>
      <c r="G419" s="224" t="s">
        <v>795</v>
      </c>
      <c r="H419" s="4" t="s">
        <v>709</v>
      </c>
      <c r="I419" s="141">
        <v>7</v>
      </c>
      <c r="J419" s="141">
        <v>9979.5714285714294</v>
      </c>
      <c r="K419" s="238">
        <f t="shared" si="30"/>
        <v>69857</v>
      </c>
      <c r="L419" s="319" t="s">
        <v>161</v>
      </c>
      <c r="M419" s="319" t="s">
        <v>155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310"/>
    </row>
    <row r="420" spans="1:26" ht="15.75" customHeight="1">
      <c r="A420" s="125" t="str">
        <f>IF(B420&lt;&gt;"",IF(AND(B420&gt;=_TM1,B420&lt;=_TM2,OR(TH!L420="1111",TH!M420="1111")),TH!D420,""),"")</f>
        <v/>
      </c>
      <c r="B420" s="11">
        <f t="shared" si="31"/>
        <v>5</v>
      </c>
      <c r="C420" s="115">
        <v>40691</v>
      </c>
      <c r="D420" s="115" t="s">
        <v>914</v>
      </c>
      <c r="E420" s="115">
        <v>40691</v>
      </c>
      <c r="F420" s="116" t="s">
        <v>828</v>
      </c>
      <c r="G420" s="224" t="s">
        <v>795</v>
      </c>
      <c r="H420" s="4" t="s">
        <v>709</v>
      </c>
      <c r="I420" s="141">
        <v>13</v>
      </c>
      <c r="J420" s="141">
        <v>12946.538461538461</v>
      </c>
      <c r="K420" s="238">
        <f t="shared" si="30"/>
        <v>168305</v>
      </c>
      <c r="L420" s="319" t="s">
        <v>161</v>
      </c>
      <c r="M420" s="319" t="s">
        <v>155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310"/>
    </row>
    <row r="421" spans="1:26" ht="15.75" customHeight="1">
      <c r="A421" s="125" t="str">
        <f>IF(B421&lt;&gt;"",IF(AND(B421&gt;=_TM1,B421&lt;=_TM2,OR(TH!L421="1111",TH!M421="1111")),TH!D421,""),"")</f>
        <v/>
      </c>
      <c r="B421" s="11">
        <f t="shared" si="31"/>
        <v>5</v>
      </c>
      <c r="C421" s="115">
        <v>40691</v>
      </c>
      <c r="D421" s="115" t="s">
        <v>915</v>
      </c>
      <c r="E421" s="115">
        <v>40691</v>
      </c>
      <c r="F421" s="116" t="s">
        <v>830</v>
      </c>
      <c r="G421" s="224" t="s">
        <v>808</v>
      </c>
      <c r="H421" s="4" t="s">
        <v>709</v>
      </c>
      <c r="I421" s="141">
        <v>5</v>
      </c>
      <c r="J421" s="141">
        <v>12946.6</v>
      </c>
      <c r="K421" s="238">
        <f t="shared" si="30"/>
        <v>64733</v>
      </c>
      <c r="L421" s="319" t="s">
        <v>161</v>
      </c>
      <c r="M421" s="319" t="s">
        <v>155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310"/>
    </row>
    <row r="422" spans="1:26" ht="15.75" customHeight="1">
      <c r="A422" s="125" t="str">
        <f>IF(B422&lt;&gt;"",IF(AND(B422&gt;=_TM1,B422&lt;=_TM2,OR(TH!L422="1111",TH!M422="1111")),TH!D422,""),"")</f>
        <v/>
      </c>
      <c r="B422" s="11">
        <f t="shared" si="31"/>
        <v>5</v>
      </c>
      <c r="C422" s="115">
        <v>40691</v>
      </c>
      <c r="D422" s="115" t="s">
        <v>915</v>
      </c>
      <c r="E422" s="115">
        <v>40691</v>
      </c>
      <c r="F422" s="116" t="s">
        <v>831</v>
      </c>
      <c r="G422" s="224" t="s">
        <v>808</v>
      </c>
      <c r="H422" s="4" t="s">
        <v>709</v>
      </c>
      <c r="I422" s="141">
        <v>22</v>
      </c>
      <c r="J422" s="141">
        <v>17821.5</v>
      </c>
      <c r="K422" s="238">
        <f t="shared" si="30"/>
        <v>392073</v>
      </c>
      <c r="L422" s="319" t="s">
        <v>161</v>
      </c>
      <c r="M422" s="319" t="s">
        <v>155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310"/>
    </row>
    <row r="423" spans="1:26" ht="15.75" customHeight="1">
      <c r="A423" s="125" t="str">
        <f>IF(B423&lt;&gt;"",IF(AND(B423&gt;=_TM1,B423&lt;=_TM2,OR(TH!L423="1111",TH!M423="1111")),TH!D423,""),"")</f>
        <v/>
      </c>
      <c r="B423" s="11">
        <f t="shared" si="31"/>
        <v>5</v>
      </c>
      <c r="C423" s="115">
        <v>40691</v>
      </c>
      <c r="D423" s="115" t="s">
        <v>915</v>
      </c>
      <c r="E423" s="115">
        <v>40691</v>
      </c>
      <c r="F423" s="116" t="s">
        <v>832</v>
      </c>
      <c r="G423" s="224" t="s">
        <v>808</v>
      </c>
      <c r="H423" s="4" t="s">
        <v>709</v>
      </c>
      <c r="I423" s="141">
        <v>245</v>
      </c>
      <c r="J423" s="141">
        <v>7483.5142857142855</v>
      </c>
      <c r="K423" s="238">
        <f t="shared" si="30"/>
        <v>1833461</v>
      </c>
      <c r="L423" s="319" t="s">
        <v>161</v>
      </c>
      <c r="M423" s="319" t="s">
        <v>155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310"/>
    </row>
    <row r="424" spans="1:26" ht="15.75" customHeight="1">
      <c r="A424" s="125" t="str">
        <f>IF(B424&lt;&gt;"",IF(AND(B424&gt;=_TM1,B424&lt;=_TM2,OR(TH!L424="1111",TH!M424="1111")),TH!D424,""),"")</f>
        <v/>
      </c>
      <c r="B424" s="11">
        <f t="shared" si="31"/>
        <v>5</v>
      </c>
      <c r="C424" s="115">
        <v>40691</v>
      </c>
      <c r="D424" s="115" t="s">
        <v>915</v>
      </c>
      <c r="E424" s="115">
        <v>40691</v>
      </c>
      <c r="F424" s="116" t="s">
        <v>833</v>
      </c>
      <c r="G424" s="224" t="s">
        <v>808</v>
      </c>
      <c r="H424" s="4" t="s">
        <v>709</v>
      </c>
      <c r="I424" s="141">
        <v>429</v>
      </c>
      <c r="J424" s="141">
        <v>24018.659673659673</v>
      </c>
      <c r="K424" s="238">
        <f t="shared" si="30"/>
        <v>10304005</v>
      </c>
      <c r="L424" s="319" t="s">
        <v>161</v>
      </c>
      <c r="M424" s="319" t="s">
        <v>155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310"/>
    </row>
    <row r="425" spans="1:26" ht="15.75" customHeight="1">
      <c r="A425" s="125" t="str">
        <f>IF(B425&lt;&gt;"",IF(AND(B425&gt;=_TM1,B425&lt;=_TM2,OR(TH!L425="1111",TH!M425="1111")),TH!D425,""),"")</f>
        <v/>
      </c>
      <c r="B425" s="11">
        <f t="shared" si="31"/>
        <v>5</v>
      </c>
      <c r="C425" s="115">
        <v>40691</v>
      </c>
      <c r="D425" s="115" t="s">
        <v>915</v>
      </c>
      <c r="E425" s="115">
        <v>40691</v>
      </c>
      <c r="F425" s="116" t="s">
        <v>821</v>
      </c>
      <c r="G425" s="224" t="s">
        <v>808</v>
      </c>
      <c r="H425" s="4" t="s">
        <v>709</v>
      </c>
      <c r="I425" s="141">
        <v>22</v>
      </c>
      <c r="J425" s="141">
        <v>16143.5</v>
      </c>
      <c r="K425" s="238">
        <f t="shared" si="30"/>
        <v>355157</v>
      </c>
      <c r="L425" s="319" t="s">
        <v>161</v>
      </c>
      <c r="M425" s="319" t="s">
        <v>155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310"/>
    </row>
    <row r="426" spans="1:26" ht="15.75" customHeight="1">
      <c r="A426" s="125" t="str">
        <f>IF(B426&lt;&gt;"",IF(AND(B426&gt;=_TM1,B426&lt;=_TM2,OR(TH!L426="1111",TH!M426="1111")),TH!D426,""),"")</f>
        <v/>
      </c>
      <c r="B426" s="11">
        <f t="shared" si="31"/>
        <v>5</v>
      </c>
      <c r="C426" s="115">
        <v>40691</v>
      </c>
      <c r="D426" s="115" t="s">
        <v>915</v>
      </c>
      <c r="E426" s="115">
        <v>40691</v>
      </c>
      <c r="F426" s="116" t="s">
        <v>834</v>
      </c>
      <c r="G426" s="224" t="s">
        <v>808</v>
      </c>
      <c r="H426" s="4" t="s">
        <v>709</v>
      </c>
      <c r="I426" s="141">
        <v>4</v>
      </c>
      <c r="J426" s="141">
        <v>16143.5</v>
      </c>
      <c r="K426" s="238">
        <f t="shared" si="30"/>
        <v>64574</v>
      </c>
      <c r="L426" s="319" t="s">
        <v>161</v>
      </c>
      <c r="M426" s="319" t="s">
        <v>155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310"/>
    </row>
    <row r="427" spans="1:26" ht="15.75" customHeight="1">
      <c r="A427" s="125" t="str">
        <f>IF(B427&lt;&gt;"",IF(AND(B427&gt;=_TM1,B427&lt;=_TM2,OR(TH!L427="1111",TH!M427="1111")),TH!D427,""),"")</f>
        <v/>
      </c>
      <c r="B427" s="11">
        <f t="shared" si="31"/>
        <v>5</v>
      </c>
      <c r="C427" s="115">
        <v>40691</v>
      </c>
      <c r="D427" s="115" t="s">
        <v>915</v>
      </c>
      <c r="E427" s="115">
        <v>40691</v>
      </c>
      <c r="F427" s="116" t="s">
        <v>835</v>
      </c>
      <c r="G427" s="224" t="s">
        <v>808</v>
      </c>
      <c r="H427" s="4" t="s">
        <v>709</v>
      </c>
      <c r="I427" s="141">
        <v>2</v>
      </c>
      <c r="J427" s="141">
        <v>14857.5</v>
      </c>
      <c r="K427" s="238">
        <f t="shared" si="30"/>
        <v>29715</v>
      </c>
      <c r="L427" s="319" t="s">
        <v>161</v>
      </c>
      <c r="M427" s="319" t="s">
        <v>155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310"/>
    </row>
    <row r="428" spans="1:26" ht="15.75" customHeight="1">
      <c r="A428" s="125" t="str">
        <f>IF(B428&lt;&gt;"",IF(AND(B428&gt;=_TM1,B428&lt;=_TM2,OR(TH!L428="1111",TH!M428="1111")),TH!D428,""),"")</f>
        <v/>
      </c>
      <c r="B428" s="11">
        <f t="shared" si="31"/>
        <v>5</v>
      </c>
      <c r="C428" s="115">
        <v>40691</v>
      </c>
      <c r="D428" s="115" t="s">
        <v>915</v>
      </c>
      <c r="E428" s="115">
        <v>40691</v>
      </c>
      <c r="F428" s="116" t="s">
        <v>815</v>
      </c>
      <c r="G428" s="224" t="s">
        <v>808</v>
      </c>
      <c r="H428" s="4" t="s">
        <v>709</v>
      </c>
      <c r="I428" s="141">
        <v>3</v>
      </c>
      <c r="J428" s="141">
        <v>14857.666666666666</v>
      </c>
      <c r="K428" s="238">
        <f t="shared" si="30"/>
        <v>44573</v>
      </c>
      <c r="L428" s="319" t="s">
        <v>161</v>
      </c>
      <c r="M428" s="319" t="s">
        <v>155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310"/>
    </row>
    <row r="429" spans="1:26" ht="15.75" customHeight="1">
      <c r="A429" s="125" t="str">
        <f>IF(B429&lt;&gt;"",IF(AND(B429&gt;=_TM1,B429&lt;=_TM2,OR(TH!L429="1111",TH!M429="1111")),TH!D429,""),"")</f>
        <v/>
      </c>
      <c r="B429" s="11">
        <f t="shared" si="31"/>
        <v>5</v>
      </c>
      <c r="C429" s="115">
        <v>40691</v>
      </c>
      <c r="D429" s="115" t="s">
        <v>916</v>
      </c>
      <c r="E429" s="115">
        <v>40691</v>
      </c>
      <c r="F429" s="116" t="s">
        <v>819</v>
      </c>
      <c r="G429" s="224" t="s">
        <v>809</v>
      </c>
      <c r="H429" s="4" t="s">
        <v>709</v>
      </c>
      <c r="I429" s="141">
        <v>1</v>
      </c>
      <c r="J429" s="141">
        <v>14858</v>
      </c>
      <c r="K429" s="238">
        <f t="shared" si="30"/>
        <v>14858</v>
      </c>
      <c r="L429" s="319" t="s">
        <v>161</v>
      </c>
      <c r="M429" s="319" t="s">
        <v>155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310"/>
    </row>
    <row r="430" spans="1:26" ht="15.75" customHeight="1">
      <c r="A430" s="125" t="str">
        <f>IF(B430&lt;&gt;"",IF(AND(B430&gt;=_TM1,B430&lt;=_TM2,OR(TH!L430="1111",TH!M430="1111")),TH!D430,""),"")</f>
        <v/>
      </c>
      <c r="B430" s="11">
        <f t="shared" si="31"/>
        <v>5</v>
      </c>
      <c r="C430" s="115">
        <v>40691</v>
      </c>
      <c r="D430" s="115" t="s">
        <v>916</v>
      </c>
      <c r="E430" s="115">
        <v>40691</v>
      </c>
      <c r="F430" s="116" t="s">
        <v>816</v>
      </c>
      <c r="G430" s="224" t="s">
        <v>809</v>
      </c>
      <c r="H430" s="4" t="s">
        <v>709</v>
      </c>
      <c r="I430" s="141">
        <v>5</v>
      </c>
      <c r="J430" s="141">
        <v>9372.6</v>
      </c>
      <c r="K430" s="238">
        <f t="shared" si="30"/>
        <v>46863</v>
      </c>
      <c r="L430" s="319" t="s">
        <v>161</v>
      </c>
      <c r="M430" s="319" t="s">
        <v>155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310"/>
    </row>
    <row r="431" spans="1:26" ht="15.75" customHeight="1">
      <c r="A431" s="125" t="str">
        <f>IF(B431&lt;&gt;"",IF(AND(B431&gt;=_TM1,B431&lt;=_TM2,OR(TH!L431="1111",TH!M431="1111")),TH!D431,""),"")</f>
        <v/>
      </c>
      <c r="B431" s="11">
        <f t="shared" si="31"/>
        <v>5</v>
      </c>
      <c r="C431" s="115">
        <v>40691</v>
      </c>
      <c r="D431" s="115" t="s">
        <v>916</v>
      </c>
      <c r="E431" s="115">
        <v>40691</v>
      </c>
      <c r="F431" s="116" t="s">
        <v>839</v>
      </c>
      <c r="G431" s="224" t="s">
        <v>809</v>
      </c>
      <c r="H431" s="4" t="s">
        <v>709</v>
      </c>
      <c r="I431" s="141">
        <v>344</v>
      </c>
      <c r="J431" s="141">
        <v>16694.151162790698</v>
      </c>
      <c r="K431" s="238">
        <f t="shared" si="30"/>
        <v>5742788</v>
      </c>
      <c r="L431" s="319" t="s">
        <v>161</v>
      </c>
      <c r="M431" s="319" t="s">
        <v>155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310"/>
    </row>
    <row r="432" spans="1:26" ht="15.75" customHeight="1">
      <c r="A432" s="125" t="str">
        <f>IF(B432&lt;&gt;"",IF(AND(B432&gt;=_TM1,B432&lt;=_TM2,OR(TH!L432="1111",TH!M432="1111")),TH!D432,""),"")</f>
        <v/>
      </c>
      <c r="B432" s="11">
        <f t="shared" si="31"/>
        <v>5</v>
      </c>
      <c r="C432" s="115">
        <v>40691</v>
      </c>
      <c r="D432" s="115" t="s">
        <v>916</v>
      </c>
      <c r="E432" s="115">
        <v>40691</v>
      </c>
      <c r="F432" s="116" t="s">
        <v>837</v>
      </c>
      <c r="G432" s="224" t="s">
        <v>809</v>
      </c>
      <c r="H432" s="4" t="s">
        <v>709</v>
      </c>
      <c r="I432" s="141">
        <v>239</v>
      </c>
      <c r="J432" s="141">
        <v>5808.5146443514641</v>
      </c>
      <c r="K432" s="238">
        <f t="shared" si="30"/>
        <v>1388235</v>
      </c>
      <c r="L432" s="319" t="s">
        <v>161</v>
      </c>
      <c r="M432" s="319" t="s">
        <v>155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310"/>
    </row>
    <row r="433" spans="1:26" ht="15.75" customHeight="1">
      <c r="A433" s="125" t="str">
        <f>IF(B433&lt;&gt;"",IF(AND(B433&gt;=_TM1,B433&lt;=_TM2,OR(TH!L433="1111",TH!M433="1111")),TH!D433,""),"")</f>
        <v/>
      </c>
      <c r="B433" s="11">
        <f t="shared" si="31"/>
        <v>5</v>
      </c>
      <c r="C433" s="115">
        <v>40691</v>
      </c>
      <c r="D433" s="115" t="s">
        <v>916</v>
      </c>
      <c r="E433" s="115">
        <v>40691</v>
      </c>
      <c r="F433" s="116" t="s">
        <v>838</v>
      </c>
      <c r="G433" s="224" t="s">
        <v>809</v>
      </c>
      <c r="H433" s="4" t="s">
        <v>709</v>
      </c>
      <c r="I433" s="141">
        <v>102</v>
      </c>
      <c r="J433" s="141">
        <v>3584.0098039215686</v>
      </c>
      <c r="K433" s="238">
        <f t="shared" si="30"/>
        <v>365569</v>
      </c>
      <c r="L433" s="319" t="s">
        <v>161</v>
      </c>
      <c r="M433" s="319" t="s">
        <v>155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310"/>
    </row>
    <row r="434" spans="1:26" ht="15.75" customHeight="1">
      <c r="A434" s="125" t="str">
        <f>IF(B434&lt;&gt;"",IF(AND(B434&gt;=_TM1,B434&lt;=_TM2,OR(TH!L434="1111",TH!M434="1111")),TH!D434,""),"")</f>
        <v/>
      </c>
      <c r="B434" s="11">
        <f t="shared" si="31"/>
        <v>5</v>
      </c>
      <c r="C434" s="115">
        <v>40691</v>
      </c>
      <c r="D434" s="115" t="s">
        <v>916</v>
      </c>
      <c r="E434" s="115">
        <v>40691</v>
      </c>
      <c r="F434" s="116" t="s">
        <v>840</v>
      </c>
      <c r="G434" s="224" t="s">
        <v>809</v>
      </c>
      <c r="H434" s="4" t="s">
        <v>709</v>
      </c>
      <c r="I434" s="141">
        <v>24</v>
      </c>
      <c r="J434" s="141">
        <v>13959.5</v>
      </c>
      <c r="K434" s="238">
        <f t="shared" si="30"/>
        <v>335028</v>
      </c>
      <c r="L434" s="319" t="s">
        <v>161</v>
      </c>
      <c r="M434" s="319" t="s">
        <v>155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310"/>
    </row>
    <row r="435" spans="1:26" ht="15.75" customHeight="1">
      <c r="A435" s="125" t="str">
        <f>IF(B435&lt;&gt;"",IF(AND(B435&gt;=_TM1,B435&lt;=_TM2,OR(TH!L435="1111",TH!M435="1111")),TH!D435,""),"")</f>
        <v/>
      </c>
      <c r="B435" s="11">
        <f t="shared" si="31"/>
        <v>5</v>
      </c>
      <c r="C435" s="115">
        <v>40691</v>
      </c>
      <c r="D435" s="115" t="s">
        <v>916</v>
      </c>
      <c r="E435" s="115">
        <v>40691</v>
      </c>
      <c r="F435" s="116" t="s">
        <v>833</v>
      </c>
      <c r="G435" s="224" t="s">
        <v>809</v>
      </c>
      <c r="H435" s="4" t="s">
        <v>709</v>
      </c>
      <c r="I435" s="141">
        <v>208</v>
      </c>
      <c r="J435" s="141">
        <v>24021.947115384617</v>
      </c>
      <c r="K435" s="238">
        <f t="shared" si="30"/>
        <v>4996565</v>
      </c>
      <c r="L435" s="319" t="s">
        <v>161</v>
      </c>
      <c r="M435" s="319" t="s">
        <v>155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310"/>
    </row>
    <row r="436" spans="1:26" ht="15.75" customHeight="1">
      <c r="A436" s="125" t="str">
        <f>IF(B436&lt;&gt;"",IF(AND(B436&gt;=_TM1,B436&lt;=_TM2,OR(TH!L436="1111",TH!M436="1111")),TH!D436,""),"")</f>
        <v/>
      </c>
      <c r="B436" s="11">
        <f t="shared" si="31"/>
        <v>5</v>
      </c>
      <c r="C436" s="115">
        <v>40691</v>
      </c>
      <c r="D436" s="115" t="s">
        <v>916</v>
      </c>
      <c r="E436" s="115">
        <v>40691</v>
      </c>
      <c r="F436" s="116" t="s">
        <v>841</v>
      </c>
      <c r="G436" s="224" t="s">
        <v>809</v>
      </c>
      <c r="H436" s="4" t="s">
        <v>709</v>
      </c>
      <c r="I436" s="141">
        <v>51</v>
      </c>
      <c r="J436" s="141">
        <v>26161.470588235294</v>
      </c>
      <c r="K436" s="238">
        <f t="shared" si="30"/>
        <v>1334235</v>
      </c>
      <c r="L436" s="319" t="s">
        <v>161</v>
      </c>
      <c r="M436" s="319" t="s">
        <v>155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310"/>
    </row>
    <row r="437" spans="1:26" ht="15.75" customHeight="1">
      <c r="A437" s="125" t="str">
        <f>IF(B437&lt;&gt;"",IF(AND(B437&gt;=_TM1,B437&lt;=_TM2,OR(TH!L437="1111",TH!M437="1111")),TH!D437,""),"")</f>
        <v/>
      </c>
      <c r="B437" s="11">
        <f t="shared" si="31"/>
        <v>5</v>
      </c>
      <c r="C437" s="115">
        <v>40691</v>
      </c>
      <c r="D437" s="115" t="s">
        <v>917</v>
      </c>
      <c r="E437" s="115">
        <v>40691</v>
      </c>
      <c r="F437" s="116" t="s">
        <v>843</v>
      </c>
      <c r="G437" s="224" t="s">
        <v>810</v>
      </c>
      <c r="H437" s="4" t="s">
        <v>709</v>
      </c>
      <c r="I437" s="141">
        <v>406</v>
      </c>
      <c r="J437" s="141">
        <v>25075.512315270935</v>
      </c>
      <c r="K437" s="238">
        <f t="shared" ref="K437:K468" si="32">ROUND(I437*J437,0)</f>
        <v>10180658</v>
      </c>
      <c r="L437" s="319" t="s">
        <v>161</v>
      </c>
      <c r="M437" s="319" t="s">
        <v>155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310"/>
    </row>
    <row r="438" spans="1:26" ht="15.75" customHeight="1">
      <c r="A438" s="125" t="str">
        <f>IF(B438&lt;&gt;"",IF(AND(B438&gt;=_TM1,B438&lt;=_TM2,OR(TH!L438="1111",TH!M438="1111")),TH!D438,""),"")</f>
        <v/>
      </c>
      <c r="B438" s="11">
        <f t="shared" si="31"/>
        <v>5</v>
      </c>
      <c r="C438" s="115">
        <v>40691</v>
      </c>
      <c r="D438" s="115" t="s">
        <v>917</v>
      </c>
      <c r="E438" s="115">
        <v>40691</v>
      </c>
      <c r="F438" s="116" t="s">
        <v>844</v>
      </c>
      <c r="G438" s="224" t="s">
        <v>810</v>
      </c>
      <c r="H438" s="4" t="s">
        <v>709</v>
      </c>
      <c r="I438" s="141">
        <v>50</v>
      </c>
      <c r="J438" s="141">
        <v>5808.52</v>
      </c>
      <c r="K438" s="238">
        <f t="shared" si="32"/>
        <v>290426</v>
      </c>
      <c r="L438" s="319" t="s">
        <v>161</v>
      </c>
      <c r="M438" s="319" t="s">
        <v>155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310"/>
    </row>
    <row r="439" spans="1:26" ht="15.75" customHeight="1">
      <c r="A439" s="125" t="str">
        <f>IF(B439&lt;&gt;"",IF(AND(B439&gt;=_TM1,B439&lt;=_TM2,OR(TH!L439="1111",TH!M439="1111")),TH!D439,""),"")</f>
        <v/>
      </c>
      <c r="B439" s="11">
        <f t="shared" si="31"/>
        <v>5</v>
      </c>
      <c r="C439" s="115">
        <v>40691</v>
      </c>
      <c r="D439" s="115" t="s">
        <v>917</v>
      </c>
      <c r="E439" s="115">
        <v>40691</v>
      </c>
      <c r="F439" s="116" t="s">
        <v>845</v>
      </c>
      <c r="G439" s="224" t="s">
        <v>810</v>
      </c>
      <c r="H439" s="4" t="s">
        <v>709</v>
      </c>
      <c r="I439" s="141">
        <v>68</v>
      </c>
      <c r="J439" s="141">
        <v>2471.7647058823532</v>
      </c>
      <c r="K439" s="238">
        <f t="shared" si="32"/>
        <v>168080</v>
      </c>
      <c r="L439" s="319" t="s">
        <v>161</v>
      </c>
      <c r="M439" s="319" t="s">
        <v>155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310"/>
    </row>
    <row r="440" spans="1:26" ht="15.75" customHeight="1">
      <c r="A440" s="125" t="str">
        <f>IF(B440&lt;&gt;"",IF(AND(B440&gt;=_TM1,B440&lt;=_TM2,OR(TH!L440="1111",TH!M440="1111")),TH!D440,""),"")</f>
        <v/>
      </c>
      <c r="B440" s="11">
        <f t="shared" si="31"/>
        <v>5</v>
      </c>
      <c r="C440" s="115">
        <v>40691</v>
      </c>
      <c r="D440" s="115" t="s">
        <v>917</v>
      </c>
      <c r="E440" s="115">
        <v>40691</v>
      </c>
      <c r="F440" s="116" t="s">
        <v>846</v>
      </c>
      <c r="G440" s="224" t="s">
        <v>810</v>
      </c>
      <c r="H440" s="4" t="s">
        <v>709</v>
      </c>
      <c r="I440" s="141">
        <v>300</v>
      </c>
      <c r="J440" s="141">
        <v>2471.7633333333333</v>
      </c>
      <c r="K440" s="238">
        <f t="shared" si="32"/>
        <v>741529</v>
      </c>
      <c r="L440" s="319" t="s">
        <v>161</v>
      </c>
      <c r="M440" s="319" t="s">
        <v>155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310"/>
    </row>
    <row r="441" spans="1:26" ht="15.75" customHeight="1">
      <c r="A441" s="125" t="str">
        <f>IF(B441&lt;&gt;"",IF(AND(B441&gt;=_TM1,B441&lt;=_TM2,OR(TH!L441="1111",TH!M441="1111")),TH!D441,""),"")</f>
        <v/>
      </c>
      <c r="B441" s="11">
        <f t="shared" si="31"/>
        <v>5</v>
      </c>
      <c r="C441" s="115">
        <v>40691</v>
      </c>
      <c r="D441" s="115" t="s">
        <v>917</v>
      </c>
      <c r="E441" s="115">
        <v>40691</v>
      </c>
      <c r="F441" s="116" t="s">
        <v>847</v>
      </c>
      <c r="G441" s="224" t="s">
        <v>810</v>
      </c>
      <c r="H441" s="4" t="s">
        <v>709</v>
      </c>
      <c r="I441" s="141">
        <v>40</v>
      </c>
      <c r="J441" s="141">
        <v>2471.7750000000001</v>
      </c>
      <c r="K441" s="238">
        <f t="shared" si="32"/>
        <v>98871</v>
      </c>
      <c r="L441" s="319" t="s">
        <v>161</v>
      </c>
      <c r="M441" s="319" t="s">
        <v>155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310"/>
    </row>
    <row r="442" spans="1:26" ht="15.75" customHeight="1">
      <c r="A442" s="125" t="str">
        <f>IF(B442&lt;&gt;"",IF(AND(B442&gt;=_TM1,B442&lt;=_TM2,OR(TH!L442="1111",TH!M442="1111")),TH!D442,""),"")</f>
        <v/>
      </c>
      <c r="B442" s="11">
        <f t="shared" si="31"/>
        <v>5</v>
      </c>
      <c r="C442" s="115">
        <v>40691</v>
      </c>
      <c r="D442" s="115" t="s">
        <v>917</v>
      </c>
      <c r="E442" s="115">
        <v>40691</v>
      </c>
      <c r="F442" s="116" t="s">
        <v>848</v>
      </c>
      <c r="G442" s="224" t="s">
        <v>810</v>
      </c>
      <c r="H442" s="4" t="s">
        <v>709</v>
      </c>
      <c r="I442" s="143">
        <v>34</v>
      </c>
      <c r="J442" s="143">
        <v>3584</v>
      </c>
      <c r="K442" s="238">
        <f t="shared" si="32"/>
        <v>121856</v>
      </c>
      <c r="L442" s="319" t="s">
        <v>161</v>
      </c>
      <c r="M442" s="319" t="s">
        <v>155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310"/>
    </row>
    <row r="443" spans="1:26" ht="15.75" customHeight="1">
      <c r="A443" s="125" t="str">
        <f>IF(B443&lt;&gt;"",IF(AND(B443&gt;=_TM1,B443&lt;=_TM2,OR(TH!L443="1111",TH!M443="1111")),TH!D443,""),"")</f>
        <v/>
      </c>
      <c r="B443" s="11">
        <f t="shared" si="31"/>
        <v>5</v>
      </c>
      <c r="C443" s="115">
        <v>40691</v>
      </c>
      <c r="D443" s="115" t="s">
        <v>917</v>
      </c>
      <c r="E443" s="115">
        <v>40691</v>
      </c>
      <c r="F443" s="116" t="s">
        <v>849</v>
      </c>
      <c r="G443" s="224" t="s">
        <v>810</v>
      </c>
      <c r="H443" s="4" t="s">
        <v>709</v>
      </c>
      <c r="I443" s="141">
        <v>140</v>
      </c>
      <c r="J443" s="141">
        <v>3584.0142857142855</v>
      </c>
      <c r="K443" s="238">
        <f t="shared" si="32"/>
        <v>501762</v>
      </c>
      <c r="L443" s="319" t="s">
        <v>161</v>
      </c>
      <c r="M443" s="319" t="s">
        <v>155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310"/>
    </row>
    <row r="444" spans="1:26" ht="15.75" customHeight="1">
      <c r="A444" s="125" t="str">
        <f>IF(B444&lt;&gt;"",IF(AND(B444&gt;=_TM1,B444&lt;=_TM2,OR(TH!L444="1111",TH!M444="1111")),TH!D444,""),"")</f>
        <v/>
      </c>
      <c r="B444" s="11">
        <f t="shared" si="31"/>
        <v>5</v>
      </c>
      <c r="C444" s="115">
        <v>40691</v>
      </c>
      <c r="D444" s="115" t="s">
        <v>917</v>
      </c>
      <c r="E444" s="115">
        <v>40691</v>
      </c>
      <c r="F444" s="116" t="s">
        <v>850</v>
      </c>
      <c r="G444" s="224" t="s">
        <v>810</v>
      </c>
      <c r="H444" s="4" t="s">
        <v>709</v>
      </c>
      <c r="I444" s="141">
        <v>140</v>
      </c>
      <c r="J444" s="141">
        <v>9372.5142857142855</v>
      </c>
      <c r="K444" s="238">
        <f t="shared" si="32"/>
        <v>1312152</v>
      </c>
      <c r="L444" s="319" t="s">
        <v>161</v>
      </c>
      <c r="M444" s="319" t="s">
        <v>155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310"/>
    </row>
    <row r="445" spans="1:26" ht="15.75" customHeight="1">
      <c r="A445" s="125" t="str">
        <f>IF(B445&lt;&gt;"",IF(AND(B445&gt;=_TM1,B445&lt;=_TM2,OR(TH!L445="1111",TH!M445="1111")),TH!D445,""),"")</f>
        <v/>
      </c>
      <c r="B445" s="11">
        <f t="shared" si="31"/>
        <v>5</v>
      </c>
      <c r="C445" s="115">
        <v>40691</v>
      </c>
      <c r="D445" s="115" t="s">
        <v>918</v>
      </c>
      <c r="E445" s="115">
        <v>40691</v>
      </c>
      <c r="F445" s="116" t="s">
        <v>840</v>
      </c>
      <c r="G445" s="224" t="s">
        <v>811</v>
      </c>
      <c r="H445" s="4" t="s">
        <v>709</v>
      </c>
      <c r="I445" s="141">
        <v>10</v>
      </c>
      <c r="J445" s="141">
        <v>13959.5</v>
      </c>
      <c r="K445" s="238">
        <f t="shared" si="32"/>
        <v>139595</v>
      </c>
      <c r="L445" s="319" t="s">
        <v>161</v>
      </c>
      <c r="M445" s="319" t="s">
        <v>155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310"/>
    </row>
    <row r="446" spans="1:26" ht="15.75" customHeight="1">
      <c r="A446" s="125" t="str">
        <f>IF(B446&lt;&gt;"",IF(AND(B446&gt;=_TM1,B446&lt;=_TM2,OR(TH!L446="1111",TH!M446="1111")),TH!D446,""),"")</f>
        <v/>
      </c>
      <c r="B446" s="11">
        <f t="shared" si="31"/>
        <v>5</v>
      </c>
      <c r="C446" s="115">
        <v>40691</v>
      </c>
      <c r="D446" s="115" t="s">
        <v>918</v>
      </c>
      <c r="E446" s="115">
        <v>40691</v>
      </c>
      <c r="F446" s="116" t="s">
        <v>851</v>
      </c>
      <c r="G446" s="224" t="s">
        <v>811</v>
      </c>
      <c r="H446" s="4" t="s">
        <v>709</v>
      </c>
      <c r="I446" s="141">
        <v>68</v>
      </c>
      <c r="J446" s="141">
        <v>9979.5147058823532</v>
      </c>
      <c r="K446" s="238">
        <f t="shared" si="32"/>
        <v>678607</v>
      </c>
      <c r="L446" s="319" t="s">
        <v>161</v>
      </c>
      <c r="M446" s="319" t="s">
        <v>155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310"/>
    </row>
    <row r="447" spans="1:26" ht="15.75" customHeight="1">
      <c r="A447" s="125" t="str">
        <f>IF(B447&lt;&gt;"",IF(AND(B447&gt;=_TM1,B447&lt;=_TM2,OR(TH!L447="1111",TH!M447="1111")),TH!D447,""),"")</f>
        <v/>
      </c>
      <c r="B447" s="11">
        <f t="shared" si="31"/>
        <v>5</v>
      </c>
      <c r="C447" s="115">
        <v>40691</v>
      </c>
      <c r="D447" s="115" t="s">
        <v>918</v>
      </c>
      <c r="E447" s="115">
        <v>40691</v>
      </c>
      <c r="F447" s="116" t="s">
        <v>852</v>
      </c>
      <c r="G447" s="224" t="s">
        <v>811</v>
      </c>
      <c r="H447" s="4" t="s">
        <v>709</v>
      </c>
      <c r="I447" s="141">
        <v>300</v>
      </c>
      <c r="J447" s="141">
        <v>12946.513333333334</v>
      </c>
      <c r="K447" s="238">
        <f t="shared" si="32"/>
        <v>3883954</v>
      </c>
      <c r="L447" s="319" t="s">
        <v>161</v>
      </c>
      <c r="M447" s="319" t="s">
        <v>155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310"/>
    </row>
    <row r="448" spans="1:26" ht="15.75" customHeight="1">
      <c r="A448" s="125" t="str">
        <f>IF(B448&lt;&gt;"",IF(AND(B448&gt;=_TM1,B448&lt;=_TM2,OR(TH!L448="1111",TH!M448="1111")),TH!D448,""),"")</f>
        <v/>
      </c>
      <c r="B448" s="11">
        <f t="shared" si="31"/>
        <v>5</v>
      </c>
      <c r="C448" s="115">
        <v>40691</v>
      </c>
      <c r="D448" s="115" t="s">
        <v>918</v>
      </c>
      <c r="E448" s="115">
        <v>40691</v>
      </c>
      <c r="F448" s="116" t="s">
        <v>853</v>
      </c>
      <c r="G448" s="224" t="s">
        <v>811</v>
      </c>
      <c r="H448" s="4" t="s">
        <v>709</v>
      </c>
      <c r="I448" s="141">
        <v>40</v>
      </c>
      <c r="J448" s="141">
        <v>14589.525</v>
      </c>
      <c r="K448" s="238">
        <f t="shared" si="32"/>
        <v>583581</v>
      </c>
      <c r="L448" s="319" t="s">
        <v>161</v>
      </c>
      <c r="M448" s="319" t="s">
        <v>155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310"/>
    </row>
    <row r="449" spans="1:26" ht="15.75" customHeight="1">
      <c r="A449" s="125" t="str">
        <f>IF(B449&lt;&gt;"",IF(AND(B449&gt;=_TM1,B449&lt;=_TM2,OR(TH!L449="1111",TH!M449="1111")),TH!D449,""),"")</f>
        <v/>
      </c>
      <c r="B449" s="11">
        <f t="shared" si="31"/>
        <v>5</v>
      </c>
      <c r="C449" s="115">
        <f t="shared" ref="C449:C480" si="33">E449</f>
        <v>40691</v>
      </c>
      <c r="D449" s="115" t="s">
        <v>1061</v>
      </c>
      <c r="E449" s="115">
        <v>40691</v>
      </c>
      <c r="F449" s="116" t="s">
        <v>718</v>
      </c>
      <c r="G449" s="224"/>
      <c r="H449" s="242" t="s">
        <v>1037</v>
      </c>
      <c r="I449" s="141">
        <v>181</v>
      </c>
      <c r="J449" s="141">
        <v>18284.513812154695</v>
      </c>
      <c r="K449" s="238">
        <f t="shared" si="32"/>
        <v>3309497</v>
      </c>
      <c r="L449" s="14" t="s">
        <v>155</v>
      </c>
      <c r="M449" s="292" t="s">
        <v>153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121"/>
    </row>
    <row r="450" spans="1:26" ht="15.75" customHeight="1">
      <c r="A450" s="125" t="str">
        <f>IF(B450&lt;&gt;"",IF(AND(B450&gt;=_TM1,B450&lt;=_TM2,OR(TH!L450="1111",TH!M450="1111")),TH!D450,""),"")</f>
        <v/>
      </c>
      <c r="B450" s="11">
        <f t="shared" si="31"/>
        <v>5</v>
      </c>
      <c r="C450" s="115">
        <f t="shared" si="33"/>
        <v>40691</v>
      </c>
      <c r="D450" s="115" t="s">
        <v>1061</v>
      </c>
      <c r="E450" s="115">
        <v>40691</v>
      </c>
      <c r="F450" s="116" t="s">
        <v>814</v>
      </c>
      <c r="G450" s="224"/>
      <c r="H450" s="242" t="s">
        <v>1037</v>
      </c>
      <c r="I450" s="141">
        <v>254</v>
      </c>
      <c r="J450" s="141">
        <v>2480.51968503937</v>
      </c>
      <c r="K450" s="238">
        <f t="shared" si="32"/>
        <v>630052</v>
      </c>
      <c r="L450" s="14" t="s">
        <v>155</v>
      </c>
      <c r="M450" s="292" t="s">
        <v>153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121"/>
    </row>
    <row r="451" spans="1:26" ht="15.75" customHeight="1">
      <c r="A451" s="125" t="str">
        <f>IF(B451&lt;&gt;"",IF(AND(B451&gt;=_TM1,B451&lt;=_TM2,OR(TH!L451="1111",TH!M451="1111")),TH!D451,""),"")</f>
        <v/>
      </c>
      <c r="B451" s="11">
        <f t="shared" si="31"/>
        <v>5</v>
      </c>
      <c r="C451" s="115">
        <f t="shared" si="33"/>
        <v>40691</v>
      </c>
      <c r="D451" s="115" t="s">
        <v>1061</v>
      </c>
      <c r="E451" s="115">
        <v>40691</v>
      </c>
      <c r="F451" s="116" t="s">
        <v>815</v>
      </c>
      <c r="G451" s="224"/>
      <c r="H451" s="242" t="s">
        <v>1037</v>
      </c>
      <c r="I451" s="143">
        <v>408</v>
      </c>
      <c r="J451" s="143">
        <v>14206.571078431372</v>
      </c>
      <c r="K451" s="238">
        <f t="shared" si="32"/>
        <v>5796281</v>
      </c>
      <c r="L451" s="14" t="s">
        <v>155</v>
      </c>
      <c r="M451" s="292" t="s">
        <v>153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121"/>
    </row>
    <row r="452" spans="1:26" ht="15.75" customHeight="1">
      <c r="A452" s="125" t="str">
        <f>IF(B452&lt;&gt;"",IF(AND(B452&gt;=_TM1,B452&lt;=_TM2,OR(TH!L452="1111",TH!M452="1111")),TH!D452,""),"")</f>
        <v/>
      </c>
      <c r="B452" s="11">
        <f t="shared" si="31"/>
        <v>5</v>
      </c>
      <c r="C452" s="115">
        <f t="shared" si="33"/>
        <v>40691</v>
      </c>
      <c r="D452" s="115" t="s">
        <v>1061</v>
      </c>
      <c r="E452" s="115">
        <v>40691</v>
      </c>
      <c r="F452" s="116" t="s">
        <v>816</v>
      </c>
      <c r="G452" s="224"/>
      <c r="H452" s="242" t="s">
        <v>1037</v>
      </c>
      <c r="I452" s="143">
        <v>345</v>
      </c>
      <c r="J452" s="143">
        <v>9372.5130434782604</v>
      </c>
      <c r="K452" s="238">
        <f t="shared" si="32"/>
        <v>3233517</v>
      </c>
      <c r="L452" s="14" t="s">
        <v>155</v>
      </c>
      <c r="M452" s="292" t="s">
        <v>153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121"/>
    </row>
    <row r="453" spans="1:26" ht="15.75" customHeight="1">
      <c r="A453" s="125" t="str">
        <f>IF(B453&lt;&gt;"",IF(AND(B453&gt;=_TM1,B453&lt;=_TM2,OR(TH!L453="1111",TH!M453="1111")),TH!D453,""),"")</f>
        <v/>
      </c>
      <c r="B453" s="11">
        <f t="shared" si="31"/>
        <v>5</v>
      </c>
      <c r="C453" s="115">
        <f t="shared" si="33"/>
        <v>40691</v>
      </c>
      <c r="D453" s="115" t="s">
        <v>1061</v>
      </c>
      <c r="E453" s="115">
        <v>40691</v>
      </c>
      <c r="F453" s="116" t="s">
        <v>817</v>
      </c>
      <c r="G453" s="224"/>
      <c r="H453" s="242" t="s">
        <v>1037</v>
      </c>
      <c r="I453" s="141">
        <v>4</v>
      </c>
      <c r="J453" s="141">
        <v>9979.5</v>
      </c>
      <c r="K453" s="238">
        <f t="shared" si="32"/>
        <v>39918</v>
      </c>
      <c r="L453" s="14" t="s">
        <v>155</v>
      </c>
      <c r="M453" s="292" t="s">
        <v>153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121"/>
    </row>
    <row r="454" spans="1:26" ht="15.75" customHeight="1">
      <c r="A454" s="125" t="str">
        <f>IF(B454&lt;&gt;"",IF(AND(B454&gt;=_TM1,B454&lt;=_TM2,OR(TH!L454="1111",TH!M454="1111")),TH!D454,""),"")</f>
        <v/>
      </c>
      <c r="B454" s="11">
        <f t="shared" si="31"/>
        <v>5</v>
      </c>
      <c r="C454" s="115">
        <f t="shared" si="33"/>
        <v>40691</v>
      </c>
      <c r="D454" s="115" t="s">
        <v>1061</v>
      </c>
      <c r="E454" s="115">
        <v>40691</v>
      </c>
      <c r="F454" s="116" t="s">
        <v>818</v>
      </c>
      <c r="G454" s="224"/>
      <c r="H454" s="242" t="s">
        <v>1037</v>
      </c>
      <c r="I454" s="141">
        <v>67</v>
      </c>
      <c r="J454" s="141">
        <v>9979.507462686568</v>
      </c>
      <c r="K454" s="238">
        <f t="shared" si="32"/>
        <v>668627</v>
      </c>
      <c r="L454" s="14" t="s">
        <v>155</v>
      </c>
      <c r="M454" s="292" t="s">
        <v>153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121"/>
    </row>
    <row r="455" spans="1:26" ht="15.75" customHeight="1">
      <c r="A455" s="125" t="str">
        <f>IF(B455&lt;&gt;"",IF(AND(B455&gt;=_TM1,B455&lt;=_TM2,OR(TH!L455="1111",TH!M455="1111")),TH!D455,""),"")</f>
        <v/>
      </c>
      <c r="B455" s="11">
        <f t="shared" si="31"/>
        <v>5</v>
      </c>
      <c r="C455" s="115">
        <f t="shared" si="33"/>
        <v>40691</v>
      </c>
      <c r="D455" s="115" t="s">
        <v>1061</v>
      </c>
      <c r="E455" s="115">
        <v>40691</v>
      </c>
      <c r="F455" s="116" t="s">
        <v>819</v>
      </c>
      <c r="G455" s="224"/>
      <c r="H455" s="242" t="s">
        <v>1037</v>
      </c>
      <c r="I455" s="141">
        <v>27</v>
      </c>
      <c r="J455" s="141">
        <v>16143.518518518518</v>
      </c>
      <c r="K455" s="238">
        <f t="shared" si="32"/>
        <v>435875</v>
      </c>
      <c r="L455" s="14" t="s">
        <v>155</v>
      </c>
      <c r="M455" s="292" t="s">
        <v>153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121"/>
    </row>
    <row r="456" spans="1:26" ht="15.75" customHeight="1">
      <c r="A456" s="125" t="str">
        <f>IF(B456&lt;&gt;"",IF(AND(B456&gt;=_TM1,B456&lt;=_TM2,OR(TH!L456="1111",TH!M456="1111")),TH!D456,""),"")</f>
        <v/>
      </c>
      <c r="B456" s="11">
        <f t="shared" si="31"/>
        <v>5</v>
      </c>
      <c r="C456" s="115">
        <f t="shared" si="33"/>
        <v>40691</v>
      </c>
      <c r="D456" s="115" t="s">
        <v>1061</v>
      </c>
      <c r="E456" s="115">
        <v>40691</v>
      </c>
      <c r="F456" s="116" t="s">
        <v>820</v>
      </c>
      <c r="G456" s="224"/>
      <c r="H456" s="242" t="s">
        <v>1037</v>
      </c>
      <c r="I456" s="141">
        <v>16</v>
      </c>
      <c r="J456" s="141">
        <v>7483.5</v>
      </c>
      <c r="K456" s="238">
        <f t="shared" si="32"/>
        <v>119736</v>
      </c>
      <c r="L456" s="14" t="s">
        <v>155</v>
      </c>
      <c r="M456" s="292" t="s">
        <v>153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121"/>
    </row>
    <row r="457" spans="1:26" ht="15.75" customHeight="1">
      <c r="A457" s="125" t="str">
        <f>IF(B457&lt;&gt;"",IF(AND(B457&gt;=_TM1,B457&lt;=_TM2,OR(TH!L457="1111",TH!M457="1111")),TH!D457,""),"")</f>
        <v/>
      </c>
      <c r="B457" s="11">
        <f t="shared" si="31"/>
        <v>5</v>
      </c>
      <c r="C457" s="115">
        <f t="shared" si="33"/>
        <v>40691</v>
      </c>
      <c r="D457" s="115" t="s">
        <v>1061</v>
      </c>
      <c r="E457" s="115">
        <v>40691</v>
      </c>
      <c r="F457" s="116" t="s">
        <v>821</v>
      </c>
      <c r="G457" s="224"/>
      <c r="H457" s="242" t="s">
        <v>1037</v>
      </c>
      <c r="I457" s="141">
        <v>127</v>
      </c>
      <c r="J457" s="141">
        <v>16143.511811023622</v>
      </c>
      <c r="K457" s="238">
        <f t="shared" si="32"/>
        <v>2050226</v>
      </c>
      <c r="L457" s="14" t="s">
        <v>155</v>
      </c>
      <c r="M457" s="292" t="s">
        <v>153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121"/>
    </row>
    <row r="458" spans="1:26" ht="15.75" customHeight="1">
      <c r="A458" s="125" t="str">
        <f>IF(B458&lt;&gt;"",IF(AND(B458&gt;=_TM1,B458&lt;=_TM2,OR(TH!L458="1111",TH!M458="1111")),TH!D458,""),"")</f>
        <v/>
      </c>
      <c r="B458" s="11">
        <f t="shared" si="31"/>
        <v>5</v>
      </c>
      <c r="C458" s="115">
        <f t="shared" si="33"/>
        <v>40691</v>
      </c>
      <c r="D458" s="115" t="s">
        <v>1062</v>
      </c>
      <c r="E458" s="115">
        <v>40691</v>
      </c>
      <c r="F458" s="116" t="s">
        <v>822</v>
      </c>
      <c r="G458" s="224"/>
      <c r="H458" s="242" t="s">
        <v>1037</v>
      </c>
      <c r="I458" s="141">
        <v>5</v>
      </c>
      <c r="J458" s="141">
        <v>5808.6</v>
      </c>
      <c r="K458" s="238">
        <f t="shared" si="32"/>
        <v>29043</v>
      </c>
      <c r="L458" s="14" t="s">
        <v>155</v>
      </c>
      <c r="M458" s="292" t="s">
        <v>153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121"/>
    </row>
    <row r="459" spans="1:26" ht="15.75" customHeight="1">
      <c r="A459" s="125" t="str">
        <f>IF(B459&lt;&gt;"",IF(AND(B459&gt;=_TM1,B459&lt;=_TM2,OR(TH!L459="1111",TH!M459="1111")),TH!D459,""),"")</f>
        <v/>
      </c>
      <c r="B459" s="11">
        <f t="shared" si="31"/>
        <v>5</v>
      </c>
      <c r="C459" s="115">
        <f t="shared" si="33"/>
        <v>40691</v>
      </c>
      <c r="D459" s="115" t="s">
        <v>1062</v>
      </c>
      <c r="E459" s="115">
        <v>40691</v>
      </c>
      <c r="F459" s="116" t="s">
        <v>823</v>
      </c>
      <c r="G459" s="224"/>
      <c r="H459" s="242" t="s">
        <v>1037</v>
      </c>
      <c r="I459" s="141">
        <v>3</v>
      </c>
      <c r="J459" s="141">
        <v>9979.6666666666661</v>
      </c>
      <c r="K459" s="238">
        <f t="shared" si="32"/>
        <v>29939</v>
      </c>
      <c r="L459" s="14" t="s">
        <v>155</v>
      </c>
      <c r="M459" s="292" t="s">
        <v>153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121"/>
    </row>
    <row r="460" spans="1:26" ht="15.75" customHeight="1">
      <c r="A460" s="125" t="str">
        <f>IF(B460&lt;&gt;"",IF(AND(B460&gt;=_TM1,B460&lt;=_TM2,OR(TH!L460="1111",TH!M460="1111")),TH!D460,""),"")</f>
        <v/>
      </c>
      <c r="B460" s="11">
        <f t="shared" si="31"/>
        <v>5</v>
      </c>
      <c r="C460" s="115">
        <f t="shared" si="33"/>
        <v>40691</v>
      </c>
      <c r="D460" s="115" t="s">
        <v>1062</v>
      </c>
      <c r="E460" s="115">
        <v>40691</v>
      </c>
      <c r="F460" s="116" t="s">
        <v>824</v>
      </c>
      <c r="G460" s="224"/>
      <c r="H460" s="242" t="s">
        <v>1037</v>
      </c>
      <c r="I460" s="141">
        <v>12</v>
      </c>
      <c r="J460" s="141">
        <v>17484.5</v>
      </c>
      <c r="K460" s="238">
        <f t="shared" si="32"/>
        <v>209814</v>
      </c>
      <c r="L460" s="14" t="s">
        <v>155</v>
      </c>
      <c r="M460" s="292" t="s">
        <v>153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121"/>
    </row>
    <row r="461" spans="1:26" ht="15.75" customHeight="1">
      <c r="A461" s="125" t="str">
        <f>IF(B461&lt;&gt;"",IF(AND(B461&gt;=_TM1,B461&lt;=_TM2,OR(TH!L461="1111",TH!M461="1111")),TH!D461,""),"")</f>
        <v/>
      </c>
      <c r="B461" s="11">
        <f t="shared" si="31"/>
        <v>5</v>
      </c>
      <c r="C461" s="115">
        <f t="shared" si="33"/>
        <v>40691</v>
      </c>
      <c r="D461" s="115" t="s">
        <v>1062</v>
      </c>
      <c r="E461" s="115">
        <v>40691</v>
      </c>
      <c r="F461" s="116" t="s">
        <v>825</v>
      </c>
      <c r="G461" s="224"/>
      <c r="H461" s="242" t="s">
        <v>1037</v>
      </c>
      <c r="I461" s="141">
        <v>9</v>
      </c>
      <c r="J461" s="141">
        <v>7759.5555555555557</v>
      </c>
      <c r="K461" s="238">
        <f t="shared" si="32"/>
        <v>69836</v>
      </c>
      <c r="L461" s="14" t="s">
        <v>155</v>
      </c>
      <c r="M461" s="292" t="s">
        <v>153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121"/>
    </row>
    <row r="462" spans="1:26" ht="15.75" customHeight="1">
      <c r="A462" s="125" t="str">
        <f>IF(B462&lt;&gt;"",IF(AND(B462&gt;=_TM1,B462&lt;=_TM2,OR(TH!L462="1111",TH!M462="1111")),TH!D462,""),"")</f>
        <v/>
      </c>
      <c r="B462" s="11">
        <f t="shared" si="31"/>
        <v>5</v>
      </c>
      <c r="C462" s="115">
        <f t="shared" si="33"/>
        <v>40691</v>
      </c>
      <c r="D462" s="115" t="s">
        <v>1062</v>
      </c>
      <c r="E462" s="115">
        <v>40691</v>
      </c>
      <c r="F462" s="116" t="s">
        <v>826</v>
      </c>
      <c r="G462" s="224"/>
      <c r="H462" s="242" t="s">
        <v>1037</v>
      </c>
      <c r="I462" s="141">
        <v>8</v>
      </c>
      <c r="J462" s="141">
        <v>9979.5</v>
      </c>
      <c r="K462" s="238">
        <f t="shared" si="32"/>
        <v>79836</v>
      </c>
      <c r="L462" s="14" t="s">
        <v>155</v>
      </c>
      <c r="M462" s="292" t="s">
        <v>153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121"/>
    </row>
    <row r="463" spans="1:26" ht="15.75" customHeight="1">
      <c r="A463" s="125" t="str">
        <f>IF(B463&lt;&gt;"",IF(AND(B463&gt;=_TM1,B463&lt;=_TM2,OR(TH!L463="1111",TH!M463="1111")),TH!D463,""),"")</f>
        <v/>
      </c>
      <c r="B463" s="11">
        <f t="shared" si="31"/>
        <v>5</v>
      </c>
      <c r="C463" s="115">
        <f t="shared" si="33"/>
        <v>40691</v>
      </c>
      <c r="D463" s="115" t="s">
        <v>1062</v>
      </c>
      <c r="E463" s="115">
        <v>40691</v>
      </c>
      <c r="F463" s="116" t="s">
        <v>827</v>
      </c>
      <c r="G463" s="224"/>
      <c r="H463" s="242" t="s">
        <v>1037</v>
      </c>
      <c r="I463" s="141">
        <v>7</v>
      </c>
      <c r="J463" s="141">
        <v>9979.5714285714294</v>
      </c>
      <c r="K463" s="238">
        <f t="shared" si="32"/>
        <v>69857</v>
      </c>
      <c r="L463" s="14" t="s">
        <v>155</v>
      </c>
      <c r="M463" s="292" t="s">
        <v>153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121"/>
    </row>
    <row r="464" spans="1:26" ht="15.75" customHeight="1">
      <c r="A464" s="125" t="str">
        <f>IF(B464&lt;&gt;"",IF(AND(B464&gt;=_TM1,B464&lt;=_TM2,OR(TH!L464="1111",TH!M464="1111")),TH!D464,""),"")</f>
        <v/>
      </c>
      <c r="B464" s="11">
        <f t="shared" si="31"/>
        <v>5</v>
      </c>
      <c r="C464" s="115">
        <f t="shared" si="33"/>
        <v>40691</v>
      </c>
      <c r="D464" s="115" t="s">
        <v>1062</v>
      </c>
      <c r="E464" s="115">
        <v>40691</v>
      </c>
      <c r="F464" s="116" t="s">
        <v>828</v>
      </c>
      <c r="G464" s="224"/>
      <c r="H464" s="242" t="s">
        <v>1037</v>
      </c>
      <c r="I464" s="141">
        <v>13</v>
      </c>
      <c r="J464" s="141">
        <v>12946.538461538461</v>
      </c>
      <c r="K464" s="238">
        <f t="shared" si="32"/>
        <v>168305</v>
      </c>
      <c r="L464" s="14" t="s">
        <v>155</v>
      </c>
      <c r="M464" s="292" t="s">
        <v>153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121"/>
    </row>
    <row r="465" spans="1:26" ht="15.75" customHeight="1">
      <c r="A465" s="125" t="str">
        <f>IF(B465&lt;&gt;"",IF(AND(B465&gt;=_TM1,B465&lt;=_TM2,OR(TH!L465="1111",TH!M465="1111")),TH!D465,""),"")</f>
        <v/>
      </c>
      <c r="B465" s="11">
        <f t="shared" si="31"/>
        <v>5</v>
      </c>
      <c r="C465" s="115">
        <f t="shared" si="33"/>
        <v>40691</v>
      </c>
      <c r="D465" s="115" t="s">
        <v>1062</v>
      </c>
      <c r="E465" s="115">
        <v>40691</v>
      </c>
      <c r="F465" s="116" t="s">
        <v>830</v>
      </c>
      <c r="G465" s="224"/>
      <c r="H465" s="242" t="s">
        <v>1037</v>
      </c>
      <c r="I465" s="141">
        <v>5</v>
      </c>
      <c r="J465" s="141">
        <v>12946.6</v>
      </c>
      <c r="K465" s="238">
        <f t="shared" si="32"/>
        <v>64733</v>
      </c>
      <c r="L465" s="14" t="s">
        <v>155</v>
      </c>
      <c r="M465" s="292" t="s">
        <v>153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121"/>
    </row>
    <row r="466" spans="1:26" ht="15.75" customHeight="1">
      <c r="A466" s="125" t="str">
        <f>IF(B466&lt;&gt;"",IF(AND(B466&gt;=_TM1,B466&lt;=_TM2,OR(TH!L466="1111",TH!M466="1111")),TH!D466,""),"")</f>
        <v/>
      </c>
      <c r="B466" s="11">
        <f t="shared" si="31"/>
        <v>5</v>
      </c>
      <c r="C466" s="115">
        <f t="shared" si="33"/>
        <v>40691</v>
      </c>
      <c r="D466" s="115" t="s">
        <v>1062</v>
      </c>
      <c r="E466" s="115">
        <v>40691</v>
      </c>
      <c r="F466" s="116" t="s">
        <v>831</v>
      </c>
      <c r="G466" s="224"/>
      <c r="H466" s="242" t="s">
        <v>1037</v>
      </c>
      <c r="I466" s="141">
        <v>22</v>
      </c>
      <c r="J466" s="141">
        <v>17821.5</v>
      </c>
      <c r="K466" s="238">
        <f t="shared" si="32"/>
        <v>392073</v>
      </c>
      <c r="L466" s="14" t="s">
        <v>155</v>
      </c>
      <c r="M466" s="292" t="s">
        <v>153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121"/>
    </row>
    <row r="467" spans="1:26" ht="15.75" customHeight="1">
      <c r="A467" s="125" t="str">
        <f>IF(B467&lt;&gt;"",IF(AND(B467&gt;=_TM1,B467&lt;=_TM2,OR(TH!L467="1111",TH!M467="1111")),TH!D467,""),"")</f>
        <v/>
      </c>
      <c r="B467" s="11">
        <f t="shared" si="31"/>
        <v>5</v>
      </c>
      <c r="C467" s="115">
        <f t="shared" si="33"/>
        <v>40691</v>
      </c>
      <c r="D467" s="115" t="s">
        <v>1063</v>
      </c>
      <c r="E467" s="115">
        <v>40691</v>
      </c>
      <c r="F467" s="116" t="s">
        <v>832</v>
      </c>
      <c r="G467" s="224"/>
      <c r="H467" s="242" t="s">
        <v>1037</v>
      </c>
      <c r="I467" s="141">
        <v>245</v>
      </c>
      <c r="J467" s="141">
        <v>7483.5142857142855</v>
      </c>
      <c r="K467" s="238">
        <f t="shared" si="32"/>
        <v>1833461</v>
      </c>
      <c r="L467" s="14" t="s">
        <v>155</v>
      </c>
      <c r="M467" s="292" t="s">
        <v>153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121"/>
    </row>
    <row r="468" spans="1:26" ht="15.75" customHeight="1">
      <c r="A468" s="125" t="str">
        <f>IF(B468&lt;&gt;"",IF(AND(B468&gt;=_TM1,B468&lt;=_TM2,OR(TH!L468="1111",TH!M468="1111")),TH!D468,""),"")</f>
        <v/>
      </c>
      <c r="B468" s="11">
        <f t="shared" si="31"/>
        <v>5</v>
      </c>
      <c r="C468" s="115">
        <f t="shared" si="33"/>
        <v>40691</v>
      </c>
      <c r="D468" s="115" t="s">
        <v>1063</v>
      </c>
      <c r="E468" s="115">
        <v>40691</v>
      </c>
      <c r="F468" s="116" t="s">
        <v>833</v>
      </c>
      <c r="G468" s="224"/>
      <c r="H468" s="242" t="s">
        <v>1037</v>
      </c>
      <c r="I468" s="141">
        <v>429</v>
      </c>
      <c r="J468" s="141">
        <v>24018.659673659673</v>
      </c>
      <c r="K468" s="238">
        <f t="shared" si="32"/>
        <v>10304005</v>
      </c>
      <c r="L468" s="14" t="s">
        <v>155</v>
      </c>
      <c r="M468" s="292" t="s">
        <v>153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121"/>
    </row>
    <row r="469" spans="1:26" ht="15.75" customHeight="1">
      <c r="A469" s="125" t="str">
        <f>IF(B469&lt;&gt;"",IF(AND(B469&gt;=_TM1,B469&lt;=_TM2,OR(TH!L469="1111",TH!M469="1111")),TH!D469,""),"")</f>
        <v/>
      </c>
      <c r="B469" s="11">
        <f t="shared" si="31"/>
        <v>5</v>
      </c>
      <c r="C469" s="115">
        <f t="shared" si="33"/>
        <v>40691</v>
      </c>
      <c r="D469" s="115" t="s">
        <v>1063</v>
      </c>
      <c r="E469" s="115">
        <v>40691</v>
      </c>
      <c r="F469" s="116" t="s">
        <v>821</v>
      </c>
      <c r="G469" s="224"/>
      <c r="H469" s="242" t="s">
        <v>1037</v>
      </c>
      <c r="I469" s="141">
        <v>22</v>
      </c>
      <c r="J469" s="141">
        <v>16143.5</v>
      </c>
      <c r="K469" s="238">
        <f t="shared" ref="K469:K500" si="34">ROUND(I469*J469,0)</f>
        <v>355157</v>
      </c>
      <c r="L469" s="14" t="s">
        <v>155</v>
      </c>
      <c r="M469" s="292" t="s">
        <v>153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121"/>
    </row>
    <row r="470" spans="1:26" ht="15.75" customHeight="1">
      <c r="A470" s="125" t="str">
        <f>IF(B470&lt;&gt;"",IF(AND(B470&gt;=_TM1,B470&lt;=_TM2,OR(TH!L470="1111",TH!M470="1111")),TH!D470,""),"")</f>
        <v/>
      </c>
      <c r="B470" s="11">
        <f t="shared" ref="B470:B533" si="35">IF(C470&lt;&gt;"",MONTH(C470),"")</f>
        <v>5</v>
      </c>
      <c r="C470" s="115">
        <f t="shared" si="33"/>
        <v>40691</v>
      </c>
      <c r="D470" s="115" t="s">
        <v>1063</v>
      </c>
      <c r="E470" s="115">
        <v>40691</v>
      </c>
      <c r="F470" s="116" t="s">
        <v>834</v>
      </c>
      <c r="G470" s="224"/>
      <c r="H470" s="242" t="s">
        <v>1037</v>
      </c>
      <c r="I470" s="141">
        <v>4</v>
      </c>
      <c r="J470" s="141">
        <v>16143.5</v>
      </c>
      <c r="K470" s="238">
        <f t="shared" si="34"/>
        <v>64574</v>
      </c>
      <c r="L470" s="14" t="s">
        <v>155</v>
      </c>
      <c r="M470" s="292" t="s">
        <v>153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121"/>
    </row>
    <row r="471" spans="1:26" ht="15.75" customHeight="1">
      <c r="A471" s="125" t="str">
        <f>IF(B471&lt;&gt;"",IF(AND(B471&gt;=_TM1,B471&lt;=_TM2,OR(TH!L471="1111",TH!M471="1111")),TH!D471,""),"")</f>
        <v/>
      </c>
      <c r="B471" s="11">
        <f t="shared" si="35"/>
        <v>5</v>
      </c>
      <c r="C471" s="115">
        <f t="shared" si="33"/>
        <v>40691</v>
      </c>
      <c r="D471" s="115" t="s">
        <v>1063</v>
      </c>
      <c r="E471" s="115">
        <v>40691</v>
      </c>
      <c r="F471" s="116" t="s">
        <v>835</v>
      </c>
      <c r="G471" s="224"/>
      <c r="H471" s="242" t="s">
        <v>1037</v>
      </c>
      <c r="I471" s="141">
        <v>2</v>
      </c>
      <c r="J471" s="141">
        <v>14857.5</v>
      </c>
      <c r="K471" s="238">
        <f t="shared" si="34"/>
        <v>29715</v>
      </c>
      <c r="L471" s="14" t="s">
        <v>155</v>
      </c>
      <c r="M471" s="292" t="s">
        <v>153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121"/>
    </row>
    <row r="472" spans="1:26" ht="15.75" customHeight="1">
      <c r="A472" s="125" t="str">
        <f>IF(B472&lt;&gt;"",IF(AND(B472&gt;=_TM1,B472&lt;=_TM2,OR(TH!L472="1111",TH!M472="1111")),TH!D472,""),"")</f>
        <v/>
      </c>
      <c r="B472" s="11">
        <f t="shared" si="35"/>
        <v>5</v>
      </c>
      <c r="C472" s="115">
        <f t="shared" si="33"/>
        <v>40691</v>
      </c>
      <c r="D472" s="115" t="s">
        <v>1063</v>
      </c>
      <c r="E472" s="115">
        <v>40691</v>
      </c>
      <c r="F472" s="116" t="s">
        <v>815</v>
      </c>
      <c r="G472" s="224"/>
      <c r="H472" s="242" t="s">
        <v>1037</v>
      </c>
      <c r="I472" s="141">
        <v>3</v>
      </c>
      <c r="J472" s="141">
        <v>14857.666666666666</v>
      </c>
      <c r="K472" s="238">
        <f t="shared" si="34"/>
        <v>44573</v>
      </c>
      <c r="L472" s="14" t="s">
        <v>155</v>
      </c>
      <c r="M472" s="292" t="s">
        <v>153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121"/>
    </row>
    <row r="473" spans="1:26" ht="15.75" customHeight="1">
      <c r="A473" s="125" t="str">
        <f>IF(B473&lt;&gt;"",IF(AND(B473&gt;=_TM1,B473&lt;=_TM2,OR(TH!L473="1111",TH!M473="1111")),TH!D473,""),"")</f>
        <v/>
      </c>
      <c r="B473" s="11">
        <f t="shared" si="35"/>
        <v>5</v>
      </c>
      <c r="C473" s="115">
        <f t="shared" si="33"/>
        <v>40691</v>
      </c>
      <c r="D473" s="115" t="s">
        <v>1063</v>
      </c>
      <c r="E473" s="115">
        <v>40691</v>
      </c>
      <c r="F473" s="116" t="s">
        <v>819</v>
      </c>
      <c r="G473" s="224"/>
      <c r="H473" s="242" t="s">
        <v>1037</v>
      </c>
      <c r="I473" s="141">
        <v>1</v>
      </c>
      <c r="J473" s="141">
        <v>14858</v>
      </c>
      <c r="K473" s="238">
        <f t="shared" si="34"/>
        <v>14858</v>
      </c>
      <c r="L473" s="14" t="s">
        <v>155</v>
      </c>
      <c r="M473" s="292" t="s">
        <v>153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21"/>
    </row>
    <row r="474" spans="1:26" ht="15.75" customHeight="1">
      <c r="A474" s="125" t="str">
        <f>IF(B474&lt;&gt;"",IF(AND(B474&gt;=_TM1,B474&lt;=_TM2,OR(TH!L474="1111",TH!M474="1111")),TH!D474,""),"")</f>
        <v/>
      </c>
      <c r="B474" s="11">
        <f t="shared" si="35"/>
        <v>5</v>
      </c>
      <c r="C474" s="115">
        <f t="shared" si="33"/>
        <v>40691</v>
      </c>
      <c r="D474" s="115" t="s">
        <v>1063</v>
      </c>
      <c r="E474" s="115">
        <v>40691</v>
      </c>
      <c r="F474" s="116" t="s">
        <v>816</v>
      </c>
      <c r="G474" s="224"/>
      <c r="H474" s="242" t="s">
        <v>1037</v>
      </c>
      <c r="I474" s="141">
        <v>5</v>
      </c>
      <c r="J474" s="141">
        <v>9372.6</v>
      </c>
      <c r="K474" s="238">
        <f t="shared" si="34"/>
        <v>46863</v>
      </c>
      <c r="L474" s="14" t="s">
        <v>155</v>
      </c>
      <c r="M474" s="292" t="s">
        <v>153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21"/>
    </row>
    <row r="475" spans="1:26" ht="15.75" customHeight="1">
      <c r="A475" s="125" t="str">
        <f>IF(B475&lt;&gt;"",IF(AND(B475&gt;=_TM1,B475&lt;=_TM2,OR(TH!L475="1111",TH!M475="1111")),TH!D475,""),"")</f>
        <v/>
      </c>
      <c r="B475" s="11">
        <f t="shared" si="35"/>
        <v>5</v>
      </c>
      <c r="C475" s="115">
        <f t="shared" si="33"/>
        <v>40691</v>
      </c>
      <c r="D475" s="115" t="s">
        <v>1063</v>
      </c>
      <c r="E475" s="115">
        <v>40691</v>
      </c>
      <c r="F475" s="116" t="s">
        <v>839</v>
      </c>
      <c r="G475" s="224"/>
      <c r="H475" s="242" t="s">
        <v>1037</v>
      </c>
      <c r="I475" s="141">
        <v>344</v>
      </c>
      <c r="J475" s="141">
        <v>16694.151162790698</v>
      </c>
      <c r="K475" s="238">
        <f t="shared" si="34"/>
        <v>5742788</v>
      </c>
      <c r="L475" s="14" t="s">
        <v>155</v>
      </c>
      <c r="M475" s="292" t="s">
        <v>153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21"/>
    </row>
    <row r="476" spans="1:26" ht="15.75" customHeight="1">
      <c r="A476" s="125" t="str">
        <f>IF(B476&lt;&gt;"",IF(AND(B476&gt;=_TM1,B476&lt;=_TM2,OR(TH!L476="1111",TH!M476="1111")),TH!D476,""),"")</f>
        <v/>
      </c>
      <c r="B476" s="11">
        <f t="shared" si="35"/>
        <v>5</v>
      </c>
      <c r="C476" s="115">
        <f t="shared" si="33"/>
        <v>40691</v>
      </c>
      <c r="D476" s="115" t="s">
        <v>1064</v>
      </c>
      <c r="E476" s="115">
        <v>40691</v>
      </c>
      <c r="F476" s="116" t="s">
        <v>837</v>
      </c>
      <c r="G476" s="224"/>
      <c r="H476" s="242" t="s">
        <v>1037</v>
      </c>
      <c r="I476" s="141">
        <v>239</v>
      </c>
      <c r="J476" s="141">
        <v>5808.5146443514641</v>
      </c>
      <c r="K476" s="238">
        <f t="shared" si="34"/>
        <v>1388235</v>
      </c>
      <c r="L476" s="14" t="s">
        <v>155</v>
      </c>
      <c r="M476" s="292" t="s">
        <v>153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21"/>
    </row>
    <row r="477" spans="1:26" ht="15.75" customHeight="1">
      <c r="A477" s="125" t="str">
        <f>IF(B477&lt;&gt;"",IF(AND(B477&gt;=_TM1,B477&lt;=_TM2,OR(TH!L477="1111",TH!M477="1111")),TH!D477,""),"")</f>
        <v/>
      </c>
      <c r="B477" s="11">
        <f t="shared" si="35"/>
        <v>5</v>
      </c>
      <c r="C477" s="115">
        <f t="shared" si="33"/>
        <v>40691</v>
      </c>
      <c r="D477" s="115" t="s">
        <v>1064</v>
      </c>
      <c r="E477" s="115">
        <v>40691</v>
      </c>
      <c r="F477" s="116" t="s">
        <v>838</v>
      </c>
      <c r="G477" s="224"/>
      <c r="H477" s="242" t="s">
        <v>1037</v>
      </c>
      <c r="I477" s="141">
        <v>102</v>
      </c>
      <c r="J477" s="141">
        <v>3584.0098039215686</v>
      </c>
      <c r="K477" s="238">
        <f t="shared" si="34"/>
        <v>365569</v>
      </c>
      <c r="L477" s="14" t="s">
        <v>155</v>
      </c>
      <c r="M477" s="292" t="s">
        <v>153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21"/>
    </row>
    <row r="478" spans="1:26" ht="15.75" customHeight="1">
      <c r="A478" s="125" t="str">
        <f>IF(B478&lt;&gt;"",IF(AND(B478&gt;=_TM1,B478&lt;=_TM2,OR(TH!L478="1111",TH!M478="1111")),TH!D478,""),"")</f>
        <v/>
      </c>
      <c r="B478" s="11">
        <f t="shared" si="35"/>
        <v>5</v>
      </c>
      <c r="C478" s="115">
        <f t="shared" si="33"/>
        <v>40691</v>
      </c>
      <c r="D478" s="115" t="s">
        <v>1064</v>
      </c>
      <c r="E478" s="115">
        <v>40691</v>
      </c>
      <c r="F478" s="116" t="s">
        <v>840</v>
      </c>
      <c r="G478" s="224"/>
      <c r="H478" s="242" t="s">
        <v>1037</v>
      </c>
      <c r="I478" s="141">
        <v>24</v>
      </c>
      <c r="J478" s="141">
        <v>13959.5</v>
      </c>
      <c r="K478" s="238">
        <f t="shared" si="34"/>
        <v>335028</v>
      </c>
      <c r="L478" s="14" t="s">
        <v>155</v>
      </c>
      <c r="M478" s="292" t="s">
        <v>153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21"/>
    </row>
    <row r="479" spans="1:26" ht="15.75" customHeight="1">
      <c r="A479" s="125" t="str">
        <f>IF(B479&lt;&gt;"",IF(AND(B479&gt;=_TM1,B479&lt;=_TM2,OR(TH!L479="1111",TH!M479="1111")),TH!D479,""),"")</f>
        <v/>
      </c>
      <c r="B479" s="11">
        <f t="shared" si="35"/>
        <v>5</v>
      </c>
      <c r="C479" s="115">
        <f t="shared" si="33"/>
        <v>40691</v>
      </c>
      <c r="D479" s="115" t="s">
        <v>1064</v>
      </c>
      <c r="E479" s="115">
        <v>40691</v>
      </c>
      <c r="F479" s="116" t="s">
        <v>833</v>
      </c>
      <c r="G479" s="224"/>
      <c r="H479" s="242" t="s">
        <v>1037</v>
      </c>
      <c r="I479" s="141">
        <v>208</v>
      </c>
      <c r="J479" s="141">
        <v>24021.947115384617</v>
      </c>
      <c r="K479" s="238">
        <f t="shared" si="34"/>
        <v>4996565</v>
      </c>
      <c r="L479" s="14" t="s">
        <v>155</v>
      </c>
      <c r="M479" s="292" t="s">
        <v>153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121"/>
    </row>
    <row r="480" spans="1:26" ht="15.75" customHeight="1">
      <c r="A480" s="125" t="str">
        <f>IF(B480&lt;&gt;"",IF(AND(B480&gt;=_TM1,B480&lt;=_TM2,OR(TH!L480="1111",TH!M480="1111")),TH!D480,""),"")</f>
        <v/>
      </c>
      <c r="B480" s="11">
        <f t="shared" si="35"/>
        <v>5</v>
      </c>
      <c r="C480" s="115">
        <f t="shared" si="33"/>
        <v>40691</v>
      </c>
      <c r="D480" s="115" t="s">
        <v>1064</v>
      </c>
      <c r="E480" s="115">
        <v>40691</v>
      </c>
      <c r="F480" s="116" t="s">
        <v>841</v>
      </c>
      <c r="G480" s="224"/>
      <c r="H480" s="242" t="s">
        <v>1037</v>
      </c>
      <c r="I480" s="141">
        <v>51</v>
      </c>
      <c r="J480" s="141">
        <v>26161.470588235294</v>
      </c>
      <c r="K480" s="238">
        <f t="shared" si="34"/>
        <v>1334235</v>
      </c>
      <c r="L480" s="14" t="s">
        <v>155</v>
      </c>
      <c r="M480" s="292" t="s">
        <v>153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121"/>
    </row>
    <row r="481" spans="1:26" ht="15.75" customHeight="1">
      <c r="A481" s="125" t="str">
        <f>IF(B481&lt;&gt;"",IF(AND(B481&gt;=_TM1,B481&lt;=_TM2,OR(TH!L481="1111",TH!M481="1111")),TH!D481,""),"")</f>
        <v/>
      </c>
      <c r="B481" s="11">
        <f t="shared" si="35"/>
        <v>5</v>
      </c>
      <c r="C481" s="115">
        <f t="shared" ref="C481:C504" si="36">E481</f>
        <v>40691</v>
      </c>
      <c r="D481" s="115" t="s">
        <v>1064</v>
      </c>
      <c r="E481" s="115">
        <v>40691</v>
      </c>
      <c r="F481" s="116" t="s">
        <v>843</v>
      </c>
      <c r="G481" s="224"/>
      <c r="H481" s="242" t="s">
        <v>1037</v>
      </c>
      <c r="I481" s="141">
        <v>406</v>
      </c>
      <c r="J481" s="141">
        <v>25075.512315270935</v>
      </c>
      <c r="K481" s="238">
        <f t="shared" si="34"/>
        <v>10180658</v>
      </c>
      <c r="L481" s="14" t="s">
        <v>155</v>
      </c>
      <c r="M481" s="292" t="s">
        <v>153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121"/>
    </row>
    <row r="482" spans="1:26" ht="15.75" customHeight="1">
      <c r="A482" s="125" t="str">
        <f>IF(B482&lt;&gt;"",IF(AND(B482&gt;=_TM1,B482&lt;=_TM2,OR(TH!L482="1111",TH!M482="1111")),TH!D482,""),"")</f>
        <v/>
      </c>
      <c r="B482" s="11">
        <f t="shared" si="35"/>
        <v>5</v>
      </c>
      <c r="C482" s="115">
        <f t="shared" si="36"/>
        <v>40691</v>
      </c>
      <c r="D482" s="115" t="s">
        <v>1064</v>
      </c>
      <c r="E482" s="115">
        <v>40691</v>
      </c>
      <c r="F482" s="116" t="s">
        <v>844</v>
      </c>
      <c r="G482" s="224"/>
      <c r="H482" s="242" t="s">
        <v>1037</v>
      </c>
      <c r="I482" s="141">
        <v>50</v>
      </c>
      <c r="J482" s="141">
        <v>5808.52</v>
      </c>
      <c r="K482" s="238">
        <f t="shared" si="34"/>
        <v>290426</v>
      </c>
      <c r="L482" s="14" t="s">
        <v>155</v>
      </c>
      <c r="M482" s="292" t="s">
        <v>153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121"/>
    </row>
    <row r="483" spans="1:26" ht="15.75" customHeight="1">
      <c r="A483" s="125" t="str">
        <f>IF(B483&lt;&gt;"",IF(AND(B483&gt;=_TM1,B483&lt;=_TM2,OR(TH!L483="1111",TH!M483="1111")),TH!D483,""),"")</f>
        <v/>
      </c>
      <c r="B483" s="11">
        <f t="shared" si="35"/>
        <v>5</v>
      </c>
      <c r="C483" s="115">
        <f t="shared" si="36"/>
        <v>40691</v>
      </c>
      <c r="D483" s="115" t="s">
        <v>1064</v>
      </c>
      <c r="E483" s="115">
        <v>40691</v>
      </c>
      <c r="F483" s="116" t="s">
        <v>845</v>
      </c>
      <c r="G483" s="224"/>
      <c r="H483" s="242" t="s">
        <v>1037</v>
      </c>
      <c r="I483" s="141">
        <v>68</v>
      </c>
      <c r="J483" s="141">
        <v>2471.7647058823532</v>
      </c>
      <c r="K483" s="238">
        <f t="shared" si="34"/>
        <v>168080</v>
      </c>
      <c r="L483" s="14" t="s">
        <v>155</v>
      </c>
      <c r="M483" s="292" t="s">
        <v>153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121"/>
    </row>
    <row r="484" spans="1:26" ht="15.75" customHeight="1">
      <c r="A484" s="125" t="str">
        <f>IF(B484&lt;&gt;"",IF(AND(B484&gt;=_TM1,B484&lt;=_TM2,OR(TH!L484="1111",TH!M484="1111")),TH!D484,""),"")</f>
        <v/>
      </c>
      <c r="B484" s="11">
        <f t="shared" si="35"/>
        <v>5</v>
      </c>
      <c r="C484" s="115">
        <f t="shared" si="36"/>
        <v>40691</v>
      </c>
      <c r="D484" s="115" t="s">
        <v>1064</v>
      </c>
      <c r="E484" s="115">
        <v>40691</v>
      </c>
      <c r="F484" s="116" t="s">
        <v>846</v>
      </c>
      <c r="G484" s="224"/>
      <c r="H484" s="242" t="s">
        <v>1037</v>
      </c>
      <c r="I484" s="141">
        <v>300</v>
      </c>
      <c r="J484" s="141">
        <v>2471.7633333333333</v>
      </c>
      <c r="K484" s="238">
        <f t="shared" si="34"/>
        <v>741529</v>
      </c>
      <c r="L484" s="14" t="s">
        <v>155</v>
      </c>
      <c r="M484" s="292" t="s">
        <v>153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121"/>
    </row>
    <row r="485" spans="1:26" ht="15.75" customHeight="1">
      <c r="A485" s="125" t="str">
        <f>IF(B485&lt;&gt;"",IF(AND(B485&gt;=_TM1,B485&lt;=_TM2,OR(TH!L485="1111",TH!M485="1111")),TH!D485,""),"")</f>
        <v/>
      </c>
      <c r="B485" s="11">
        <f t="shared" si="35"/>
        <v>5</v>
      </c>
      <c r="C485" s="115">
        <f t="shared" si="36"/>
        <v>40691</v>
      </c>
      <c r="D485" s="115" t="s">
        <v>1065</v>
      </c>
      <c r="E485" s="115">
        <v>40691</v>
      </c>
      <c r="F485" s="116" t="s">
        <v>847</v>
      </c>
      <c r="G485" s="224"/>
      <c r="H485" s="242" t="s">
        <v>1037</v>
      </c>
      <c r="I485" s="141">
        <v>40</v>
      </c>
      <c r="J485" s="141">
        <v>2471.7750000000001</v>
      </c>
      <c r="K485" s="238">
        <f t="shared" si="34"/>
        <v>98871</v>
      </c>
      <c r="L485" s="14" t="s">
        <v>155</v>
      </c>
      <c r="M485" s="292" t="s">
        <v>153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121"/>
    </row>
    <row r="486" spans="1:26" ht="15.75" customHeight="1">
      <c r="A486" s="125" t="str">
        <f>IF(B486&lt;&gt;"",IF(AND(B486&gt;=_TM1,B486&lt;=_TM2,OR(TH!L486="1111",TH!M486="1111")),TH!D486,""),"")</f>
        <v/>
      </c>
      <c r="B486" s="11">
        <f t="shared" si="35"/>
        <v>5</v>
      </c>
      <c r="C486" s="115">
        <f t="shared" si="36"/>
        <v>40691</v>
      </c>
      <c r="D486" s="115" t="s">
        <v>1065</v>
      </c>
      <c r="E486" s="115">
        <v>40691</v>
      </c>
      <c r="F486" s="116" t="s">
        <v>848</v>
      </c>
      <c r="G486" s="224"/>
      <c r="H486" s="242" t="s">
        <v>1037</v>
      </c>
      <c r="I486" s="141">
        <v>34</v>
      </c>
      <c r="J486" s="141">
        <v>3584</v>
      </c>
      <c r="K486" s="238">
        <f t="shared" si="34"/>
        <v>121856</v>
      </c>
      <c r="L486" s="14" t="s">
        <v>155</v>
      </c>
      <c r="M486" s="292" t="s">
        <v>153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121"/>
    </row>
    <row r="487" spans="1:26" ht="15.75" customHeight="1">
      <c r="A487" s="125" t="str">
        <f>IF(B487&lt;&gt;"",IF(AND(B487&gt;=_TM1,B487&lt;=_TM2,OR(TH!L487="1111",TH!M487="1111")),TH!D487,""),"")</f>
        <v/>
      </c>
      <c r="B487" s="11">
        <f t="shared" si="35"/>
        <v>5</v>
      </c>
      <c r="C487" s="115">
        <f t="shared" si="36"/>
        <v>40691</v>
      </c>
      <c r="D487" s="115" t="s">
        <v>1065</v>
      </c>
      <c r="E487" s="115">
        <v>40691</v>
      </c>
      <c r="F487" s="116" t="s">
        <v>849</v>
      </c>
      <c r="G487" s="224"/>
      <c r="H487" s="242" t="s">
        <v>1037</v>
      </c>
      <c r="I487" s="141">
        <v>140</v>
      </c>
      <c r="J487" s="141">
        <v>3584.0142857142855</v>
      </c>
      <c r="K487" s="238">
        <f t="shared" si="34"/>
        <v>501762</v>
      </c>
      <c r="L487" s="14" t="s">
        <v>155</v>
      </c>
      <c r="M487" s="292" t="s">
        <v>153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121"/>
    </row>
    <row r="488" spans="1:26" ht="15.75" customHeight="1">
      <c r="A488" s="125" t="str">
        <f>IF(B488&lt;&gt;"",IF(AND(B488&gt;=_TM1,B488&lt;=_TM2,OR(TH!L488="1111",TH!M488="1111")),TH!D488,""),"")</f>
        <v/>
      </c>
      <c r="B488" s="11">
        <f t="shared" si="35"/>
        <v>5</v>
      </c>
      <c r="C488" s="115">
        <f t="shared" si="36"/>
        <v>40691</v>
      </c>
      <c r="D488" s="115" t="s">
        <v>1065</v>
      </c>
      <c r="E488" s="115">
        <v>40691</v>
      </c>
      <c r="F488" s="116" t="s">
        <v>850</v>
      </c>
      <c r="G488" s="224"/>
      <c r="H488" s="242" t="s">
        <v>1037</v>
      </c>
      <c r="I488" s="141">
        <v>140</v>
      </c>
      <c r="J488" s="141">
        <v>9372.5142857142855</v>
      </c>
      <c r="K488" s="238">
        <f t="shared" si="34"/>
        <v>1312152</v>
      </c>
      <c r="L488" s="14" t="s">
        <v>155</v>
      </c>
      <c r="M488" s="292" t="s">
        <v>153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121"/>
    </row>
    <row r="489" spans="1:26" ht="15.75" customHeight="1">
      <c r="A489" s="125" t="str">
        <f>IF(B489&lt;&gt;"",IF(AND(B489&gt;=_TM1,B489&lt;=_TM2,OR(TH!L489="1111",TH!M489="1111")),TH!D489,""),"")</f>
        <v/>
      </c>
      <c r="B489" s="11">
        <f t="shared" si="35"/>
        <v>5</v>
      </c>
      <c r="C489" s="115">
        <f t="shared" si="36"/>
        <v>40691</v>
      </c>
      <c r="D489" s="115" t="s">
        <v>1065</v>
      </c>
      <c r="E489" s="115">
        <v>40691</v>
      </c>
      <c r="F489" s="116" t="s">
        <v>840</v>
      </c>
      <c r="G489" s="224"/>
      <c r="H489" s="242" t="s">
        <v>1037</v>
      </c>
      <c r="I489" s="141">
        <v>10</v>
      </c>
      <c r="J489" s="141">
        <v>13959.5</v>
      </c>
      <c r="K489" s="238">
        <f t="shared" si="34"/>
        <v>139595</v>
      </c>
      <c r="L489" s="14" t="s">
        <v>155</v>
      </c>
      <c r="M489" s="292" t="s">
        <v>153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121"/>
    </row>
    <row r="490" spans="1:26" ht="15.75" customHeight="1">
      <c r="A490" s="125" t="str">
        <f>IF(B490&lt;&gt;"",IF(AND(B490&gt;=_TM1,B490&lt;=_TM2,OR(TH!L490="1111",TH!M490="1111")),TH!D490,""),"")</f>
        <v/>
      </c>
      <c r="B490" s="11">
        <f t="shared" si="35"/>
        <v>5</v>
      </c>
      <c r="C490" s="115">
        <f t="shared" si="36"/>
        <v>40691</v>
      </c>
      <c r="D490" s="115" t="s">
        <v>1065</v>
      </c>
      <c r="E490" s="115">
        <v>40691</v>
      </c>
      <c r="F490" s="116" t="s">
        <v>851</v>
      </c>
      <c r="G490" s="224"/>
      <c r="H490" s="242" t="s">
        <v>1037</v>
      </c>
      <c r="I490" s="141">
        <v>68</v>
      </c>
      <c r="J490" s="141">
        <v>9979.5147058823532</v>
      </c>
      <c r="K490" s="238">
        <f t="shared" si="34"/>
        <v>678607</v>
      </c>
      <c r="L490" s="14" t="s">
        <v>155</v>
      </c>
      <c r="M490" s="292" t="s">
        <v>153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121"/>
    </row>
    <row r="491" spans="1:26" ht="15.75" customHeight="1">
      <c r="A491" s="125" t="str">
        <f>IF(B491&lt;&gt;"",IF(AND(B491&gt;=_TM1,B491&lt;=_TM2,OR(TH!L491="1111",TH!M491="1111")),TH!D491,""),"")</f>
        <v/>
      </c>
      <c r="B491" s="11">
        <f t="shared" si="35"/>
        <v>5</v>
      </c>
      <c r="C491" s="115">
        <f t="shared" si="36"/>
        <v>40691</v>
      </c>
      <c r="D491" s="115" t="s">
        <v>1065</v>
      </c>
      <c r="E491" s="115">
        <v>40691</v>
      </c>
      <c r="F491" s="116" t="s">
        <v>852</v>
      </c>
      <c r="G491" s="224"/>
      <c r="H491" s="242" t="s">
        <v>1037</v>
      </c>
      <c r="I491" s="141">
        <v>300</v>
      </c>
      <c r="J491" s="141">
        <v>12946.513333333334</v>
      </c>
      <c r="K491" s="238">
        <f t="shared" si="34"/>
        <v>3883954</v>
      </c>
      <c r="L491" s="14" t="s">
        <v>155</v>
      </c>
      <c r="M491" s="292" t="s">
        <v>153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/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21"/>
    </row>
    <row r="492" spans="1:26" ht="15.75" customHeight="1">
      <c r="A492" s="125" t="str">
        <f>IF(B492&lt;&gt;"",IF(AND(B492&gt;=_TM1,B492&lt;=_TM2,OR(TH!L492="1111",TH!M492="1111")),TH!D492,""),"")</f>
        <v/>
      </c>
      <c r="B492" s="11">
        <f t="shared" si="35"/>
        <v>5</v>
      </c>
      <c r="C492" s="115">
        <f t="shared" si="36"/>
        <v>40691</v>
      </c>
      <c r="D492" s="115" t="s">
        <v>1065</v>
      </c>
      <c r="E492" s="115">
        <v>40691</v>
      </c>
      <c r="F492" s="116" t="s">
        <v>853</v>
      </c>
      <c r="G492" s="224"/>
      <c r="H492" s="242" t="s">
        <v>1037</v>
      </c>
      <c r="I492" s="141">
        <v>40</v>
      </c>
      <c r="J492" s="141">
        <v>14589.525</v>
      </c>
      <c r="K492" s="238">
        <f t="shared" si="34"/>
        <v>583581</v>
      </c>
      <c r="L492" s="14" t="s">
        <v>155</v>
      </c>
      <c r="M492" s="292" t="s">
        <v>153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/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21"/>
    </row>
    <row r="493" spans="1:26" ht="15.75" customHeight="1">
      <c r="A493" s="125" t="str">
        <f>IF(B493&lt;&gt;"",IF(AND(B493&gt;=_TM1,B493&lt;=_TM2,OR(TH!L493="1111",TH!M493="1111")),TH!D493,""),"")</f>
        <v/>
      </c>
      <c r="B493" s="11">
        <f t="shared" si="35"/>
        <v>5</v>
      </c>
      <c r="C493" s="115">
        <f t="shared" si="36"/>
        <v>40692</v>
      </c>
      <c r="D493" s="288" t="s">
        <v>1046</v>
      </c>
      <c r="E493" s="115">
        <v>40692</v>
      </c>
      <c r="F493" s="154" t="s">
        <v>455</v>
      </c>
      <c r="G493" s="224"/>
      <c r="H493" s="242" t="s">
        <v>1037</v>
      </c>
      <c r="I493" s="141">
        <v>943</v>
      </c>
      <c r="J493" s="141">
        <v>4592</v>
      </c>
      <c r="K493" s="238">
        <f t="shared" si="34"/>
        <v>4330256</v>
      </c>
      <c r="L493" s="14" t="s">
        <v>153</v>
      </c>
      <c r="M493" s="292" t="s">
        <v>147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/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21"/>
    </row>
    <row r="494" spans="1:26" ht="15.75" customHeight="1">
      <c r="A494" s="125" t="str">
        <f>IF(B494&lt;&gt;"",IF(AND(B494&gt;=_TM1,B494&lt;=_TM2,OR(TH!L494="1111",TH!M494="1111")),TH!D494,""),"")</f>
        <v/>
      </c>
      <c r="B494" s="11">
        <f t="shared" si="35"/>
        <v>5</v>
      </c>
      <c r="C494" s="115">
        <f t="shared" si="36"/>
        <v>40692</v>
      </c>
      <c r="D494" s="288" t="s">
        <v>1046</v>
      </c>
      <c r="E494" s="115">
        <v>40692</v>
      </c>
      <c r="F494" s="154" t="s">
        <v>364</v>
      </c>
      <c r="G494" s="224"/>
      <c r="H494" s="242" t="s">
        <v>1037</v>
      </c>
      <c r="I494" s="315">
        <v>303</v>
      </c>
      <c r="J494" s="141">
        <v>4449</v>
      </c>
      <c r="K494" s="238">
        <f t="shared" si="34"/>
        <v>1348047</v>
      </c>
      <c r="L494" s="14" t="s">
        <v>153</v>
      </c>
      <c r="M494" s="292" t="s">
        <v>147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/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>x</v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21"/>
    </row>
    <row r="495" spans="1:26" ht="15.75" customHeight="1">
      <c r="A495" s="125" t="str">
        <f>IF(B495&lt;&gt;"",IF(AND(B495&gt;=_TM1,B495&lt;=_TM2,OR(TH!L495="1111",TH!M495="1111")),TH!D495,""),"")</f>
        <v/>
      </c>
      <c r="B495" s="11">
        <f t="shared" si="35"/>
        <v>5</v>
      </c>
      <c r="C495" s="115">
        <f t="shared" si="36"/>
        <v>40692</v>
      </c>
      <c r="D495" s="288" t="s">
        <v>1046</v>
      </c>
      <c r="E495" s="115">
        <v>40692</v>
      </c>
      <c r="F495" s="114" t="s">
        <v>474</v>
      </c>
      <c r="G495" s="224"/>
      <c r="H495" s="242" t="s">
        <v>1037</v>
      </c>
      <c r="I495" s="145">
        <v>30</v>
      </c>
      <c r="J495" s="145">
        <v>11587</v>
      </c>
      <c r="K495" s="238">
        <f t="shared" si="34"/>
        <v>347610</v>
      </c>
      <c r="L495" s="14" t="s">
        <v>153</v>
      </c>
      <c r="M495" s="292" t="s">
        <v>147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121"/>
    </row>
    <row r="496" spans="1:26" ht="15.75" customHeight="1">
      <c r="A496" s="125" t="str">
        <f>IF(B496&lt;&gt;"",IF(AND(B496&gt;=_TM1,B496&lt;=_TM2,OR(TH!L496="1111",TH!M496="1111")),TH!D496,""),"")</f>
        <v/>
      </c>
      <c r="B496" s="11">
        <f t="shared" si="35"/>
        <v>5</v>
      </c>
      <c r="C496" s="115">
        <f t="shared" si="36"/>
        <v>40692</v>
      </c>
      <c r="D496" s="288" t="s">
        <v>1046</v>
      </c>
      <c r="E496" s="115">
        <v>40692</v>
      </c>
      <c r="F496" s="114" t="s">
        <v>560</v>
      </c>
      <c r="G496" s="224"/>
      <c r="H496" s="242" t="s">
        <v>1037</v>
      </c>
      <c r="I496" s="145">
        <v>101</v>
      </c>
      <c r="J496" s="145">
        <v>35566</v>
      </c>
      <c r="K496" s="238">
        <f t="shared" si="34"/>
        <v>3592166</v>
      </c>
      <c r="L496" s="14" t="s">
        <v>153</v>
      </c>
      <c r="M496" s="292" t="s">
        <v>147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121"/>
    </row>
    <row r="497" spans="1:26" ht="15.75" customHeight="1">
      <c r="A497" s="125" t="str">
        <f>IF(B497&lt;&gt;"",IF(AND(B497&gt;=_TM1,B497&lt;=_TM2,OR(TH!L497="1111",TH!M497="1111")),TH!D497,""),"")</f>
        <v/>
      </c>
      <c r="B497" s="11">
        <f t="shared" si="35"/>
        <v>5</v>
      </c>
      <c r="C497" s="115">
        <f t="shared" si="36"/>
        <v>40692</v>
      </c>
      <c r="D497" s="288" t="s">
        <v>1046</v>
      </c>
      <c r="E497" s="115">
        <v>40692</v>
      </c>
      <c r="F497" s="114" t="s">
        <v>613</v>
      </c>
      <c r="G497" s="224"/>
      <c r="H497" s="242" t="s">
        <v>1037</v>
      </c>
      <c r="I497" s="141">
        <v>101</v>
      </c>
      <c r="J497" s="141">
        <v>35812</v>
      </c>
      <c r="K497" s="238">
        <f t="shared" si="34"/>
        <v>3617012</v>
      </c>
      <c r="L497" s="14" t="s">
        <v>153</v>
      </c>
      <c r="M497" s="292" t="s">
        <v>147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121"/>
    </row>
    <row r="498" spans="1:26" ht="15.75" customHeight="1">
      <c r="A498" s="125" t="str">
        <f>IF(B498&lt;&gt;"",IF(AND(B498&gt;=_TM1,B498&lt;=_TM2,OR(TH!L498="1111",TH!M498="1111")),TH!D498,""),"")</f>
        <v/>
      </c>
      <c r="B498" s="11">
        <f t="shared" si="35"/>
        <v>5</v>
      </c>
      <c r="C498" s="115">
        <f t="shared" si="36"/>
        <v>40692</v>
      </c>
      <c r="D498" s="288" t="s">
        <v>1046</v>
      </c>
      <c r="E498" s="115">
        <v>40692</v>
      </c>
      <c r="F498" s="15" t="s">
        <v>568</v>
      </c>
      <c r="G498" s="224"/>
      <c r="H498" s="242" t="s">
        <v>1037</v>
      </c>
      <c r="I498" s="143">
        <v>10</v>
      </c>
      <c r="J498" s="143">
        <v>35301</v>
      </c>
      <c r="K498" s="238">
        <f t="shared" si="34"/>
        <v>353010</v>
      </c>
      <c r="L498" s="14" t="s">
        <v>153</v>
      </c>
      <c r="M498" s="292" t="s">
        <v>147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/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21"/>
    </row>
    <row r="499" spans="1:26" ht="15.75" customHeight="1">
      <c r="A499" s="125" t="str">
        <f>IF(B499&lt;&gt;"",IF(AND(B499&gt;=_TM1,B499&lt;=_TM2,OR(TH!L499="1111",TH!M499="1111")),TH!D499,""),"")</f>
        <v/>
      </c>
      <c r="B499" s="11">
        <f t="shared" si="35"/>
        <v>5</v>
      </c>
      <c r="C499" s="115">
        <f t="shared" si="36"/>
        <v>40692</v>
      </c>
      <c r="D499" s="288" t="s">
        <v>1046</v>
      </c>
      <c r="E499" s="115">
        <v>40692</v>
      </c>
      <c r="F499" s="15" t="s">
        <v>599</v>
      </c>
      <c r="G499" s="224"/>
      <c r="H499" s="242" t="s">
        <v>1037</v>
      </c>
      <c r="I499" s="141">
        <v>8</v>
      </c>
      <c r="J499" s="141">
        <v>23906</v>
      </c>
      <c r="K499" s="238">
        <f t="shared" si="34"/>
        <v>191248</v>
      </c>
      <c r="L499" s="14" t="s">
        <v>153</v>
      </c>
      <c r="M499" s="292" t="s">
        <v>147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121"/>
    </row>
    <row r="500" spans="1:26" ht="15.75" customHeight="1">
      <c r="A500" s="125" t="str">
        <f>IF(B500&lt;&gt;"",IF(AND(B500&gt;=_TM1,B500&lt;=_TM2,OR(TH!L500="1111",TH!M500="1111")),TH!D500,""),"")</f>
        <v/>
      </c>
      <c r="B500" s="11">
        <f t="shared" si="35"/>
        <v>5</v>
      </c>
      <c r="C500" s="115">
        <f t="shared" si="36"/>
        <v>40692</v>
      </c>
      <c r="D500" s="288" t="s">
        <v>1046</v>
      </c>
      <c r="E500" s="115">
        <v>40692</v>
      </c>
      <c r="F500" s="15" t="s">
        <v>599</v>
      </c>
      <c r="G500" s="224"/>
      <c r="H500" s="242" t="s">
        <v>1037</v>
      </c>
      <c r="I500" s="141">
        <v>38</v>
      </c>
      <c r="J500" s="141">
        <v>23906</v>
      </c>
      <c r="K500" s="238">
        <f t="shared" si="34"/>
        <v>908428</v>
      </c>
      <c r="L500" s="14" t="s">
        <v>153</v>
      </c>
      <c r="M500" s="292" t="s">
        <v>147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121"/>
    </row>
    <row r="501" spans="1:26" ht="15.75" customHeight="1">
      <c r="A501" s="125" t="str">
        <f>IF(B501&lt;&gt;"",IF(AND(B501&gt;=_TM1,B501&lt;=_TM2,OR(TH!L501="1111",TH!M501="1111")),TH!D501,""),"")</f>
        <v/>
      </c>
      <c r="B501" s="11">
        <f t="shared" si="35"/>
        <v>5</v>
      </c>
      <c r="C501" s="115">
        <f t="shared" si="36"/>
        <v>40692</v>
      </c>
      <c r="D501" s="288" t="s">
        <v>1046</v>
      </c>
      <c r="E501" s="115">
        <v>40692</v>
      </c>
      <c r="F501" s="114" t="s">
        <v>560</v>
      </c>
      <c r="G501" s="224"/>
      <c r="H501" s="242" t="s">
        <v>1037</v>
      </c>
      <c r="I501" s="141">
        <v>23.5</v>
      </c>
      <c r="J501" s="141">
        <v>35566</v>
      </c>
      <c r="K501" s="238">
        <f t="shared" ref="K501" si="37">ROUND(I501*J501,0)</f>
        <v>835801</v>
      </c>
      <c r="L501" s="14" t="s">
        <v>153</v>
      </c>
      <c r="M501" s="292" t="s">
        <v>147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/>
      </c>
      <c r="Z501" s="121"/>
    </row>
    <row r="502" spans="1:26" ht="15.75" customHeight="1">
      <c r="A502" s="125" t="str">
        <f>IF(B502&lt;&gt;"",IF(AND(B502&gt;=_TM1,B502&lt;=_TM2,OR(TH!L502="1111",TH!M502="1111")),TH!D502,""),"")</f>
        <v/>
      </c>
      <c r="B502" s="11">
        <f t="shared" si="35"/>
        <v>5</v>
      </c>
      <c r="C502" s="288">
        <f t="shared" si="36"/>
        <v>40694</v>
      </c>
      <c r="D502" s="110" t="s">
        <v>664</v>
      </c>
      <c r="E502" s="293">
        <v>40694</v>
      </c>
      <c r="F502" s="289" t="str">
        <f>"Thanh toán tiền lương tháng "&amp;MONTH(E502)&amp;"/"&amp;YEAR(E502)</f>
        <v>Thanh toán tiền lương tháng 5/2011</v>
      </c>
      <c r="G502" s="290"/>
      <c r="H502" s="242" t="s">
        <v>340</v>
      </c>
      <c r="I502" s="220"/>
      <c r="J502" s="220"/>
      <c r="K502" s="291">
        <v>13250000</v>
      </c>
      <c r="L502" s="292" t="s">
        <v>240</v>
      </c>
      <c r="M502" s="292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/>
      </c>
      <c r="Z502" s="235"/>
    </row>
    <row r="503" spans="1:26" ht="15.75" customHeight="1">
      <c r="A503" s="125" t="str">
        <f>IF(B503&lt;&gt;"",IF(AND(B503&gt;=_TM1,B503&lt;=_TM2,OR(TH!L503="1111",TH!M503="1111")),TH!D503,""),"")</f>
        <v/>
      </c>
      <c r="B503" s="11">
        <f t="shared" si="35"/>
        <v>5</v>
      </c>
      <c r="C503" s="288">
        <f t="shared" si="36"/>
        <v>40694</v>
      </c>
      <c r="D503" s="288" t="s">
        <v>314</v>
      </c>
      <c r="E503" s="293">
        <v>40694</v>
      </c>
      <c r="F503" s="289" t="s">
        <v>895</v>
      </c>
      <c r="G503" s="290"/>
      <c r="H503" s="242"/>
      <c r="I503" s="220"/>
      <c r="J503" s="220"/>
      <c r="K503" s="291">
        <v>7025000</v>
      </c>
      <c r="L503" s="292" t="s">
        <v>73</v>
      </c>
      <c r="M503" s="292" t="s">
        <v>240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/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>x</v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/>
      </c>
      <c r="Z503" s="235"/>
    </row>
    <row r="504" spans="1:26" ht="15.75" customHeight="1">
      <c r="A504" s="125" t="str">
        <f>IF(B504&lt;&gt;"",IF(AND(B504&gt;=_TM1,B504&lt;=_TM2,OR(TH!L504="1111",TH!M504="1111")),TH!D504,""),"")</f>
        <v/>
      </c>
      <c r="B504" s="11">
        <f t="shared" si="35"/>
        <v>5</v>
      </c>
      <c r="C504" s="288">
        <f t="shared" si="36"/>
        <v>40694</v>
      </c>
      <c r="D504" s="288" t="s">
        <v>314</v>
      </c>
      <c r="E504" s="293">
        <v>40694</v>
      </c>
      <c r="F504" s="289" t="s">
        <v>755</v>
      </c>
      <c r="G504" s="290"/>
      <c r="H504" s="242"/>
      <c r="I504" s="220"/>
      <c r="J504" s="220"/>
      <c r="K504" s="291">
        <v>6225000</v>
      </c>
      <c r="L504" s="292" t="s">
        <v>153</v>
      </c>
      <c r="M504" s="292" t="s">
        <v>240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/>
      </c>
      <c r="Z504" s="235"/>
    </row>
    <row r="505" spans="1:26" ht="15.75" customHeight="1">
      <c r="A505" s="125" t="str">
        <f>IF(B505&lt;&gt;"",IF(AND(B505&gt;=_TM1,B505&lt;=_TM2,OR(TH!L505="1111",TH!M505="1111")),TH!D505,""),"")</f>
        <v/>
      </c>
      <c r="B505" s="11">
        <f t="shared" si="35"/>
        <v>5</v>
      </c>
      <c r="C505" s="115">
        <v>40694</v>
      </c>
      <c r="D505" s="115" t="s">
        <v>902</v>
      </c>
      <c r="E505" s="115">
        <v>40694</v>
      </c>
      <c r="F505" s="116" t="s">
        <v>1152</v>
      </c>
      <c r="G505" s="224" t="s">
        <v>812</v>
      </c>
      <c r="H505" s="131" t="s">
        <v>854</v>
      </c>
      <c r="I505" s="141"/>
      <c r="J505" s="141"/>
      <c r="K505" s="238">
        <v>9705088</v>
      </c>
      <c r="L505" s="118" t="s">
        <v>44</v>
      </c>
      <c r="M505" s="118" t="s">
        <v>237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>x</v>
      </c>
      <c r="Q505" s="25" t="str">
        <f>IF(AND($M505=$O$7,$B505&lt;'111'!$N$11),"x","")</f>
        <v/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/>
      </c>
      <c r="Z505" s="310"/>
    </row>
    <row r="506" spans="1:26" ht="15.75" customHeight="1">
      <c r="A506" s="125" t="str">
        <f>IF(B506&lt;&gt;"",IF(AND(B506&gt;=_TM1,B506&lt;=_TM2,OR(TH!L506="1111",TH!M506="1111")),TH!D506,""),"")</f>
        <v/>
      </c>
      <c r="B506" s="11">
        <f t="shared" si="35"/>
        <v>5</v>
      </c>
      <c r="C506" s="115">
        <v>40694</v>
      </c>
      <c r="D506" s="115" t="s">
        <v>898</v>
      </c>
      <c r="E506" s="115">
        <v>40694</v>
      </c>
      <c r="F506" s="116" t="s">
        <v>857</v>
      </c>
      <c r="G506" s="224" t="s">
        <v>813</v>
      </c>
      <c r="H506" s="4" t="s">
        <v>858</v>
      </c>
      <c r="I506" s="141"/>
      <c r="J506" s="141"/>
      <c r="K506" s="238">
        <v>481008</v>
      </c>
      <c r="L506" s="118" t="s">
        <v>44</v>
      </c>
      <c r="M506" s="118" t="s">
        <v>237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>x</v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/>
      </c>
      <c r="Z506" s="310"/>
    </row>
    <row r="507" spans="1:26" ht="15.75" customHeight="1">
      <c r="A507" s="125" t="str">
        <f>IF(B507&lt;&gt;"",IF(AND(B507&gt;=_TM1,B507&lt;=_TM2,OR(TH!L507="1111",TH!M507="1111")),TH!D507,""),"")</f>
        <v/>
      </c>
      <c r="B507" s="11">
        <f t="shared" si="35"/>
        <v>5</v>
      </c>
      <c r="C507" s="115">
        <v>40694</v>
      </c>
      <c r="D507" s="115" t="s">
        <v>919</v>
      </c>
      <c r="E507" s="115">
        <v>40694</v>
      </c>
      <c r="F507" s="116" t="s">
        <v>855</v>
      </c>
      <c r="G507" s="224" t="s">
        <v>812</v>
      </c>
      <c r="H507" s="131" t="s">
        <v>854</v>
      </c>
      <c r="I507" s="141">
        <v>943</v>
      </c>
      <c r="J507" s="141">
        <v>7229</v>
      </c>
      <c r="K507" s="238">
        <v>6816947</v>
      </c>
      <c r="L507" s="118" t="s">
        <v>237</v>
      </c>
      <c r="M507" s="118" t="s">
        <v>163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/>
      </c>
      <c r="Z507" s="310"/>
    </row>
    <row r="508" spans="1:26" ht="15.75" customHeight="1">
      <c r="A508" s="125" t="str">
        <f>IF(B508&lt;&gt;"",IF(AND(B508&gt;=_TM1,B508&lt;=_TM2,OR(TH!L508="1111",TH!M508="1111")),TH!D508,""),"")</f>
        <v/>
      </c>
      <c r="B508" s="11">
        <f t="shared" si="35"/>
        <v>5</v>
      </c>
      <c r="C508" s="115">
        <v>40694</v>
      </c>
      <c r="D508" s="115" t="s">
        <v>919</v>
      </c>
      <c r="E508" s="115">
        <v>40694</v>
      </c>
      <c r="F508" s="116" t="s">
        <v>856</v>
      </c>
      <c r="G508" s="224" t="s">
        <v>812</v>
      </c>
      <c r="H508" s="131" t="s">
        <v>854</v>
      </c>
      <c r="I508" s="141">
        <v>303</v>
      </c>
      <c r="J508" s="141">
        <v>6620</v>
      </c>
      <c r="K508" s="238">
        <v>2005860</v>
      </c>
      <c r="L508" s="118" t="s">
        <v>237</v>
      </c>
      <c r="M508" s="118" t="s">
        <v>163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/>
      </c>
      <c r="Z508" s="310"/>
    </row>
    <row r="509" spans="1:26" ht="15.75" customHeight="1">
      <c r="A509" s="125" t="str">
        <f>IF(B509&lt;&gt;"",IF(AND(B509&gt;=_TM1,B509&lt;=_TM2,OR(TH!L509="1111",TH!M509="1111")),TH!D509,""),"")</f>
        <v/>
      </c>
      <c r="B509" s="11">
        <f t="shared" si="35"/>
        <v>5</v>
      </c>
      <c r="C509" s="115">
        <v>40694</v>
      </c>
      <c r="D509" s="115" t="s">
        <v>919</v>
      </c>
      <c r="E509" s="115">
        <v>40694</v>
      </c>
      <c r="F509" s="116" t="s">
        <v>783</v>
      </c>
      <c r="G509" s="224" t="s">
        <v>812</v>
      </c>
      <c r="H509" s="131" t="s">
        <v>854</v>
      </c>
      <c r="I509" s="141"/>
      <c r="J509" s="141"/>
      <c r="K509" s="238">
        <v>882281</v>
      </c>
      <c r="L509" s="118" t="s">
        <v>237</v>
      </c>
      <c r="M509" s="118" t="s">
        <v>707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/>
      </c>
      <c r="Z509" s="310"/>
    </row>
    <row r="510" spans="1:26" ht="15.75" customHeight="1">
      <c r="A510" s="125" t="str">
        <f>IF(B510&lt;&gt;"",IF(AND(B510&gt;=_TM1,B510&lt;=_TM2,OR(TH!L510="1111",TH!M510="1111")),TH!D510,""),"")</f>
        <v/>
      </c>
      <c r="B510" s="11">
        <f t="shared" si="35"/>
        <v>5</v>
      </c>
      <c r="C510" s="115">
        <v>40694</v>
      </c>
      <c r="D510" s="115" t="s">
        <v>920</v>
      </c>
      <c r="E510" s="115">
        <v>40694</v>
      </c>
      <c r="F510" s="116" t="s">
        <v>857</v>
      </c>
      <c r="G510" s="224" t="s">
        <v>813</v>
      </c>
      <c r="H510" s="4" t="s">
        <v>858</v>
      </c>
      <c r="I510" s="141">
        <v>30</v>
      </c>
      <c r="J510" s="141">
        <v>14576</v>
      </c>
      <c r="K510" s="238">
        <v>437280</v>
      </c>
      <c r="L510" s="118" t="s">
        <v>237</v>
      </c>
      <c r="M510" s="118" t="s">
        <v>163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/>
      </c>
      <c r="Z510" s="310"/>
    </row>
    <row r="511" spans="1:26" ht="15.75" customHeight="1">
      <c r="A511" s="125" t="str">
        <f>IF(B511&lt;&gt;"",IF(AND(B511&gt;=_TM1,B511&lt;=_TM2,OR(TH!L511="1111",TH!M511="1111")),TH!D511,""),"")</f>
        <v/>
      </c>
      <c r="B511" s="11">
        <f t="shared" si="35"/>
        <v>5</v>
      </c>
      <c r="C511" s="115">
        <v>40694</v>
      </c>
      <c r="D511" s="115" t="s">
        <v>920</v>
      </c>
      <c r="E511" s="115">
        <v>40694</v>
      </c>
      <c r="F511" s="116" t="s">
        <v>796</v>
      </c>
      <c r="G511" s="224" t="s">
        <v>813</v>
      </c>
      <c r="H511" s="4" t="s">
        <v>858</v>
      </c>
      <c r="I511" s="143"/>
      <c r="J511" s="143"/>
      <c r="K511" s="238">
        <v>43728</v>
      </c>
      <c r="L511" s="118" t="s">
        <v>237</v>
      </c>
      <c r="M511" s="118" t="s">
        <v>707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/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/>
      </c>
      <c r="Z511" s="310"/>
    </row>
    <row r="512" spans="1:26" ht="15.75" customHeight="1">
      <c r="A512" s="125" t="str">
        <f>IF(B512&lt;&gt;"",IF(AND(B512&gt;=_TM1,B512&lt;=_TM2,OR(TH!L512="1111",TH!M512="1111")),TH!D512,""),"")</f>
        <v/>
      </c>
      <c r="B512" s="11">
        <f t="shared" si="35"/>
        <v>5</v>
      </c>
      <c r="C512" s="115">
        <v>40694</v>
      </c>
      <c r="D512" s="115" t="s">
        <v>919</v>
      </c>
      <c r="E512" s="115">
        <v>40694</v>
      </c>
      <c r="F512" s="116" t="s">
        <v>855</v>
      </c>
      <c r="G512" s="224" t="s">
        <v>812</v>
      </c>
      <c r="H512" s="131" t="s">
        <v>854</v>
      </c>
      <c r="I512" s="141">
        <v>943</v>
      </c>
      <c r="J512" s="141">
        <v>5951.5132555673381</v>
      </c>
      <c r="K512" s="238">
        <f t="shared" ref="K512:K517" si="38">ROUND(I512*J512,0)</f>
        <v>5612277</v>
      </c>
      <c r="L512" s="319" t="s">
        <v>161</v>
      </c>
      <c r="M512" s="319" t="s">
        <v>155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/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/>
      </c>
      <c r="Z512" s="310"/>
    </row>
    <row r="513" spans="1:26" ht="15.75" customHeight="1">
      <c r="A513" s="125" t="str">
        <f>IF(B513&lt;&gt;"",IF(AND(B513&gt;=_TM1,B513&lt;=_TM2,OR(TH!L513="1111",TH!M513="1111")),TH!D513,""),"")</f>
        <v/>
      </c>
      <c r="B513" s="11">
        <f t="shared" si="35"/>
        <v>5</v>
      </c>
      <c r="C513" s="115">
        <v>40694</v>
      </c>
      <c r="D513" s="115" t="s">
        <v>919</v>
      </c>
      <c r="E513" s="115">
        <v>40694</v>
      </c>
      <c r="F513" s="116" t="s">
        <v>856</v>
      </c>
      <c r="G513" s="224" t="s">
        <v>812</v>
      </c>
      <c r="H513" s="131" t="s">
        <v>854</v>
      </c>
      <c r="I513" s="141">
        <v>303</v>
      </c>
      <c r="J513" s="141">
        <v>5808.5115511551157</v>
      </c>
      <c r="K513" s="238">
        <f t="shared" si="38"/>
        <v>1759979</v>
      </c>
      <c r="L513" s="319" t="s">
        <v>161</v>
      </c>
      <c r="M513" s="319" t="s">
        <v>155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/>
      </c>
      <c r="Z513" s="310"/>
    </row>
    <row r="514" spans="1:26" ht="15.75" customHeight="1">
      <c r="A514" s="125" t="str">
        <f>IF(B514&lt;&gt;"",IF(AND(B514&gt;=_TM1,B514&lt;=_TM2,OR(TH!L514="1111",TH!M514="1111")),TH!D514,""),"")</f>
        <v/>
      </c>
      <c r="B514" s="11">
        <f t="shared" si="35"/>
        <v>5</v>
      </c>
      <c r="C514" s="115">
        <v>40694</v>
      </c>
      <c r="D514" s="115" t="s">
        <v>920</v>
      </c>
      <c r="E514" s="115">
        <v>40694</v>
      </c>
      <c r="F514" s="116" t="s">
        <v>857</v>
      </c>
      <c r="G514" s="224" t="s">
        <v>813</v>
      </c>
      <c r="H514" s="4" t="s">
        <v>858</v>
      </c>
      <c r="I514" s="141">
        <v>30</v>
      </c>
      <c r="J514" s="141">
        <v>12946.5</v>
      </c>
      <c r="K514" s="238">
        <f t="shared" si="38"/>
        <v>388395</v>
      </c>
      <c r="L514" s="319" t="s">
        <v>161</v>
      </c>
      <c r="M514" s="319" t="s">
        <v>155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/>
      </c>
      <c r="Z514" s="310"/>
    </row>
    <row r="515" spans="1:26" ht="15.75" customHeight="1">
      <c r="A515" s="125" t="str">
        <f>IF(B515&lt;&gt;"",IF(AND(B515&gt;=_TM1,B515&lt;=_TM2,OR(TH!L515="1111",TH!M515="1111")),TH!D515,""),"")</f>
        <v/>
      </c>
      <c r="B515" s="11">
        <f t="shared" si="35"/>
        <v>5</v>
      </c>
      <c r="C515" s="115">
        <f>E515</f>
        <v>40694</v>
      </c>
      <c r="D515" s="115" t="s">
        <v>1066</v>
      </c>
      <c r="E515" s="115">
        <v>40694</v>
      </c>
      <c r="F515" s="116" t="s">
        <v>855</v>
      </c>
      <c r="G515" s="224"/>
      <c r="H515" s="242" t="s">
        <v>1037</v>
      </c>
      <c r="I515" s="141">
        <v>943</v>
      </c>
      <c r="J515" s="141">
        <v>5951.5132555673381</v>
      </c>
      <c r="K515" s="238">
        <f t="shared" si="38"/>
        <v>5612277</v>
      </c>
      <c r="L515" s="14" t="s">
        <v>155</v>
      </c>
      <c r="M515" s="292" t="s">
        <v>153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/>
      </c>
      <c r="Z515" s="121"/>
    </row>
    <row r="516" spans="1:26" ht="15.75" customHeight="1">
      <c r="A516" s="125" t="str">
        <f>IF(B516&lt;&gt;"",IF(AND(B516&gt;=_TM1,B516&lt;=_TM2,OR(TH!L516="1111",TH!M516="1111")),TH!D516,""),"")</f>
        <v/>
      </c>
      <c r="B516" s="11">
        <f t="shared" si="35"/>
        <v>5</v>
      </c>
      <c r="C516" s="115">
        <f>E516</f>
        <v>40694</v>
      </c>
      <c r="D516" s="115" t="s">
        <v>1066</v>
      </c>
      <c r="E516" s="115">
        <v>40694</v>
      </c>
      <c r="F516" s="116" t="s">
        <v>856</v>
      </c>
      <c r="G516" s="224"/>
      <c r="H516" s="242" t="s">
        <v>1037</v>
      </c>
      <c r="I516" s="141">
        <v>303</v>
      </c>
      <c r="J516" s="141">
        <v>5808.5115511551157</v>
      </c>
      <c r="K516" s="238">
        <f t="shared" si="38"/>
        <v>1759979</v>
      </c>
      <c r="L516" s="14" t="s">
        <v>155</v>
      </c>
      <c r="M516" s="292" t="s">
        <v>153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/>
      </c>
      <c r="Z516" s="121"/>
    </row>
    <row r="517" spans="1:26" ht="15.75" customHeight="1">
      <c r="A517" s="125" t="str">
        <f>IF(B517&lt;&gt;"",IF(AND(B517&gt;=_TM1,B517&lt;=_TM2,OR(TH!L517="1111",TH!M517="1111")),TH!D517,""),"")</f>
        <v/>
      </c>
      <c r="B517" s="11">
        <f t="shared" si="35"/>
        <v>5</v>
      </c>
      <c r="C517" s="115">
        <f>E517</f>
        <v>40694</v>
      </c>
      <c r="D517" s="115" t="s">
        <v>1066</v>
      </c>
      <c r="E517" s="115">
        <v>40694</v>
      </c>
      <c r="F517" s="116" t="s">
        <v>857</v>
      </c>
      <c r="G517" s="224"/>
      <c r="H517" s="242" t="s">
        <v>1037</v>
      </c>
      <c r="I517" s="141">
        <v>30</v>
      </c>
      <c r="J517" s="141">
        <v>12946.5</v>
      </c>
      <c r="K517" s="238">
        <f t="shared" si="38"/>
        <v>388395</v>
      </c>
      <c r="L517" s="14" t="s">
        <v>155</v>
      </c>
      <c r="M517" s="292" t="s">
        <v>153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/>
      </c>
      <c r="Z517" s="121"/>
    </row>
    <row r="518" spans="1:26" ht="15.75" customHeight="1">
      <c r="A518" s="125" t="str">
        <f>IF(B518&lt;&gt;"",IF(AND(B518&gt;=_TM1,B518&lt;=_TM2,OR(TH!L518="1111",TH!M518="1111")),TH!D518,""),"")</f>
        <v/>
      </c>
      <c r="B518" s="11">
        <f t="shared" si="35"/>
        <v>6</v>
      </c>
      <c r="C518" s="115">
        <v>40695</v>
      </c>
      <c r="D518" s="115" t="s">
        <v>899</v>
      </c>
      <c r="E518" s="115">
        <v>40695</v>
      </c>
      <c r="F518" s="116" t="s">
        <v>1153</v>
      </c>
      <c r="G518" s="224" t="s">
        <v>713</v>
      </c>
      <c r="H518" s="117" t="s">
        <v>714</v>
      </c>
      <c r="I518" s="141"/>
      <c r="J518" s="141"/>
      <c r="K518" s="238">
        <v>10474619</v>
      </c>
      <c r="L518" s="118" t="s">
        <v>44</v>
      </c>
      <c r="M518" s="118" t="s">
        <v>237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>x</v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/>
      </c>
      <c r="Z518" s="310"/>
    </row>
    <row r="519" spans="1:26" ht="15.75" customHeight="1">
      <c r="A519" s="125" t="str">
        <f>IF(B519&lt;&gt;"",IF(AND(B519&gt;=_TM1,B519&lt;=_TM2,OR(TH!L519="1111",TH!M519="1111")),TH!D519,""),"")</f>
        <v/>
      </c>
      <c r="B519" s="11">
        <f t="shared" si="35"/>
        <v>6</v>
      </c>
      <c r="C519" s="115">
        <v>40695</v>
      </c>
      <c r="D519" s="115" t="s">
        <v>921</v>
      </c>
      <c r="E519" s="115">
        <v>40695</v>
      </c>
      <c r="F519" s="116" t="s">
        <v>712</v>
      </c>
      <c r="G519" s="224" t="s">
        <v>713</v>
      </c>
      <c r="H519" s="117" t="s">
        <v>714</v>
      </c>
      <c r="I519" s="141">
        <v>101</v>
      </c>
      <c r="J519" s="141">
        <v>43865</v>
      </c>
      <c r="K519" s="238">
        <v>4430365</v>
      </c>
      <c r="L519" s="118" t="s">
        <v>237</v>
      </c>
      <c r="M519" s="118" t="s">
        <v>163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/>
      </c>
      <c r="Z519" s="310"/>
    </row>
    <row r="520" spans="1:26" ht="15.75" customHeight="1">
      <c r="A520" s="125" t="str">
        <f>IF(B520&lt;&gt;"",IF(AND(B520&gt;=_TM1,B520&lt;=_TM2,OR(TH!L520="1111",TH!M520="1111")),TH!D520,""),"")</f>
        <v/>
      </c>
      <c r="B520" s="11">
        <f t="shared" si="35"/>
        <v>6</v>
      </c>
      <c r="C520" s="115">
        <v>40695</v>
      </c>
      <c r="D520" s="115" t="s">
        <v>921</v>
      </c>
      <c r="E520" s="115">
        <v>40695</v>
      </c>
      <c r="F520" s="116" t="s">
        <v>715</v>
      </c>
      <c r="G520" s="224" t="s">
        <v>713</v>
      </c>
      <c r="H520" s="117" t="s">
        <v>714</v>
      </c>
      <c r="I520" s="141">
        <v>101</v>
      </c>
      <c r="J520" s="141">
        <v>50416</v>
      </c>
      <c r="K520" s="238">
        <v>5092016</v>
      </c>
      <c r="L520" s="118" t="s">
        <v>237</v>
      </c>
      <c r="M520" s="118" t="s">
        <v>163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/>
      </c>
      <c r="Z520" s="310"/>
    </row>
    <row r="521" spans="1:26" ht="15.75" customHeight="1">
      <c r="A521" s="125" t="str">
        <f>IF(B521&lt;&gt;"",IF(AND(B521&gt;=_TM1,B521&lt;=_TM2,OR(TH!L521="1111",TH!M521="1111")),TH!D521,""),"")</f>
        <v/>
      </c>
      <c r="B521" s="11">
        <f t="shared" si="35"/>
        <v>6</v>
      </c>
      <c r="C521" s="115">
        <v>40695</v>
      </c>
      <c r="D521" s="115" t="s">
        <v>921</v>
      </c>
      <c r="E521" s="115">
        <v>40695</v>
      </c>
      <c r="F521" s="116" t="s">
        <v>716</v>
      </c>
      <c r="G521" s="224" t="s">
        <v>713</v>
      </c>
      <c r="H521" s="117" t="s">
        <v>714</v>
      </c>
      <c r="I521" s="141"/>
      <c r="J521" s="141"/>
      <c r="K521" s="238">
        <v>952238</v>
      </c>
      <c r="L521" s="118" t="s">
        <v>237</v>
      </c>
      <c r="M521" s="118" t="s">
        <v>707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/>
      </c>
      <c r="Z521" s="310"/>
    </row>
    <row r="522" spans="1:26" ht="15.75" customHeight="1">
      <c r="A522" s="125" t="str">
        <f>IF(B522&lt;&gt;"",IF(AND(B522&gt;=_TM1,B522&lt;=_TM2,OR(TH!L522="1111",TH!M522="1111")),TH!D522,""),"")</f>
        <v/>
      </c>
      <c r="B522" s="309">
        <f t="shared" si="35"/>
        <v>6</v>
      </c>
      <c r="C522" s="115">
        <v>40695</v>
      </c>
      <c r="D522" s="115" t="s">
        <v>921</v>
      </c>
      <c r="E522" s="115">
        <v>40695</v>
      </c>
      <c r="F522" s="116" t="s">
        <v>712</v>
      </c>
      <c r="G522" s="224" t="s">
        <v>713</v>
      </c>
      <c r="H522" s="117" t="s">
        <v>714</v>
      </c>
      <c r="I522" s="141">
        <v>101</v>
      </c>
      <c r="J522" s="141">
        <v>36925.514851485146</v>
      </c>
      <c r="K522" s="238">
        <f>ROUND(I522*J522,0)</f>
        <v>3729477</v>
      </c>
      <c r="L522" s="319" t="s">
        <v>161</v>
      </c>
      <c r="M522" s="319" t="s">
        <v>155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/>
      </c>
      <c r="Z522" s="310"/>
    </row>
    <row r="523" spans="1:26" ht="15.75" customHeight="1">
      <c r="A523" s="125" t="str">
        <f>IF(B523&lt;&gt;"",IF(AND(B523&gt;=_TM1,B523&lt;=_TM2,OR(TH!L523="1111",TH!M523="1111")),TH!D523,""),"")</f>
        <v/>
      </c>
      <c r="B523" s="11">
        <f t="shared" si="35"/>
        <v>6</v>
      </c>
      <c r="C523" s="115">
        <v>40695</v>
      </c>
      <c r="D523" s="115" t="s">
        <v>921</v>
      </c>
      <c r="E523" s="115">
        <v>40695</v>
      </c>
      <c r="F523" s="116" t="s">
        <v>715</v>
      </c>
      <c r="G523" s="224" t="s">
        <v>713</v>
      </c>
      <c r="H523" s="117" t="s">
        <v>714</v>
      </c>
      <c r="I523" s="141">
        <v>101</v>
      </c>
      <c r="J523" s="141">
        <v>37171.514851485146</v>
      </c>
      <c r="K523" s="238">
        <f>ROUND(I523*J523,0)</f>
        <v>3754323</v>
      </c>
      <c r="L523" s="319" t="s">
        <v>161</v>
      </c>
      <c r="M523" s="319" t="s">
        <v>155</v>
      </c>
      <c r="N523" s="25" t="str">
        <f>IF(AND('331-CT'!$E$7=TH!H523,OR(L523="331",M523="331")),"331",IF(AND(OR(L523="131",M523="131"),H523='131-CT'!$E$7),"131",""))</f>
        <v/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/>
      </c>
      <c r="Z523" s="310"/>
    </row>
    <row r="524" spans="1:26" ht="15.75" customHeight="1">
      <c r="A524" s="125" t="str">
        <f>IF(B524&lt;&gt;"",IF(AND(B524&gt;=_TM1,B524&lt;=_TM2,OR(TH!L524="1111",TH!M524="1111")),TH!D524,""),"")</f>
        <v/>
      </c>
      <c r="B524" s="11">
        <f t="shared" si="35"/>
        <v>6</v>
      </c>
      <c r="C524" s="115">
        <f t="shared" ref="C524:C587" si="39">E524</f>
        <v>40695</v>
      </c>
      <c r="D524" s="115" t="s">
        <v>1067</v>
      </c>
      <c r="E524" s="115">
        <v>40695</v>
      </c>
      <c r="F524" s="116" t="s">
        <v>712</v>
      </c>
      <c r="G524" s="224"/>
      <c r="H524" s="242" t="s">
        <v>1037</v>
      </c>
      <c r="I524" s="141">
        <v>101</v>
      </c>
      <c r="J524" s="141">
        <v>36925.514851485146</v>
      </c>
      <c r="K524" s="238">
        <f>ROUND(I524*J524,0)</f>
        <v>3729477</v>
      </c>
      <c r="L524" s="14" t="s">
        <v>155</v>
      </c>
      <c r="M524" s="292" t="s">
        <v>153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/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/>
      </c>
      <c r="Z524" s="121"/>
    </row>
    <row r="525" spans="1:26" ht="15.75" customHeight="1">
      <c r="A525" s="125" t="str">
        <f>IF(B525&lt;&gt;"",IF(AND(B525&gt;=_TM1,B525&lt;=_TM2,OR(TH!L525="1111",TH!M525="1111")),TH!D525,""),"")</f>
        <v/>
      </c>
      <c r="B525" s="11">
        <f t="shared" si="35"/>
        <v>6</v>
      </c>
      <c r="C525" s="115">
        <f t="shared" si="39"/>
        <v>40695</v>
      </c>
      <c r="D525" s="115" t="s">
        <v>1067</v>
      </c>
      <c r="E525" s="115">
        <v>40695</v>
      </c>
      <c r="F525" s="116" t="s">
        <v>715</v>
      </c>
      <c r="G525" s="224"/>
      <c r="H525" s="242" t="s">
        <v>1037</v>
      </c>
      <c r="I525" s="141">
        <v>101</v>
      </c>
      <c r="J525" s="141">
        <v>37171.514851485146</v>
      </c>
      <c r="K525" s="238">
        <f>ROUND(I525*J525,0)</f>
        <v>3754323</v>
      </c>
      <c r="L525" s="14" t="s">
        <v>155</v>
      </c>
      <c r="M525" s="292" t="s">
        <v>153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/>
      </c>
      <c r="Z525" s="121"/>
    </row>
    <row r="526" spans="1:26" ht="15.75" customHeight="1">
      <c r="A526" s="125" t="str">
        <f>IF(B526&lt;&gt;"",IF(AND(B526&gt;=_TM1,B526&lt;=_TM2,OR(TH!L526="1111",TH!M526="1111")),TH!D526,""),"")</f>
        <v/>
      </c>
      <c r="B526" s="11">
        <f t="shared" si="35"/>
        <v>6</v>
      </c>
      <c r="C526" s="115">
        <f t="shared" si="39"/>
        <v>40696</v>
      </c>
      <c r="D526" s="110" t="s">
        <v>665</v>
      </c>
      <c r="E526" s="115">
        <v>40696</v>
      </c>
      <c r="F526" s="116" t="s">
        <v>320</v>
      </c>
      <c r="G526" s="224" t="s">
        <v>509</v>
      </c>
      <c r="H526" s="117" t="s">
        <v>510</v>
      </c>
      <c r="I526" s="141"/>
      <c r="J526" s="141"/>
      <c r="K526" s="13">
        <v>256500</v>
      </c>
      <c r="L526" s="118" t="s">
        <v>73</v>
      </c>
      <c r="M526" s="118" t="s">
        <v>44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>x</v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>x</v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/>
      </c>
      <c r="Z526" s="235"/>
    </row>
    <row r="527" spans="1:26" ht="15.75" customHeight="1">
      <c r="A527" s="125" t="str">
        <f>IF(B527&lt;&gt;"",IF(AND(B527&gt;=_TM1,B527&lt;=_TM2,OR(TH!L527="1111",TH!M527="1111")),TH!D527,""),"")</f>
        <v/>
      </c>
      <c r="B527" s="11">
        <f t="shared" si="35"/>
        <v>6</v>
      </c>
      <c r="C527" s="110">
        <f t="shared" si="39"/>
        <v>40697</v>
      </c>
      <c r="D527" s="110" t="s">
        <v>310</v>
      </c>
      <c r="E527" s="110">
        <v>40697</v>
      </c>
      <c r="F527" s="114" t="s">
        <v>312</v>
      </c>
      <c r="G527" s="240" t="s">
        <v>307</v>
      </c>
      <c r="H527" s="117" t="s">
        <v>709</v>
      </c>
      <c r="I527" s="141"/>
      <c r="J527" s="141"/>
      <c r="K527" s="238">
        <v>67418088</v>
      </c>
      <c r="L527" s="239" t="s">
        <v>23</v>
      </c>
      <c r="M527" s="239" t="s">
        <v>237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>x</v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/>
      </c>
      <c r="Z527" s="235"/>
    </row>
    <row r="528" spans="1:26" ht="15.75" customHeight="1">
      <c r="A528" s="125" t="str">
        <f>IF(B528&lt;&gt;"",IF(AND(B528&gt;=_TM1,B528&lt;=_TM2,OR(TH!L528="1111",TH!M528="1111")),TH!D528,""),"")</f>
        <v/>
      </c>
      <c r="B528" s="11">
        <f t="shared" si="35"/>
        <v>6</v>
      </c>
      <c r="C528" s="115">
        <f t="shared" si="39"/>
        <v>40699</v>
      </c>
      <c r="D528" s="288" t="s">
        <v>1047</v>
      </c>
      <c r="E528" s="115">
        <v>40699</v>
      </c>
      <c r="F528" s="15" t="s">
        <v>534</v>
      </c>
      <c r="G528" s="224"/>
      <c r="H528" s="242" t="s">
        <v>1037</v>
      </c>
      <c r="I528" s="141">
        <v>415</v>
      </c>
      <c r="J528" s="141">
        <v>24005</v>
      </c>
      <c r="K528" s="238">
        <f t="shared" ref="K528:K536" si="40">ROUND(I528*J528,0)</f>
        <v>9962075</v>
      </c>
      <c r="L528" s="14" t="s">
        <v>153</v>
      </c>
      <c r="M528" s="292" t="s">
        <v>147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/>
      </c>
      <c r="Z528" s="121"/>
    </row>
    <row r="529" spans="1:26" ht="15.75" customHeight="1">
      <c r="A529" s="125" t="str">
        <f>IF(B529&lt;&gt;"",IF(AND(B529&gt;=_TM1,B529&lt;=_TM2,OR(TH!L529="1111",TH!M529="1111")),TH!D529,""),"")</f>
        <v/>
      </c>
      <c r="B529" s="11">
        <f t="shared" si="35"/>
        <v>6</v>
      </c>
      <c r="C529" s="115">
        <f t="shared" si="39"/>
        <v>40699</v>
      </c>
      <c r="D529" s="288" t="s">
        <v>1047</v>
      </c>
      <c r="E529" s="115">
        <v>40699</v>
      </c>
      <c r="F529" s="15" t="s">
        <v>534</v>
      </c>
      <c r="G529" s="224"/>
      <c r="H529" s="242" t="s">
        <v>1037</v>
      </c>
      <c r="I529" s="141">
        <v>369</v>
      </c>
      <c r="J529" s="141">
        <v>24005</v>
      </c>
      <c r="K529" s="238">
        <f t="shared" si="40"/>
        <v>8857845</v>
      </c>
      <c r="L529" s="14" t="s">
        <v>153</v>
      </c>
      <c r="M529" s="292" t="s">
        <v>147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/>
      </c>
      <c r="Z529" s="121"/>
    </row>
    <row r="530" spans="1:26" ht="15.75" customHeight="1">
      <c r="A530" s="125" t="str">
        <f>IF(B530&lt;&gt;"",IF(AND(B530&gt;=_TM1,B530&lt;=_TM2,OR(TH!L530="1111",TH!M530="1111")),TH!D530,""),"")</f>
        <v/>
      </c>
      <c r="B530" s="11">
        <f t="shared" si="35"/>
        <v>6</v>
      </c>
      <c r="C530" s="115">
        <f t="shared" si="39"/>
        <v>40699</v>
      </c>
      <c r="D530" s="288" t="s">
        <v>1047</v>
      </c>
      <c r="E530" s="115">
        <v>40699</v>
      </c>
      <c r="F530" s="114" t="s">
        <v>473</v>
      </c>
      <c r="G530" s="224"/>
      <c r="H530" s="242" t="s">
        <v>1037</v>
      </c>
      <c r="I530" s="141">
        <v>1</v>
      </c>
      <c r="J530" s="141">
        <v>16462</v>
      </c>
      <c r="K530" s="238">
        <f t="shared" si="40"/>
        <v>16462</v>
      </c>
      <c r="L530" s="14" t="s">
        <v>153</v>
      </c>
      <c r="M530" s="292" t="s">
        <v>147</v>
      </c>
      <c r="N530" s="25" t="str">
        <f>IF(AND('331-CT'!$E$7=TH!H530,OR(L530="331",M530="331")),"331",IF(AND(OR(L530="131",M530="131"),H530='131-CT'!$E$7),"131",""))</f>
        <v/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/>
      </c>
      <c r="Z530" s="121"/>
    </row>
    <row r="531" spans="1:26" ht="15.75" customHeight="1">
      <c r="A531" s="125" t="str">
        <f>IF(B531&lt;&gt;"",IF(AND(B531&gt;=_TM1,B531&lt;=_TM2,OR(TH!L531="1111",TH!M531="1111")),TH!D531,""),"")</f>
        <v/>
      </c>
      <c r="B531" s="11">
        <f t="shared" si="35"/>
        <v>6</v>
      </c>
      <c r="C531" s="115">
        <f t="shared" si="39"/>
        <v>40699</v>
      </c>
      <c r="D531" s="288" t="s">
        <v>1047</v>
      </c>
      <c r="E531" s="115">
        <v>40699</v>
      </c>
      <c r="F531" s="114" t="s">
        <v>539</v>
      </c>
      <c r="G531" s="224"/>
      <c r="H531" s="242" t="s">
        <v>1037</v>
      </c>
      <c r="I531" s="143">
        <v>1</v>
      </c>
      <c r="J531" s="143">
        <v>18390</v>
      </c>
      <c r="K531" s="238">
        <f t="shared" si="40"/>
        <v>18390</v>
      </c>
      <c r="L531" s="14" t="s">
        <v>153</v>
      </c>
      <c r="M531" s="292" t="s">
        <v>147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/>
      </c>
      <c r="Z531" s="121"/>
    </row>
    <row r="532" spans="1:26" ht="15.75" customHeight="1">
      <c r="A532" s="125" t="str">
        <f>IF(B532&lt;&gt;"",IF(AND(B532&gt;=_TM1,B532&lt;=_TM2,OR(TH!L532="1111",TH!M532="1111")),TH!D532,""),"")</f>
        <v/>
      </c>
      <c r="B532" s="11">
        <f t="shared" si="35"/>
        <v>6</v>
      </c>
      <c r="C532" s="115">
        <f t="shared" si="39"/>
        <v>40699</v>
      </c>
      <c r="D532" s="288" t="s">
        <v>1047</v>
      </c>
      <c r="E532" s="115">
        <v>40699</v>
      </c>
      <c r="F532" s="15" t="s">
        <v>573</v>
      </c>
      <c r="G532" s="224"/>
      <c r="H532" s="242" t="s">
        <v>1037</v>
      </c>
      <c r="I532" s="141">
        <v>21</v>
      </c>
      <c r="J532" s="141">
        <v>15946</v>
      </c>
      <c r="K532" s="238">
        <f t="shared" si="40"/>
        <v>334866</v>
      </c>
      <c r="L532" s="14" t="s">
        <v>153</v>
      </c>
      <c r="M532" s="292" t="s">
        <v>147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/>
      </c>
      <c r="Z532" s="121"/>
    </row>
    <row r="533" spans="1:26" ht="15.75" customHeight="1">
      <c r="A533" s="125" t="str">
        <f>IF(B533&lt;&gt;"",IF(AND(B533&gt;=_TM1,B533&lt;=_TM2,OR(TH!L533="1111",TH!M533="1111")),TH!D533,""),"")</f>
        <v/>
      </c>
      <c r="B533" s="11">
        <f t="shared" si="35"/>
        <v>6</v>
      </c>
      <c r="C533" s="115">
        <f t="shared" si="39"/>
        <v>40699</v>
      </c>
      <c r="D533" s="288" t="s">
        <v>1047</v>
      </c>
      <c r="E533" s="115">
        <v>40699</v>
      </c>
      <c r="F533" s="348" t="s">
        <v>573</v>
      </c>
      <c r="G533" s="224"/>
      <c r="H533" s="242" t="s">
        <v>1037</v>
      </c>
      <c r="I533" s="141">
        <v>33</v>
      </c>
      <c r="J533" s="141">
        <v>15946</v>
      </c>
      <c r="K533" s="238">
        <f t="shared" si="40"/>
        <v>526218</v>
      </c>
      <c r="L533" s="14" t="s">
        <v>153</v>
      </c>
      <c r="M533" s="292" t="s">
        <v>147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/>
      </c>
      <c r="Z533" s="121"/>
    </row>
    <row r="534" spans="1:26" ht="15.75" customHeight="1">
      <c r="A534" s="125" t="str">
        <f>IF(B534&lt;&gt;"",IF(AND(B534&gt;=_TM1,B534&lt;=_TM2,OR(TH!L534="1111",TH!M534="1111")),TH!D534,""),"")</f>
        <v/>
      </c>
      <c r="B534" s="11">
        <f t="shared" ref="B534:B597" si="41">IF(C534&lt;&gt;"",MONTH(C534),"")</f>
        <v>6</v>
      </c>
      <c r="C534" s="115">
        <f t="shared" si="39"/>
        <v>40699</v>
      </c>
      <c r="D534" s="288" t="s">
        <v>1047</v>
      </c>
      <c r="E534" s="115">
        <v>40699</v>
      </c>
      <c r="F534" s="15" t="s">
        <v>572</v>
      </c>
      <c r="G534" s="224"/>
      <c r="H534" s="242" t="s">
        <v>1037</v>
      </c>
      <c r="I534" s="141">
        <v>395</v>
      </c>
      <c r="J534" s="141">
        <v>16660</v>
      </c>
      <c r="K534" s="238">
        <f t="shared" si="40"/>
        <v>6580700</v>
      </c>
      <c r="L534" s="14" t="s">
        <v>153</v>
      </c>
      <c r="M534" s="292" t="s">
        <v>147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/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/>
      </c>
      <c r="Z534" s="121"/>
    </row>
    <row r="535" spans="1:26" ht="15.75" customHeight="1">
      <c r="A535" s="125" t="str">
        <f>IF(B535&lt;&gt;"",IF(AND(B535&gt;=_TM1,B535&lt;=_TM2,OR(TH!L535="1111",TH!M535="1111")),TH!D535,""),"")</f>
        <v/>
      </c>
      <c r="B535" s="11">
        <f t="shared" si="41"/>
        <v>6</v>
      </c>
      <c r="C535" s="115">
        <f t="shared" si="39"/>
        <v>40699</v>
      </c>
      <c r="D535" s="288" t="s">
        <v>1047</v>
      </c>
      <c r="E535" s="115">
        <v>40699</v>
      </c>
      <c r="F535" s="114" t="s">
        <v>612</v>
      </c>
      <c r="G535" s="224"/>
      <c r="H535" s="242" t="s">
        <v>1037</v>
      </c>
      <c r="I535" s="141">
        <v>482</v>
      </c>
      <c r="J535" s="141">
        <v>7207</v>
      </c>
      <c r="K535" s="238">
        <f t="shared" si="40"/>
        <v>3473774</v>
      </c>
      <c r="L535" s="14" t="s">
        <v>153</v>
      </c>
      <c r="M535" s="292" t="s">
        <v>147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/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/>
      </c>
      <c r="Z535" s="121"/>
    </row>
    <row r="536" spans="1:26" ht="15.75" customHeight="1">
      <c r="A536" s="125" t="str">
        <f>IF(B536&lt;&gt;"",IF(AND(B536&gt;=_TM1,B536&lt;=_TM2,OR(TH!L536="1111",TH!M536="1111")),TH!D536,""),"")</f>
        <v/>
      </c>
      <c r="B536" s="11">
        <f t="shared" si="41"/>
        <v>6</v>
      </c>
      <c r="C536" s="115">
        <f t="shared" si="39"/>
        <v>40699</v>
      </c>
      <c r="D536" s="288" t="s">
        <v>1047</v>
      </c>
      <c r="E536" s="115">
        <v>40699</v>
      </c>
      <c r="F536" s="154" t="s">
        <v>358</v>
      </c>
      <c r="G536" s="224"/>
      <c r="H536" s="242" t="s">
        <v>1037</v>
      </c>
      <c r="I536" s="141">
        <v>56</v>
      </c>
      <c r="J536" s="141">
        <v>14079</v>
      </c>
      <c r="K536" s="238">
        <f t="shared" si="40"/>
        <v>788424</v>
      </c>
      <c r="L536" s="14" t="s">
        <v>153</v>
      </c>
      <c r="M536" s="292" t="s">
        <v>147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/>
      </c>
      <c r="Z536" s="121"/>
    </row>
    <row r="537" spans="1:26" ht="15.75" customHeight="1">
      <c r="A537" s="125" t="str">
        <f>IF(B537&lt;&gt;"",IF(AND(B537&gt;=_TM1,B537&lt;=_TM2,OR(TH!L537="1111",TH!M537="1111")),TH!D537,""),"")</f>
        <v/>
      </c>
      <c r="B537" s="11">
        <f t="shared" si="41"/>
        <v>6</v>
      </c>
      <c r="C537" s="110">
        <f t="shared" si="39"/>
        <v>40700</v>
      </c>
      <c r="D537" s="110" t="s">
        <v>666</v>
      </c>
      <c r="E537" s="110">
        <v>40700</v>
      </c>
      <c r="F537" s="114" t="s">
        <v>339</v>
      </c>
      <c r="G537" s="240" t="s">
        <v>307</v>
      </c>
      <c r="H537" s="117" t="s">
        <v>340</v>
      </c>
      <c r="I537" s="141"/>
      <c r="J537" s="141"/>
      <c r="K537" s="238">
        <v>30000000</v>
      </c>
      <c r="L537" s="239" t="s">
        <v>23</v>
      </c>
      <c r="M537" s="239" t="s">
        <v>44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>x</v>
      </c>
      <c r="R537" s="25" t="str">
        <f>IF(ISERROR(FIND('112'!$M$9,G537,1)),"",IF((AND(FIND('112'!$M$9,G537,1)&gt;=1,$B537&gt;='112'!$N$8,$B537&lt;='112'!$O$8,OR($L537='112'!$I$6,$M537='112'!$I$6))),"x",""))</f>
        <v>x</v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/>
      </c>
      <c r="Z537" s="235"/>
    </row>
    <row r="538" spans="1:26" ht="15.75" customHeight="1">
      <c r="A538" s="125" t="str">
        <f>IF(B538&lt;&gt;"",IF(AND(B538&gt;=_TM1,B538&lt;=_TM2,OR(TH!L538="1111",TH!M538="1111")),TH!D538,""),"")</f>
        <v/>
      </c>
      <c r="B538" s="11">
        <f t="shared" si="41"/>
        <v>6</v>
      </c>
      <c r="C538" s="115">
        <f t="shared" si="39"/>
        <v>40700</v>
      </c>
      <c r="D538" s="110" t="s">
        <v>667</v>
      </c>
      <c r="E538" s="115">
        <v>40700</v>
      </c>
      <c r="F538" s="116" t="s">
        <v>659</v>
      </c>
      <c r="G538" s="224" t="s">
        <v>523</v>
      </c>
      <c r="H538" s="4" t="s">
        <v>348</v>
      </c>
      <c r="I538" s="143"/>
      <c r="J538" s="143"/>
      <c r="K538" s="238">
        <v>2980000</v>
      </c>
      <c r="L538" s="118" t="s">
        <v>153</v>
      </c>
      <c r="M538" s="118" t="s">
        <v>44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>x</v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/>
      </c>
      <c r="Z538" s="132">
        <v>6</v>
      </c>
    </row>
    <row r="539" spans="1:26" ht="15.75" customHeight="1">
      <c r="A539" s="125" t="str">
        <f>IF(B539&lt;&gt;"",IF(AND(B539&gt;=_TM1,B539&lt;=_TM2,OR(TH!L539="1111",TH!M539="1111")),TH!D539,""),"")</f>
        <v/>
      </c>
      <c r="B539" s="11">
        <f t="shared" si="41"/>
        <v>6</v>
      </c>
      <c r="C539" s="115">
        <f t="shared" si="39"/>
        <v>40700</v>
      </c>
      <c r="D539" s="110" t="s">
        <v>667</v>
      </c>
      <c r="E539" s="115">
        <v>40700</v>
      </c>
      <c r="F539" s="314" t="s">
        <v>319</v>
      </c>
      <c r="G539" s="224" t="s">
        <v>523</v>
      </c>
      <c r="H539" s="4" t="s">
        <v>348</v>
      </c>
      <c r="I539" s="141"/>
      <c r="J539" s="141"/>
      <c r="K539" s="13">
        <v>298000</v>
      </c>
      <c r="L539" s="118" t="s">
        <v>9</v>
      </c>
      <c r="M539" s="118" t="s">
        <v>44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>x</v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/>
      </c>
      <c r="Z539" s="132">
        <v>6</v>
      </c>
    </row>
    <row r="540" spans="1:26" ht="15.75" customHeight="1">
      <c r="A540" s="125" t="str">
        <f>IF(B540&lt;&gt;"",IF(AND(B540&gt;=_TM1,B540&lt;=_TM2,OR(TH!L540="1111",TH!M540="1111")),TH!D540,""),"")</f>
        <v/>
      </c>
      <c r="B540" s="11">
        <f t="shared" si="41"/>
        <v>6</v>
      </c>
      <c r="C540" s="110">
        <f t="shared" si="39"/>
        <v>40700</v>
      </c>
      <c r="D540" s="110" t="s">
        <v>311</v>
      </c>
      <c r="E540" s="110">
        <v>40700</v>
      </c>
      <c r="F540" s="114" t="s">
        <v>344</v>
      </c>
      <c r="G540" s="240" t="s">
        <v>307</v>
      </c>
      <c r="H540" s="4" t="s">
        <v>508</v>
      </c>
      <c r="I540" s="141"/>
      <c r="J540" s="141"/>
      <c r="K540" s="238">
        <v>100000000</v>
      </c>
      <c r="L540" s="239" t="s">
        <v>8</v>
      </c>
      <c r="M540" s="239" t="s">
        <v>23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>x</v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/>
      </c>
      <c r="Z540" s="235"/>
    </row>
    <row r="541" spans="1:26" ht="15.75" customHeight="1">
      <c r="A541" s="125" t="str">
        <f>IF(B541&lt;&gt;"",IF(AND(B541&gt;=_TM1,B541&lt;=_TM2,OR(TH!L541="1111",TH!M541="1111")),TH!D541,""),"")</f>
        <v/>
      </c>
      <c r="B541" s="11">
        <f t="shared" si="41"/>
        <v>6</v>
      </c>
      <c r="C541" s="110">
        <f t="shared" si="39"/>
        <v>40700</v>
      </c>
      <c r="D541" s="110" t="s">
        <v>311</v>
      </c>
      <c r="E541" s="110">
        <v>40700</v>
      </c>
      <c r="F541" s="114" t="s">
        <v>313</v>
      </c>
      <c r="G541" s="240" t="s">
        <v>307</v>
      </c>
      <c r="H541" s="4"/>
      <c r="I541" s="141"/>
      <c r="J541" s="141"/>
      <c r="K541" s="238">
        <v>10000</v>
      </c>
      <c r="L541" s="239" t="s">
        <v>73</v>
      </c>
      <c r="M541" s="239" t="s">
        <v>23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>x</v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>x</v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/>
      </c>
      <c r="Z541" s="235"/>
    </row>
    <row r="542" spans="1:26" ht="15.75" customHeight="1">
      <c r="A542" s="125" t="str">
        <f>IF(B542&lt;&gt;"",IF(AND(B542&gt;=_TM1,B542&lt;=_TM2,OR(TH!L542="1111",TH!M542="1111")),TH!D542,""),"")</f>
        <v/>
      </c>
      <c r="B542" s="11">
        <f t="shared" si="41"/>
        <v>6</v>
      </c>
      <c r="C542" s="115">
        <f t="shared" si="39"/>
        <v>40700</v>
      </c>
      <c r="D542" s="110" t="s">
        <v>686</v>
      </c>
      <c r="E542" s="115">
        <v>40700</v>
      </c>
      <c r="F542" s="114" t="s">
        <v>466</v>
      </c>
      <c r="G542" s="224" t="s">
        <v>518</v>
      </c>
      <c r="H542" s="4" t="s">
        <v>476</v>
      </c>
      <c r="I542" s="143">
        <v>637</v>
      </c>
      <c r="J542" s="143">
        <v>16925</v>
      </c>
      <c r="K542" s="238">
        <f>ROUND(I542*J542,0)</f>
        <v>10781225</v>
      </c>
      <c r="L542" s="118" t="s">
        <v>147</v>
      </c>
      <c r="M542" s="118" t="s">
        <v>8</v>
      </c>
      <c r="N542" s="25" t="str">
        <f>IF(AND('331-CT'!$E$7=TH!H542,OR(L542="331",M542="331")),"331",IF(AND(OR(L542="131",M542="131"),H542='131-CT'!$E$7),"131",""))</f>
        <v>331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/>
      </c>
      <c r="Z542" s="132">
        <v>6</v>
      </c>
    </row>
    <row r="543" spans="1:26" ht="15.75" customHeight="1">
      <c r="A543" s="125" t="str">
        <f>IF(B543&lt;&gt;"",IF(AND(B543&gt;=_TM1,B543&lt;=_TM2,OR(TH!L543="1111",TH!M543="1111")),TH!D543,""),"")</f>
        <v/>
      </c>
      <c r="B543" s="11">
        <f t="shared" si="41"/>
        <v>6</v>
      </c>
      <c r="C543" s="115">
        <f t="shared" si="39"/>
        <v>40700</v>
      </c>
      <c r="D543" s="110" t="s">
        <v>686</v>
      </c>
      <c r="E543" s="115">
        <v>40700</v>
      </c>
      <c r="F543" s="114" t="s">
        <v>519</v>
      </c>
      <c r="G543" s="224" t="s">
        <v>518</v>
      </c>
      <c r="H543" s="4" t="s">
        <v>476</v>
      </c>
      <c r="I543" s="143">
        <v>100</v>
      </c>
      <c r="J543" s="143">
        <v>19638</v>
      </c>
      <c r="K543" s="238">
        <f>ROUND(I543*J543,0)</f>
        <v>1963800</v>
      </c>
      <c r="L543" s="118" t="s">
        <v>147</v>
      </c>
      <c r="M543" s="118" t="s">
        <v>8</v>
      </c>
      <c r="N543" s="25" t="str">
        <f>IF(AND('331-CT'!$E$7=TH!H543,OR(L543="331",M543="331")),"331",IF(AND(OR(L543="131",M543="131"),H543='131-CT'!$E$7),"131",""))</f>
        <v>331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/>
      </c>
      <c r="Z543" s="132">
        <v>6</v>
      </c>
    </row>
    <row r="544" spans="1:26" ht="15.75" customHeight="1">
      <c r="A544" s="125" t="str">
        <f>IF(B544&lt;&gt;"",IF(AND(B544&gt;=_TM1,B544&lt;=_TM2,OR(TH!L544="1111",TH!M544="1111")),TH!D544,""),"")</f>
        <v/>
      </c>
      <c r="B544" s="11">
        <f t="shared" si="41"/>
        <v>6</v>
      </c>
      <c r="C544" s="115">
        <f t="shared" si="39"/>
        <v>40700</v>
      </c>
      <c r="D544" s="110" t="s">
        <v>686</v>
      </c>
      <c r="E544" s="115">
        <v>40700</v>
      </c>
      <c r="F544" s="114" t="s">
        <v>520</v>
      </c>
      <c r="G544" s="224" t="s">
        <v>518</v>
      </c>
      <c r="H544" s="4" t="s">
        <v>476</v>
      </c>
      <c r="I544" s="143">
        <v>81</v>
      </c>
      <c r="J544" s="143">
        <v>28059</v>
      </c>
      <c r="K544" s="238">
        <f>ROUND(I544*J544,0)</f>
        <v>2272779</v>
      </c>
      <c r="L544" s="118" t="s">
        <v>147</v>
      </c>
      <c r="M544" s="118" t="s">
        <v>8</v>
      </c>
      <c r="N544" s="25" t="str">
        <f>IF(AND('331-CT'!$E$7=TH!H544,OR(L544="331",M544="331")),"331",IF(AND(OR(L544="131",M544="131"),H544='131-CT'!$E$7),"131",""))</f>
        <v>331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/>
      </c>
      <c r="Z544" s="132">
        <v>6</v>
      </c>
    </row>
    <row r="545" spans="1:26" ht="15.75" customHeight="1">
      <c r="A545" s="125" t="str">
        <f>IF(B545&lt;&gt;"",IF(AND(B545&gt;=_TM1,B545&lt;=_TM2,OR(TH!L545="1111",TH!M545="1111")),TH!D545,""),"")</f>
        <v/>
      </c>
      <c r="B545" s="11">
        <f t="shared" si="41"/>
        <v>6</v>
      </c>
      <c r="C545" s="115">
        <f t="shared" si="39"/>
        <v>40700</v>
      </c>
      <c r="D545" s="110" t="s">
        <v>686</v>
      </c>
      <c r="E545" s="115">
        <v>40700</v>
      </c>
      <c r="F545" s="114" t="s">
        <v>521</v>
      </c>
      <c r="G545" s="224" t="s">
        <v>518</v>
      </c>
      <c r="H545" s="4" t="s">
        <v>476</v>
      </c>
      <c r="I545" s="143">
        <v>200</v>
      </c>
      <c r="J545" s="143">
        <v>26854</v>
      </c>
      <c r="K545" s="238">
        <f>ROUND(I545*J545,0)</f>
        <v>5370800</v>
      </c>
      <c r="L545" s="118" t="s">
        <v>147</v>
      </c>
      <c r="M545" s="118" t="s">
        <v>8</v>
      </c>
      <c r="N545" s="25" t="str">
        <f>IF(AND('331-CT'!$E$7=TH!H545,OR(L545="331",M545="331")),"331",IF(AND(OR(L545="131",M545="131"),H545='131-CT'!$E$7),"131",""))</f>
        <v>331</v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/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/>
      </c>
      <c r="Z545" s="132">
        <v>6</v>
      </c>
    </row>
    <row r="546" spans="1:26" ht="15.75" customHeight="1">
      <c r="A546" s="125" t="str">
        <f>IF(B546&lt;&gt;"",IF(AND(B546&gt;=_TM1,B546&lt;=_TM2,OR(TH!L546="1111",TH!M546="1111")),TH!D546,""),"")</f>
        <v/>
      </c>
      <c r="B546" s="11">
        <f t="shared" si="41"/>
        <v>6</v>
      </c>
      <c r="C546" s="115">
        <f t="shared" si="39"/>
        <v>40700</v>
      </c>
      <c r="D546" s="110" t="s">
        <v>686</v>
      </c>
      <c r="E546" s="115">
        <v>40700</v>
      </c>
      <c r="F546" s="114" t="s">
        <v>522</v>
      </c>
      <c r="G546" s="224" t="s">
        <v>518</v>
      </c>
      <c r="H546" s="4" t="s">
        <v>476</v>
      </c>
      <c r="I546" s="143">
        <v>52</v>
      </c>
      <c r="J546" s="143">
        <v>32850</v>
      </c>
      <c r="K546" s="238">
        <f>ROUND(I546*J546,0)</f>
        <v>1708200</v>
      </c>
      <c r="L546" s="118" t="s">
        <v>147</v>
      </c>
      <c r="M546" s="118" t="s">
        <v>8</v>
      </c>
      <c r="N546" s="25" t="str">
        <f>IF(AND('331-CT'!$E$7=TH!H546,OR(L546="331",M546="331")),"331",IF(AND(OR(L546="131",M546="131"),H546='131-CT'!$E$7),"131",""))</f>
        <v>331</v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/>
      </c>
      <c r="Y546" s="25" t="str">
        <f>IF(AND(B546&lt;=NKC!$N$8,B546&gt;=NKC!$M$8),"x","")</f>
        <v/>
      </c>
      <c r="Z546" s="132">
        <v>6</v>
      </c>
    </row>
    <row r="547" spans="1:26" ht="15.75" customHeight="1">
      <c r="A547" s="125" t="str">
        <f>IF(B547&lt;&gt;"",IF(AND(B547&gt;=_TM1,B547&lt;=_TM2,OR(TH!L547="1111",TH!M547="1111")),TH!D547,""),"")</f>
        <v/>
      </c>
      <c r="B547" s="11">
        <f t="shared" si="41"/>
        <v>6</v>
      </c>
      <c r="C547" s="115">
        <f t="shared" si="39"/>
        <v>40700</v>
      </c>
      <c r="D547" s="110" t="s">
        <v>686</v>
      </c>
      <c r="E547" s="115">
        <v>40700</v>
      </c>
      <c r="F547" s="114" t="s">
        <v>357</v>
      </c>
      <c r="G547" s="224" t="s">
        <v>518</v>
      </c>
      <c r="H547" s="4" t="s">
        <v>476</v>
      </c>
      <c r="I547" s="143"/>
      <c r="J547" s="143"/>
      <c r="K547" s="13">
        <v>2209680</v>
      </c>
      <c r="L547" s="118" t="s">
        <v>9</v>
      </c>
      <c r="M547" s="118" t="s">
        <v>8</v>
      </c>
      <c r="N547" s="25" t="str">
        <f>IF(AND('331-CT'!$E$7=TH!H547,OR(L547="331",M547="331")),"331",IF(AND(OR(L547="131",M547="131"),H547='131-CT'!$E$7),"131",""))</f>
        <v>331</v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/>
      </c>
      <c r="Z547" s="132">
        <v>6</v>
      </c>
    </row>
    <row r="548" spans="1:26" ht="15.75" customHeight="1">
      <c r="A548" s="125" t="str">
        <f>IF(B548&lt;&gt;"",IF(AND(B548&gt;=_TM1,B548&lt;=_TM2,OR(TH!L548="1111",TH!M548="1111")),TH!D548,""),"")</f>
        <v/>
      </c>
      <c r="B548" s="11">
        <f t="shared" si="41"/>
        <v>6</v>
      </c>
      <c r="C548" s="115">
        <f t="shared" si="39"/>
        <v>40701</v>
      </c>
      <c r="D548" s="110" t="s">
        <v>668</v>
      </c>
      <c r="E548" s="115">
        <v>40701</v>
      </c>
      <c r="F548" s="114" t="s">
        <v>1025</v>
      </c>
      <c r="G548" s="224" t="s">
        <v>524</v>
      </c>
      <c r="H548" s="4" t="s">
        <v>525</v>
      </c>
      <c r="I548" s="141"/>
      <c r="J548" s="141"/>
      <c r="K548" s="13">
        <v>15353374</v>
      </c>
      <c r="L548" s="118" t="s">
        <v>8</v>
      </c>
      <c r="M548" s="118" t="s">
        <v>44</v>
      </c>
      <c r="N548" s="25" t="str">
        <f>IF(AND('331-CT'!$E$7=TH!H548,OR(L548="331",M548="331")),"331",IF(AND(OR(L548="131",M548="131"),H548='131-CT'!$E$7),"131",""))</f>
        <v/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>x</v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/>
      </c>
      <c r="Z548" s="235"/>
    </row>
    <row r="549" spans="1:26" ht="15.75" customHeight="1">
      <c r="A549" s="125" t="str">
        <f>IF(B549&lt;&gt;"",IF(AND(B549&gt;=_TM1,B549&lt;=_TM2,OR(TH!L549="1111",TH!M549="1111")),TH!D549,""),"")</f>
        <v/>
      </c>
      <c r="B549" s="11">
        <f t="shared" si="41"/>
        <v>6</v>
      </c>
      <c r="C549" s="115">
        <f t="shared" si="39"/>
        <v>40701</v>
      </c>
      <c r="D549" s="110" t="s">
        <v>687</v>
      </c>
      <c r="E549" s="115">
        <v>40701</v>
      </c>
      <c r="F549" s="114" t="s">
        <v>526</v>
      </c>
      <c r="G549" s="224" t="s">
        <v>524</v>
      </c>
      <c r="H549" s="4" t="s">
        <v>525</v>
      </c>
      <c r="I549" s="141">
        <v>105</v>
      </c>
      <c r="J549" s="141">
        <v>13954</v>
      </c>
      <c r="K549" s="238">
        <f t="shared" ref="K549:K555" si="42">ROUND(I549*J549,0)</f>
        <v>1465170</v>
      </c>
      <c r="L549" s="118" t="s">
        <v>147</v>
      </c>
      <c r="M549" s="118" t="s">
        <v>8</v>
      </c>
      <c r="N549" s="25" t="str">
        <f>IF(AND('331-CT'!$E$7=TH!H549,OR(L549="331",M549="331")),"331",IF(AND(OR(L549="131",M549="131"),H549='131-CT'!$E$7),"131",""))</f>
        <v/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/>
      </c>
      <c r="Z549" s="132">
        <v>6</v>
      </c>
    </row>
    <row r="550" spans="1:26" ht="15.75" customHeight="1">
      <c r="A550" s="125" t="str">
        <f>IF(B550&lt;&gt;"",IF(AND(B550&gt;=_TM1,B550&lt;=_TM2,OR(TH!L550="1111",TH!M550="1111")),TH!D550,""),"")</f>
        <v/>
      </c>
      <c r="B550" s="11">
        <f t="shared" si="41"/>
        <v>6</v>
      </c>
      <c r="C550" s="115">
        <f t="shared" si="39"/>
        <v>40701</v>
      </c>
      <c r="D550" s="110" t="s">
        <v>687</v>
      </c>
      <c r="E550" s="115">
        <v>40701</v>
      </c>
      <c r="F550" s="114" t="s">
        <v>527</v>
      </c>
      <c r="G550" s="224" t="s">
        <v>524</v>
      </c>
      <c r="H550" s="4" t="s">
        <v>525</v>
      </c>
      <c r="I550" s="141">
        <v>130</v>
      </c>
      <c r="J550" s="141">
        <v>22476</v>
      </c>
      <c r="K550" s="238">
        <f t="shared" si="42"/>
        <v>2921880</v>
      </c>
      <c r="L550" s="118" t="s">
        <v>147</v>
      </c>
      <c r="M550" s="118" t="s">
        <v>8</v>
      </c>
      <c r="N550" s="25" t="str">
        <f>IF(AND('331-CT'!$E$7=TH!H550,OR(L550="331",M550="331")),"331",IF(AND(OR(L550="131",M550="131"),H550='131-CT'!$E$7),"131",""))</f>
        <v/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/>
      </c>
      <c r="Z550" s="132">
        <v>6</v>
      </c>
    </row>
    <row r="551" spans="1:26" ht="15.75" customHeight="1">
      <c r="A551" s="125" t="str">
        <f>IF(B551&lt;&gt;"",IF(AND(B551&gt;=_TM1,B551&lt;=_TM2,OR(TH!L551="1111",TH!M551="1111")),TH!D551,""),"")</f>
        <v/>
      </c>
      <c r="B551" s="11">
        <f t="shared" si="41"/>
        <v>6</v>
      </c>
      <c r="C551" s="115">
        <f t="shared" si="39"/>
        <v>40701</v>
      </c>
      <c r="D551" s="110" t="s">
        <v>687</v>
      </c>
      <c r="E551" s="115">
        <v>40701</v>
      </c>
      <c r="F551" s="114" t="s">
        <v>528</v>
      </c>
      <c r="G551" s="224" t="s">
        <v>524</v>
      </c>
      <c r="H551" s="4" t="s">
        <v>525</v>
      </c>
      <c r="I551" s="141">
        <v>105</v>
      </c>
      <c r="J551" s="141">
        <v>16973</v>
      </c>
      <c r="K551" s="238">
        <f t="shared" si="42"/>
        <v>1782165</v>
      </c>
      <c r="L551" s="118" t="s">
        <v>147</v>
      </c>
      <c r="M551" s="118" t="s">
        <v>8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/>
      </c>
      <c r="Z551" s="132">
        <v>6</v>
      </c>
    </row>
    <row r="552" spans="1:26" ht="15.75" customHeight="1">
      <c r="A552" s="125" t="str">
        <f>IF(B552&lt;&gt;"",IF(AND(B552&gt;=_TM1,B552&lt;=_TM2,OR(TH!L552="1111",TH!M552="1111")),TH!D552,""),"")</f>
        <v/>
      </c>
      <c r="B552" s="11">
        <f t="shared" si="41"/>
        <v>6</v>
      </c>
      <c r="C552" s="115">
        <f t="shared" si="39"/>
        <v>40701</v>
      </c>
      <c r="D552" s="110" t="s">
        <v>687</v>
      </c>
      <c r="E552" s="115">
        <v>40701</v>
      </c>
      <c r="F552" s="114" t="s">
        <v>529</v>
      </c>
      <c r="G552" s="224" t="s">
        <v>524</v>
      </c>
      <c r="H552" s="4" t="s">
        <v>525</v>
      </c>
      <c r="I552" s="141">
        <v>3</v>
      </c>
      <c r="J552" s="141">
        <v>11247</v>
      </c>
      <c r="K552" s="238">
        <f t="shared" si="42"/>
        <v>33741</v>
      </c>
      <c r="L552" s="118" t="s">
        <v>147</v>
      </c>
      <c r="M552" s="118" t="s">
        <v>8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/>
      </c>
      <c r="Z552" s="132">
        <v>6</v>
      </c>
    </row>
    <row r="553" spans="1:26" ht="15.75" customHeight="1">
      <c r="A553" s="125" t="str">
        <f>IF(B553&lt;&gt;"",IF(AND(B553&gt;=_TM1,B553&lt;=_TM2,OR(TH!L553="1111",TH!M553="1111")),TH!D553,""),"")</f>
        <v/>
      </c>
      <c r="B553" s="11">
        <f t="shared" si="41"/>
        <v>6</v>
      </c>
      <c r="C553" s="115">
        <f t="shared" si="39"/>
        <v>40701</v>
      </c>
      <c r="D553" s="110" t="s">
        <v>687</v>
      </c>
      <c r="E553" s="115">
        <v>40701</v>
      </c>
      <c r="F553" s="114" t="s">
        <v>530</v>
      </c>
      <c r="G553" s="224" t="s">
        <v>524</v>
      </c>
      <c r="H553" s="4" t="s">
        <v>525</v>
      </c>
      <c r="I553" s="141">
        <v>224</v>
      </c>
      <c r="J553" s="141">
        <v>17368</v>
      </c>
      <c r="K553" s="238">
        <f t="shared" si="42"/>
        <v>3890432</v>
      </c>
      <c r="L553" s="118" t="s">
        <v>147</v>
      </c>
      <c r="M553" s="118" t="s">
        <v>8</v>
      </c>
      <c r="N553" s="25" t="str">
        <f>IF(AND('331-CT'!$E$7=TH!H553,OR(L553="331",M553="331")),"331",IF(AND(OR(L553="131",M553="131"),H553='131-CT'!$E$7),"131",""))</f>
        <v/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/>
      </c>
      <c r="Z553" s="132">
        <v>6</v>
      </c>
    </row>
    <row r="554" spans="1:26" ht="15.75" customHeight="1">
      <c r="A554" s="125" t="str">
        <f>IF(B554&lt;&gt;"",IF(AND(B554&gt;=_TM1,B554&lt;=_TM2,OR(TH!L554="1111",TH!M554="1111")),TH!D554,""),"")</f>
        <v/>
      </c>
      <c r="B554" s="11">
        <f t="shared" si="41"/>
        <v>6</v>
      </c>
      <c r="C554" s="115">
        <f t="shared" si="39"/>
        <v>40701</v>
      </c>
      <c r="D554" s="110" t="s">
        <v>687</v>
      </c>
      <c r="E554" s="115">
        <v>40701</v>
      </c>
      <c r="F554" s="114" t="s">
        <v>531</v>
      </c>
      <c r="G554" s="224" t="s">
        <v>524</v>
      </c>
      <c r="H554" s="4" t="s">
        <v>525</v>
      </c>
      <c r="I554" s="141">
        <v>150</v>
      </c>
      <c r="J554" s="141">
        <v>21158</v>
      </c>
      <c r="K554" s="238">
        <f t="shared" si="42"/>
        <v>3173700</v>
      </c>
      <c r="L554" s="118" t="s">
        <v>147</v>
      </c>
      <c r="M554" s="118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/>
      </c>
      <c r="Z554" s="132">
        <v>6</v>
      </c>
    </row>
    <row r="555" spans="1:26" ht="15.75" customHeight="1">
      <c r="A555" s="125" t="str">
        <f>IF(B555&lt;&gt;"",IF(AND(B555&gt;=_TM1,B555&lt;=_TM2,OR(TH!L555="1111",TH!M555="1111")),TH!D555,""),"")</f>
        <v/>
      </c>
      <c r="B555" s="11">
        <f t="shared" si="41"/>
        <v>6</v>
      </c>
      <c r="C555" s="115">
        <f t="shared" si="39"/>
        <v>40701</v>
      </c>
      <c r="D555" s="110" t="s">
        <v>687</v>
      </c>
      <c r="E555" s="115">
        <v>40701</v>
      </c>
      <c r="F555" s="114" t="s">
        <v>532</v>
      </c>
      <c r="G555" s="224" t="s">
        <v>524</v>
      </c>
      <c r="H555" s="4" t="s">
        <v>525</v>
      </c>
      <c r="I555" s="141">
        <v>45</v>
      </c>
      <c r="J555" s="141">
        <v>15345</v>
      </c>
      <c r="K555" s="238">
        <f t="shared" si="42"/>
        <v>690525</v>
      </c>
      <c r="L555" s="118" t="s">
        <v>147</v>
      </c>
      <c r="M555" s="118" t="s">
        <v>8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/>
      </c>
      <c r="Z555" s="132">
        <v>6</v>
      </c>
    </row>
    <row r="556" spans="1:26" ht="15.75" customHeight="1">
      <c r="A556" s="125" t="str">
        <f>IF(B556&lt;&gt;"",IF(AND(B556&gt;=_TM1,B556&lt;=_TM2,OR(TH!L556="1111",TH!M556="1111")),TH!D556,""),"")</f>
        <v/>
      </c>
      <c r="B556" s="11">
        <f t="shared" si="41"/>
        <v>6</v>
      </c>
      <c r="C556" s="115">
        <f t="shared" si="39"/>
        <v>40701</v>
      </c>
      <c r="D556" s="110" t="s">
        <v>687</v>
      </c>
      <c r="E556" s="115">
        <v>40701</v>
      </c>
      <c r="F556" s="114" t="s">
        <v>357</v>
      </c>
      <c r="G556" s="224" t="s">
        <v>524</v>
      </c>
      <c r="H556" s="4" t="s">
        <v>525</v>
      </c>
      <c r="I556" s="141"/>
      <c r="J556" s="141"/>
      <c r="K556" s="13">
        <v>1395761</v>
      </c>
      <c r="L556" s="118" t="s">
        <v>9</v>
      </c>
      <c r="M556" s="118" t="s">
        <v>8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/>
      </c>
      <c r="Z556" s="132">
        <v>6</v>
      </c>
    </row>
    <row r="557" spans="1:26" ht="15.75" customHeight="1">
      <c r="A557" s="125" t="str">
        <f>IF(B557&lt;&gt;"",IF(AND(B557&gt;=_TM1,B557&lt;=_TM2,OR(TH!L557="1111",TH!M557="1111")),TH!D557,""),"")</f>
        <v/>
      </c>
      <c r="B557" s="11">
        <f t="shared" si="41"/>
        <v>6</v>
      </c>
      <c r="C557" s="110">
        <f t="shared" si="39"/>
        <v>40702</v>
      </c>
      <c r="D557" s="110" t="s">
        <v>310</v>
      </c>
      <c r="E557" s="110">
        <v>40702</v>
      </c>
      <c r="F557" s="114" t="s">
        <v>312</v>
      </c>
      <c r="G557" s="240" t="s">
        <v>307</v>
      </c>
      <c r="H557" s="117" t="s">
        <v>709</v>
      </c>
      <c r="I557" s="141"/>
      <c r="J557" s="141"/>
      <c r="K557" s="238">
        <v>76032911</v>
      </c>
      <c r="L557" s="239" t="s">
        <v>23</v>
      </c>
      <c r="M557" s="239" t="s">
        <v>237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>x</v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/>
      </c>
      <c r="Z557" s="235"/>
    </row>
    <row r="558" spans="1:26" ht="15.75" customHeight="1">
      <c r="A558" s="125" t="str">
        <f>IF(B558&lt;&gt;"",IF(AND(B558&gt;=_TM1,B558&lt;=_TM2,OR(TH!L558="1111",TH!M558="1111")),TH!D558,""),"")</f>
        <v/>
      </c>
      <c r="B558" s="11">
        <f t="shared" si="41"/>
        <v>6</v>
      </c>
      <c r="C558" s="115">
        <f t="shared" si="39"/>
        <v>40702</v>
      </c>
      <c r="D558" s="110" t="s">
        <v>688</v>
      </c>
      <c r="E558" s="115">
        <v>40702</v>
      </c>
      <c r="F558" s="116" t="s">
        <v>533</v>
      </c>
      <c r="G558" s="224" t="s">
        <v>535</v>
      </c>
      <c r="H558" s="117" t="s">
        <v>536</v>
      </c>
      <c r="I558" s="141">
        <v>185</v>
      </c>
      <c r="J558" s="141">
        <v>22372</v>
      </c>
      <c r="K558" s="238">
        <f>ROUND(I558*J558,0)</f>
        <v>4138820</v>
      </c>
      <c r="L558" s="118" t="s">
        <v>147</v>
      </c>
      <c r="M558" s="118" t="s">
        <v>8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/>
      </c>
      <c r="Z558" s="132">
        <v>6</v>
      </c>
    </row>
    <row r="559" spans="1:26" ht="15.75" customHeight="1">
      <c r="A559" s="125" t="str">
        <f>IF(B559&lt;&gt;"",IF(AND(B559&gt;=_TM1,B559&lt;=_TM2,OR(TH!L559="1111",TH!M559="1111")),TH!D559,""),"")</f>
        <v/>
      </c>
      <c r="B559" s="11">
        <f t="shared" si="41"/>
        <v>6</v>
      </c>
      <c r="C559" s="115">
        <f t="shared" si="39"/>
        <v>40702</v>
      </c>
      <c r="D559" s="110" t="s">
        <v>688</v>
      </c>
      <c r="E559" s="115">
        <v>40702</v>
      </c>
      <c r="F559" s="116" t="s">
        <v>534</v>
      </c>
      <c r="G559" s="224" t="s">
        <v>535</v>
      </c>
      <c r="H559" s="117" t="s">
        <v>536</v>
      </c>
      <c r="I559" s="141">
        <v>500</v>
      </c>
      <c r="J559" s="141">
        <v>24005</v>
      </c>
      <c r="K559" s="238">
        <f>ROUND(I559*J559,0)</f>
        <v>12002500</v>
      </c>
      <c r="L559" s="118" t="s">
        <v>147</v>
      </c>
      <c r="M559" s="118" t="s">
        <v>8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/>
      </c>
      <c r="Z559" s="132">
        <v>6</v>
      </c>
    </row>
    <row r="560" spans="1:26" ht="15.75" customHeight="1">
      <c r="A560" s="125" t="str">
        <f>IF(B560&lt;&gt;"",IF(AND(B560&gt;=_TM1,B560&lt;=_TM2,OR(TH!L560="1111",TH!M560="1111")),TH!D560,""),"")</f>
        <v/>
      </c>
      <c r="B560" s="11">
        <f t="shared" si="41"/>
        <v>6</v>
      </c>
      <c r="C560" s="115">
        <f t="shared" si="39"/>
        <v>40702</v>
      </c>
      <c r="D560" s="110" t="s">
        <v>688</v>
      </c>
      <c r="E560" s="115">
        <v>40702</v>
      </c>
      <c r="F560" s="116" t="s">
        <v>537</v>
      </c>
      <c r="G560" s="224" t="s">
        <v>535</v>
      </c>
      <c r="H560" s="117" t="s">
        <v>536</v>
      </c>
      <c r="I560" s="141"/>
      <c r="J560" s="141"/>
      <c r="K560" s="13">
        <v>1614132</v>
      </c>
      <c r="L560" s="118" t="s">
        <v>9</v>
      </c>
      <c r="M560" s="118" t="s">
        <v>8</v>
      </c>
      <c r="N560" s="25" t="str">
        <f>IF(AND('331-CT'!$E$7=TH!H560,OR(L560="331",M560="331")),"331",IF(AND(OR(L560="131",M560="131"),H560='131-CT'!$E$7),"131",""))</f>
        <v/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/>
      </c>
      <c r="Z560" s="132">
        <v>6</v>
      </c>
    </row>
    <row r="561" spans="1:26" ht="15.75" customHeight="1">
      <c r="A561" s="125" t="str">
        <f>IF(B561&lt;&gt;"",IF(AND(B561&gt;=_TM1,B561&lt;=_TM2,OR(TH!L561="1111",TH!M561="1111")),TH!D561,""),"")</f>
        <v/>
      </c>
      <c r="B561" s="11">
        <f t="shared" si="41"/>
        <v>6</v>
      </c>
      <c r="C561" s="115">
        <f t="shared" si="39"/>
        <v>40702</v>
      </c>
      <c r="D561" s="288" t="s">
        <v>1048</v>
      </c>
      <c r="E561" s="115">
        <v>40702</v>
      </c>
      <c r="F561" s="154" t="s">
        <v>456</v>
      </c>
      <c r="G561" s="224"/>
      <c r="H561" s="242" t="s">
        <v>1037</v>
      </c>
      <c r="I561" s="141">
        <v>203</v>
      </c>
      <c r="J561" s="141">
        <v>6026</v>
      </c>
      <c r="K561" s="238">
        <f t="shared" ref="K561:K570" si="43">ROUND(I561*J561,0)</f>
        <v>1223278</v>
      </c>
      <c r="L561" s="14" t="s">
        <v>153</v>
      </c>
      <c r="M561" s="292" t="s">
        <v>147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/>
      </c>
      <c r="Z561" s="121"/>
    </row>
    <row r="562" spans="1:26" ht="15.75" customHeight="1">
      <c r="A562" s="125" t="str">
        <f>IF(B562&lt;&gt;"",IF(AND(B562&gt;=_TM1,B562&lt;=_TM2,OR(TH!L562="1111",TH!M562="1111")),TH!D562,""),"")</f>
        <v/>
      </c>
      <c r="B562" s="11">
        <f t="shared" si="41"/>
        <v>6</v>
      </c>
      <c r="C562" s="115">
        <f t="shared" si="39"/>
        <v>40702</v>
      </c>
      <c r="D562" s="288" t="s">
        <v>1048</v>
      </c>
      <c r="E562" s="115">
        <v>40702</v>
      </c>
      <c r="F562" s="114" t="s">
        <v>364</v>
      </c>
      <c r="G562" s="224"/>
      <c r="H562" s="242" t="s">
        <v>1037</v>
      </c>
      <c r="I562" s="315">
        <v>1</v>
      </c>
      <c r="J562" s="141">
        <v>4449</v>
      </c>
      <c r="K562" s="238">
        <f t="shared" si="43"/>
        <v>4449</v>
      </c>
      <c r="L562" s="14" t="s">
        <v>153</v>
      </c>
      <c r="M562" s="292" t="s">
        <v>147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>x</v>
      </c>
      <c r="X562" s="25" t="str">
        <f>IF(AND(OR(LEFT(TH!L562,2)="15",LEFT(TH!M562,2)="15"),TK!$E$7=TH!F562),"x","")</f>
        <v/>
      </c>
      <c r="Y562" s="25" t="str">
        <f>IF(AND(B562&lt;=NKC!$N$8,B562&gt;=NKC!$M$8),"x","")</f>
        <v/>
      </c>
      <c r="Z562" s="121"/>
    </row>
    <row r="563" spans="1:26" ht="15.75" customHeight="1">
      <c r="A563" s="125" t="str">
        <f>IF(B563&lt;&gt;"",IF(AND(B563&gt;=_TM1,B563&lt;=_TM2,OR(TH!L563="1111",TH!M563="1111")),TH!D563,""),"")</f>
        <v/>
      </c>
      <c r="B563" s="11">
        <f t="shared" si="41"/>
        <v>6</v>
      </c>
      <c r="C563" s="115">
        <f t="shared" si="39"/>
        <v>40702</v>
      </c>
      <c r="D563" s="288" t="s">
        <v>1048</v>
      </c>
      <c r="E563" s="115">
        <v>40702</v>
      </c>
      <c r="F563" s="114" t="s">
        <v>473</v>
      </c>
      <c r="G563" s="224"/>
      <c r="H563" s="242" t="s">
        <v>1037</v>
      </c>
      <c r="I563" s="141">
        <v>0.5</v>
      </c>
      <c r="J563" s="141">
        <v>16462</v>
      </c>
      <c r="K563" s="238">
        <f t="shared" si="43"/>
        <v>8231</v>
      </c>
      <c r="L563" s="14" t="s">
        <v>153</v>
      </c>
      <c r="M563" s="292" t="s">
        <v>147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/>
      </c>
      <c r="Z563" s="121"/>
    </row>
    <row r="564" spans="1:26" ht="15.75" customHeight="1">
      <c r="A564" s="125" t="str">
        <f>IF(B564&lt;&gt;"",IF(AND(B564&gt;=_TM1,B564&lt;=_TM2,OR(TH!L564="1111",TH!M564="1111")),TH!D564,""),"")</f>
        <v/>
      </c>
      <c r="B564" s="11">
        <f t="shared" si="41"/>
        <v>6</v>
      </c>
      <c r="C564" s="115">
        <f t="shared" si="39"/>
        <v>40702</v>
      </c>
      <c r="D564" s="288" t="s">
        <v>1048</v>
      </c>
      <c r="E564" s="115">
        <v>40702</v>
      </c>
      <c r="F564" s="114" t="s">
        <v>455</v>
      </c>
      <c r="G564" s="224"/>
      <c r="H564" s="242" t="s">
        <v>1037</v>
      </c>
      <c r="I564" s="141">
        <v>2</v>
      </c>
      <c r="J564" s="141">
        <v>4592</v>
      </c>
      <c r="K564" s="238">
        <f t="shared" si="43"/>
        <v>9184</v>
      </c>
      <c r="L564" s="14" t="s">
        <v>153</v>
      </c>
      <c r="M564" s="292" t="s">
        <v>147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/>
      </c>
      <c r="Z564" s="121"/>
    </row>
    <row r="565" spans="1:26" ht="15.75" customHeight="1">
      <c r="A565" s="125" t="str">
        <f>IF(B565&lt;&gt;"",IF(AND(B565&gt;=_TM1,B565&lt;=_TM2,OR(TH!L565="1111",TH!M565="1111")),TH!D565,""),"")</f>
        <v/>
      </c>
      <c r="B565" s="11">
        <f t="shared" si="41"/>
        <v>6</v>
      </c>
      <c r="C565" s="115">
        <f t="shared" si="39"/>
        <v>40702</v>
      </c>
      <c r="D565" s="288" t="s">
        <v>1048</v>
      </c>
      <c r="E565" s="115">
        <v>40702</v>
      </c>
      <c r="F565" s="15" t="s">
        <v>576</v>
      </c>
      <c r="G565" s="224"/>
      <c r="H565" s="242" t="s">
        <v>1037</v>
      </c>
      <c r="I565" s="141">
        <v>0.5</v>
      </c>
      <c r="J565" s="141">
        <v>26894</v>
      </c>
      <c r="K565" s="238">
        <f t="shared" si="43"/>
        <v>13447</v>
      </c>
      <c r="L565" s="14" t="s">
        <v>153</v>
      </c>
      <c r="M565" s="292" t="s">
        <v>147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/>
      </c>
      <c r="Z565" s="121"/>
    </row>
    <row r="566" spans="1:26" ht="15.75" customHeight="1">
      <c r="A566" s="125" t="str">
        <f>IF(B566&lt;&gt;"",IF(AND(B566&gt;=_TM1,B566&lt;=_TM2,OR(TH!L566="1111",TH!M566="1111")),TH!D566,""),"")</f>
        <v/>
      </c>
      <c r="B566" s="11">
        <f t="shared" si="41"/>
        <v>6</v>
      </c>
      <c r="C566" s="115">
        <f t="shared" si="39"/>
        <v>40702</v>
      </c>
      <c r="D566" s="288" t="s">
        <v>1048</v>
      </c>
      <c r="E566" s="115">
        <v>40702</v>
      </c>
      <c r="F566" s="15" t="s">
        <v>576</v>
      </c>
      <c r="G566" s="224"/>
      <c r="H566" s="242" t="s">
        <v>1037</v>
      </c>
      <c r="I566" s="141">
        <v>4.5</v>
      </c>
      <c r="J566" s="141">
        <v>26894</v>
      </c>
      <c r="K566" s="238">
        <f t="shared" si="43"/>
        <v>121023</v>
      </c>
      <c r="L566" s="14" t="s">
        <v>153</v>
      </c>
      <c r="M566" s="292" t="s">
        <v>147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/>
      </c>
      <c r="Z566" s="121"/>
    </row>
    <row r="567" spans="1:26" ht="15.75" customHeight="1">
      <c r="A567" s="125" t="str">
        <f>IF(B567&lt;&gt;"",IF(AND(B567&gt;=_TM1,B567&lt;=_TM2,OR(TH!L567="1111",TH!M567="1111")),TH!D567,""),"")</f>
        <v/>
      </c>
      <c r="B567" s="11">
        <f t="shared" si="41"/>
        <v>6</v>
      </c>
      <c r="C567" s="115">
        <f t="shared" si="39"/>
        <v>40702</v>
      </c>
      <c r="D567" s="288" t="s">
        <v>1048</v>
      </c>
      <c r="E567" s="115">
        <v>40702</v>
      </c>
      <c r="F567" s="320" t="s">
        <v>362</v>
      </c>
      <c r="G567" s="224"/>
      <c r="H567" s="242" t="s">
        <v>1037</v>
      </c>
      <c r="I567" s="141">
        <v>291</v>
      </c>
      <c r="J567" s="141">
        <v>6124</v>
      </c>
      <c r="K567" s="238">
        <f t="shared" si="43"/>
        <v>1782084</v>
      </c>
      <c r="L567" s="14" t="s">
        <v>153</v>
      </c>
      <c r="M567" s="292" t="s">
        <v>147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/>
      </c>
      <c r="Z567" s="121"/>
    </row>
    <row r="568" spans="1:26" ht="15.75" customHeight="1">
      <c r="A568" s="125" t="str">
        <f>IF(B568&lt;&gt;"",IF(AND(B568&gt;=_TM1,B568&lt;=_TM2,OR(TH!L568="1111",TH!M568="1111")),TH!D568,""),"")</f>
        <v/>
      </c>
      <c r="B568" s="11">
        <f t="shared" si="41"/>
        <v>6</v>
      </c>
      <c r="C568" s="115">
        <f t="shared" si="39"/>
        <v>40702</v>
      </c>
      <c r="D568" s="288" t="s">
        <v>1048</v>
      </c>
      <c r="E568" s="115">
        <v>40702</v>
      </c>
      <c r="F568" s="114" t="s">
        <v>362</v>
      </c>
      <c r="G568" s="224"/>
      <c r="H568" s="242" t="s">
        <v>1037</v>
      </c>
      <c r="I568" s="141">
        <v>1</v>
      </c>
      <c r="J568" s="141">
        <v>6124</v>
      </c>
      <c r="K568" s="238">
        <f t="shared" si="43"/>
        <v>6124</v>
      </c>
      <c r="L568" s="14" t="s">
        <v>153</v>
      </c>
      <c r="M568" s="292" t="s">
        <v>147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/>
      </c>
      <c r="Z568" s="121"/>
    </row>
    <row r="569" spans="1:26" ht="15.75" customHeight="1">
      <c r="A569" s="125" t="str">
        <f>IF(B569&lt;&gt;"",IF(AND(B569&gt;=_TM1,B569&lt;=_TM2,OR(TH!L569="1111",TH!M569="1111")),TH!D569,""),"")</f>
        <v/>
      </c>
      <c r="B569" s="11">
        <f t="shared" si="41"/>
        <v>6</v>
      </c>
      <c r="C569" s="115">
        <f t="shared" si="39"/>
        <v>40702</v>
      </c>
      <c r="D569" s="288" t="s">
        <v>1048</v>
      </c>
      <c r="E569" s="115">
        <v>40702</v>
      </c>
      <c r="F569" s="15" t="s">
        <v>573</v>
      </c>
      <c r="G569" s="224"/>
      <c r="H569" s="242" t="s">
        <v>1037</v>
      </c>
      <c r="I569" s="141">
        <v>120</v>
      </c>
      <c r="J569" s="141">
        <v>15946</v>
      </c>
      <c r="K569" s="238">
        <f t="shared" si="43"/>
        <v>1913520</v>
      </c>
      <c r="L569" s="14" t="s">
        <v>153</v>
      </c>
      <c r="M569" s="292" t="s">
        <v>147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/>
      </c>
      <c r="Z569" s="121"/>
    </row>
    <row r="570" spans="1:26" ht="15.75" customHeight="1">
      <c r="A570" s="125" t="str">
        <f>IF(B570&lt;&gt;"",IF(AND(B570&gt;=_TM1,B570&lt;=_TM2,OR(TH!L570="1111",TH!M570="1111")),TH!D570,""),"")</f>
        <v/>
      </c>
      <c r="B570" s="11">
        <f t="shared" si="41"/>
        <v>6</v>
      </c>
      <c r="C570" s="115">
        <f t="shared" si="39"/>
        <v>40703</v>
      </c>
      <c r="D570" s="110" t="s">
        <v>689</v>
      </c>
      <c r="E570" s="115">
        <v>40703</v>
      </c>
      <c r="F570" s="116" t="s">
        <v>534</v>
      </c>
      <c r="G570" s="224" t="s">
        <v>538</v>
      </c>
      <c r="H570" s="117" t="s">
        <v>536</v>
      </c>
      <c r="I570" s="141">
        <v>658</v>
      </c>
      <c r="J570" s="141">
        <v>24005</v>
      </c>
      <c r="K570" s="238">
        <f t="shared" si="43"/>
        <v>15795290</v>
      </c>
      <c r="L570" s="118" t="s">
        <v>147</v>
      </c>
      <c r="M570" s="118" t="s">
        <v>8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/>
      </c>
      <c r="Z570" s="132">
        <v>6</v>
      </c>
    </row>
    <row r="571" spans="1:26" ht="15.75" customHeight="1">
      <c r="A571" s="125" t="str">
        <f>IF(B571&lt;&gt;"",IF(AND(B571&gt;=_TM1,B571&lt;=_TM2,OR(TH!L571="1111",TH!M571="1111")),TH!D571,""),"")</f>
        <v/>
      </c>
      <c r="B571" s="11">
        <f t="shared" si="41"/>
        <v>6</v>
      </c>
      <c r="C571" s="115">
        <f t="shared" si="39"/>
        <v>40703</v>
      </c>
      <c r="D571" s="110" t="s">
        <v>689</v>
      </c>
      <c r="E571" s="115">
        <v>40703</v>
      </c>
      <c r="F571" s="116" t="s">
        <v>537</v>
      </c>
      <c r="G571" s="224" t="s">
        <v>538</v>
      </c>
      <c r="H571" s="117" t="s">
        <v>536</v>
      </c>
      <c r="I571" s="141"/>
      <c r="J571" s="141"/>
      <c r="K571" s="13">
        <v>1579529</v>
      </c>
      <c r="L571" s="118" t="s">
        <v>9</v>
      </c>
      <c r="M571" s="118" t="s">
        <v>8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/>
      </c>
      <c r="Z571" s="132">
        <v>6</v>
      </c>
    </row>
    <row r="572" spans="1:26" ht="15.75" customHeight="1">
      <c r="A572" s="125" t="str">
        <f>IF(B572&lt;&gt;"",IF(AND(B572&gt;=_TM1,B572&lt;=_TM2,OR(TH!L572="1111",TH!M572="1111")),TH!D572,""),"")</f>
        <v/>
      </c>
      <c r="B572" s="11">
        <f t="shared" si="41"/>
        <v>6</v>
      </c>
      <c r="C572" s="115">
        <f t="shared" si="39"/>
        <v>40704</v>
      </c>
      <c r="D572" s="110" t="s">
        <v>669</v>
      </c>
      <c r="E572" s="115">
        <v>40704</v>
      </c>
      <c r="F572" s="114" t="s">
        <v>1025</v>
      </c>
      <c r="G572" s="224" t="s">
        <v>543</v>
      </c>
      <c r="H572" s="4" t="s">
        <v>525</v>
      </c>
      <c r="I572" s="143"/>
      <c r="J572" s="143"/>
      <c r="K572" s="13">
        <v>10007066</v>
      </c>
      <c r="L572" s="118" t="s">
        <v>8</v>
      </c>
      <c r="M572" s="118" t="s">
        <v>44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>x</v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/>
      </c>
      <c r="Z572" s="235"/>
    </row>
    <row r="573" spans="1:26" ht="15.75" customHeight="1">
      <c r="A573" s="125" t="str">
        <f>IF(B573&lt;&gt;"",IF(AND(B573&gt;=_TM1,B573&lt;=_TM2,OR(TH!L573="1111",TH!M573="1111")),TH!D573,""),"")</f>
        <v/>
      </c>
      <c r="B573" s="11">
        <f t="shared" si="41"/>
        <v>6</v>
      </c>
      <c r="C573" s="115">
        <f t="shared" si="39"/>
        <v>40704</v>
      </c>
      <c r="D573" s="110" t="s">
        <v>690</v>
      </c>
      <c r="E573" s="115">
        <v>40704</v>
      </c>
      <c r="F573" s="114" t="s">
        <v>539</v>
      </c>
      <c r="G573" s="224" t="s">
        <v>543</v>
      </c>
      <c r="H573" s="4" t="s">
        <v>525</v>
      </c>
      <c r="I573" s="141">
        <v>206</v>
      </c>
      <c r="J573" s="141">
        <v>18390</v>
      </c>
      <c r="K573" s="238">
        <f>ROUND(I573*J573,0)</f>
        <v>3788340</v>
      </c>
      <c r="L573" s="118" t="s">
        <v>147</v>
      </c>
      <c r="M573" s="118" t="s">
        <v>8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/>
      </c>
      <c r="Z573" s="132">
        <v>6</v>
      </c>
    </row>
    <row r="574" spans="1:26" ht="15.75" customHeight="1">
      <c r="A574" s="125" t="str">
        <f>IF(B574&lt;&gt;"",IF(AND(B574&gt;=_TM1,B574&lt;=_TM2,OR(TH!L574="1111",TH!M574="1111")),TH!D574,""),"")</f>
        <v/>
      </c>
      <c r="B574" s="11">
        <f t="shared" si="41"/>
        <v>6</v>
      </c>
      <c r="C574" s="115">
        <f t="shared" si="39"/>
        <v>40704</v>
      </c>
      <c r="D574" s="110" t="s">
        <v>690</v>
      </c>
      <c r="E574" s="115">
        <v>40704</v>
      </c>
      <c r="F574" s="114" t="s">
        <v>540</v>
      </c>
      <c r="G574" s="224" t="s">
        <v>543</v>
      </c>
      <c r="H574" s="4" t="s">
        <v>525</v>
      </c>
      <c r="I574" s="141">
        <v>43</v>
      </c>
      <c r="J574" s="141">
        <v>29843</v>
      </c>
      <c r="K574" s="238">
        <f>ROUND(I574*J574,0)</f>
        <v>1283249</v>
      </c>
      <c r="L574" s="118" t="s">
        <v>147</v>
      </c>
      <c r="M574" s="118" t="s">
        <v>8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/>
      </c>
      <c r="Z574" s="132">
        <v>6</v>
      </c>
    </row>
    <row r="575" spans="1:26" ht="15.75" customHeight="1">
      <c r="A575" s="125" t="str">
        <f>IF(B575&lt;&gt;"",IF(AND(B575&gt;=_TM1,B575&lt;=_TM2,OR(TH!L575="1111",TH!M575="1111")),TH!D575,""),"")</f>
        <v/>
      </c>
      <c r="B575" s="11">
        <f t="shared" si="41"/>
        <v>6</v>
      </c>
      <c r="C575" s="115">
        <f t="shared" si="39"/>
        <v>40704</v>
      </c>
      <c r="D575" s="110" t="s">
        <v>690</v>
      </c>
      <c r="E575" s="115">
        <v>40704</v>
      </c>
      <c r="F575" s="114" t="s">
        <v>541</v>
      </c>
      <c r="G575" s="224" t="s">
        <v>543</v>
      </c>
      <c r="H575" s="4" t="s">
        <v>525</v>
      </c>
      <c r="I575" s="143">
        <v>43</v>
      </c>
      <c r="J575" s="143">
        <v>28273</v>
      </c>
      <c r="K575" s="238">
        <f>ROUND(I575*J575,0)</f>
        <v>1215739</v>
      </c>
      <c r="L575" s="118" t="s">
        <v>147</v>
      </c>
      <c r="M575" s="118" t="s">
        <v>8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/>
      </c>
      <c r="Z575" s="132">
        <v>6</v>
      </c>
    </row>
    <row r="576" spans="1:26" ht="15.75" customHeight="1">
      <c r="A576" s="125" t="str">
        <f>IF(B576&lt;&gt;"",IF(AND(B576&gt;=_TM1,B576&lt;=_TM2,OR(TH!L576="1111",TH!M576="1111")),TH!D576,""),"")</f>
        <v/>
      </c>
      <c r="B576" s="11">
        <f t="shared" si="41"/>
        <v>6</v>
      </c>
      <c r="C576" s="115">
        <f t="shared" si="39"/>
        <v>40704</v>
      </c>
      <c r="D576" s="110" t="s">
        <v>690</v>
      </c>
      <c r="E576" s="115">
        <v>40704</v>
      </c>
      <c r="F576" s="114" t="s">
        <v>542</v>
      </c>
      <c r="G576" s="224" t="s">
        <v>543</v>
      </c>
      <c r="H576" s="4" t="s">
        <v>525</v>
      </c>
      <c r="I576" s="141">
        <v>95</v>
      </c>
      <c r="J576" s="141">
        <v>29579</v>
      </c>
      <c r="K576" s="238">
        <f>ROUND(I576*J576,0)</f>
        <v>2810005</v>
      </c>
      <c r="L576" s="118" t="s">
        <v>147</v>
      </c>
      <c r="M576" s="118" t="s">
        <v>8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/>
      </c>
      <c r="Z576" s="132">
        <v>6</v>
      </c>
    </row>
    <row r="577" spans="1:26" ht="15.75" customHeight="1">
      <c r="A577" s="125" t="str">
        <f>IF(B577&lt;&gt;"",IF(AND(B577&gt;=_TM1,B577&lt;=_TM2,OR(TH!L577="1111",TH!M577="1111")),TH!D577,""),"")</f>
        <v/>
      </c>
      <c r="B577" s="11">
        <f t="shared" si="41"/>
        <v>6</v>
      </c>
      <c r="C577" s="115">
        <f t="shared" si="39"/>
        <v>40704</v>
      </c>
      <c r="D577" s="110" t="s">
        <v>690</v>
      </c>
      <c r="E577" s="115">
        <v>40704</v>
      </c>
      <c r="F577" s="114" t="s">
        <v>357</v>
      </c>
      <c r="G577" s="224" t="s">
        <v>543</v>
      </c>
      <c r="H577" s="4" t="s">
        <v>525</v>
      </c>
      <c r="I577" s="143"/>
      <c r="J577" s="143"/>
      <c r="K577" s="13">
        <v>909733</v>
      </c>
      <c r="L577" s="118" t="s">
        <v>9</v>
      </c>
      <c r="M577" s="118" t="s">
        <v>8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/>
      </c>
      <c r="Z577" s="132">
        <v>6</v>
      </c>
    </row>
    <row r="578" spans="1:26" ht="15.75" customHeight="1">
      <c r="A578" s="125" t="str">
        <f>IF(B578&lt;&gt;"",IF(AND(B578&gt;=_TM1,B578&lt;=_TM2,OR(TH!L578="1111",TH!M578="1111")),TH!D578,""),"")</f>
        <v/>
      </c>
      <c r="B578" s="11">
        <f t="shared" si="41"/>
        <v>6</v>
      </c>
      <c r="C578" s="115">
        <f t="shared" si="39"/>
        <v>40705</v>
      </c>
      <c r="D578" s="110" t="s">
        <v>670</v>
      </c>
      <c r="E578" s="115">
        <v>40705</v>
      </c>
      <c r="F578" s="116" t="s">
        <v>425</v>
      </c>
      <c r="G578" s="224" t="s">
        <v>511</v>
      </c>
      <c r="H578" s="20" t="s">
        <v>428</v>
      </c>
      <c r="I578" s="141"/>
      <c r="J578" s="141"/>
      <c r="K578" s="13">
        <v>888420</v>
      </c>
      <c r="L578" s="118" t="s">
        <v>153</v>
      </c>
      <c r="M578" s="118" t="s">
        <v>44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>x</v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/>
      </c>
      <c r="Z578" s="132">
        <v>6</v>
      </c>
    </row>
    <row r="579" spans="1:26" ht="15.75" customHeight="1">
      <c r="A579" s="125" t="str">
        <f>IF(B579&lt;&gt;"",IF(AND(B579&gt;=_TM1,B579&lt;=_TM2,OR(TH!L579="1111",TH!M579="1111")),TH!D579,""),"")</f>
        <v/>
      </c>
      <c r="B579" s="11">
        <f t="shared" si="41"/>
        <v>6</v>
      </c>
      <c r="C579" s="115">
        <f t="shared" si="39"/>
        <v>40705</v>
      </c>
      <c r="D579" s="110" t="s">
        <v>670</v>
      </c>
      <c r="E579" s="115">
        <v>40705</v>
      </c>
      <c r="F579" s="116" t="s">
        <v>426</v>
      </c>
      <c r="G579" s="224" t="s">
        <v>511</v>
      </c>
      <c r="H579" s="20" t="s">
        <v>428</v>
      </c>
      <c r="I579" s="141"/>
      <c r="J579" s="141"/>
      <c r="K579" s="13">
        <v>88842</v>
      </c>
      <c r="L579" s="118" t="s">
        <v>9</v>
      </c>
      <c r="M579" s="118" t="s">
        <v>44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>x</v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/>
      </c>
      <c r="Z579" s="132">
        <v>6</v>
      </c>
    </row>
    <row r="580" spans="1:26" ht="15.75" customHeight="1">
      <c r="A580" s="125" t="str">
        <f>IF(B580&lt;&gt;"",IF(AND(B580&gt;=_TM1,B580&lt;=_TM2,OR(TH!L580="1111",TH!M580="1111")),TH!D580,""),"")</f>
        <v/>
      </c>
      <c r="B580" s="11">
        <f t="shared" si="41"/>
        <v>6</v>
      </c>
      <c r="C580" s="115">
        <f t="shared" si="39"/>
        <v>40706</v>
      </c>
      <c r="D580" s="110" t="s">
        <v>896</v>
      </c>
      <c r="E580" s="115">
        <v>40706</v>
      </c>
      <c r="F580" s="114" t="s">
        <v>1025</v>
      </c>
      <c r="G580" s="224" t="s">
        <v>544</v>
      </c>
      <c r="H580" s="4" t="s">
        <v>476</v>
      </c>
      <c r="I580" s="141"/>
      <c r="J580" s="141"/>
      <c r="K580" s="13">
        <v>15310050</v>
      </c>
      <c r="L580" s="118" t="s">
        <v>8</v>
      </c>
      <c r="M580" s="118" t="s">
        <v>44</v>
      </c>
      <c r="N580" s="25" t="str">
        <f>IF(AND('331-CT'!$E$7=TH!H580,OR(L580="331",M580="331")),"331",IF(AND(OR(L580="131",M580="131"),H580='131-CT'!$E$7),"131",""))</f>
        <v>331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>x</v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/>
      </c>
      <c r="Z580" s="235"/>
    </row>
    <row r="581" spans="1:26" ht="15.75" customHeight="1">
      <c r="A581" s="125" t="str">
        <f>IF(B581&lt;&gt;"",IF(AND(B581&gt;=_TM1,B581&lt;=_TM2,OR(TH!L581="1111",TH!M581="1111")),TH!D581,""),"")</f>
        <v/>
      </c>
      <c r="B581" s="11">
        <f t="shared" si="41"/>
        <v>6</v>
      </c>
      <c r="C581" s="115">
        <f t="shared" si="39"/>
        <v>40706</v>
      </c>
      <c r="D581" s="110" t="s">
        <v>691</v>
      </c>
      <c r="E581" s="115">
        <v>40706</v>
      </c>
      <c r="F581" s="114" t="s">
        <v>520</v>
      </c>
      <c r="G581" s="224" t="s">
        <v>544</v>
      </c>
      <c r="H581" s="4" t="s">
        <v>476</v>
      </c>
      <c r="I581" s="141">
        <v>49</v>
      </c>
      <c r="J581" s="141">
        <v>28059</v>
      </c>
      <c r="K581" s="238">
        <f t="shared" ref="K581:K586" si="44">ROUND(I581*J581,0)</f>
        <v>1374891</v>
      </c>
      <c r="L581" s="118" t="s">
        <v>147</v>
      </c>
      <c r="M581" s="118" t="s">
        <v>8</v>
      </c>
      <c r="N581" s="25" t="str">
        <f>IF(AND('331-CT'!$E$7=TH!H581,OR(L581="331",M581="331")),"331",IF(AND(OR(L581="131",M581="131"),H581='131-CT'!$E$7),"131",""))</f>
        <v>331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/>
      </c>
      <c r="Z581" s="132">
        <v>6</v>
      </c>
    </row>
    <row r="582" spans="1:26" ht="15.75" customHeight="1">
      <c r="A582" s="125" t="str">
        <f>IF(B582&lt;&gt;"",IF(AND(B582&gt;=_TM1,B582&lt;=_TM2,OR(TH!L582="1111",TH!M582="1111")),TH!D582,""),"")</f>
        <v/>
      </c>
      <c r="B582" s="11">
        <f t="shared" si="41"/>
        <v>6</v>
      </c>
      <c r="C582" s="115">
        <f t="shared" si="39"/>
        <v>40706</v>
      </c>
      <c r="D582" s="110" t="s">
        <v>691</v>
      </c>
      <c r="E582" s="115">
        <v>40706</v>
      </c>
      <c r="F582" s="114" t="s">
        <v>545</v>
      </c>
      <c r="G582" s="224" t="s">
        <v>544</v>
      </c>
      <c r="H582" s="4" t="s">
        <v>476</v>
      </c>
      <c r="I582" s="141">
        <v>104</v>
      </c>
      <c r="J582" s="141">
        <v>24030</v>
      </c>
      <c r="K582" s="238">
        <f t="shared" si="44"/>
        <v>2499120</v>
      </c>
      <c r="L582" s="118" t="s">
        <v>147</v>
      </c>
      <c r="M582" s="118" t="s">
        <v>8</v>
      </c>
      <c r="N582" s="25" t="str">
        <f>IF(AND('331-CT'!$E$7=TH!H582,OR(L582="331",M582="331")),"331",IF(AND(OR(L582="131",M582="131"),H582='131-CT'!$E$7),"131",""))</f>
        <v>331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/>
      </c>
      <c r="Z582" s="132">
        <v>6</v>
      </c>
    </row>
    <row r="583" spans="1:26" ht="15.75" customHeight="1">
      <c r="A583" s="125" t="str">
        <f>IF(B583&lt;&gt;"",IF(AND(B583&gt;=_TM1,B583&lt;=_TM2,OR(TH!L583="1111",TH!M583="1111")),TH!D583,""),"")</f>
        <v/>
      </c>
      <c r="B583" s="11">
        <f t="shared" si="41"/>
        <v>6</v>
      </c>
      <c r="C583" s="115">
        <f t="shared" si="39"/>
        <v>40706</v>
      </c>
      <c r="D583" s="110" t="s">
        <v>691</v>
      </c>
      <c r="E583" s="115">
        <v>40706</v>
      </c>
      <c r="F583" s="114" t="s">
        <v>546</v>
      </c>
      <c r="G583" s="224" t="s">
        <v>544</v>
      </c>
      <c r="H583" s="4" t="s">
        <v>476</v>
      </c>
      <c r="I583" s="141">
        <v>104</v>
      </c>
      <c r="J583" s="141">
        <v>25524</v>
      </c>
      <c r="K583" s="238">
        <f t="shared" si="44"/>
        <v>2654496</v>
      </c>
      <c r="L583" s="118" t="s">
        <v>147</v>
      </c>
      <c r="M583" s="118" t="s">
        <v>8</v>
      </c>
      <c r="N583" s="25" t="str">
        <f>IF(AND('331-CT'!$E$7=TH!H583,OR(L583="331",M583="331")),"331",IF(AND(OR(L583="131",M583="131"),H583='131-CT'!$E$7),"131",""))</f>
        <v>331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/>
      </c>
      <c r="Z583" s="132">
        <v>6</v>
      </c>
    </row>
    <row r="584" spans="1:26" ht="15.75" customHeight="1">
      <c r="A584" s="125" t="str">
        <f>IF(B584&lt;&gt;"",IF(AND(B584&gt;=_TM1,B584&lt;=_TM2,OR(TH!L584="1111",TH!M584="1111")),TH!D584,""),"")</f>
        <v/>
      </c>
      <c r="B584" s="11">
        <f t="shared" si="41"/>
        <v>6</v>
      </c>
      <c r="C584" s="115">
        <f t="shared" si="39"/>
        <v>40706</v>
      </c>
      <c r="D584" s="110" t="s">
        <v>691</v>
      </c>
      <c r="E584" s="115">
        <v>40706</v>
      </c>
      <c r="F584" s="114" t="s">
        <v>547</v>
      </c>
      <c r="G584" s="224" t="s">
        <v>544</v>
      </c>
      <c r="H584" s="4" t="s">
        <v>476</v>
      </c>
      <c r="I584" s="141">
        <v>104</v>
      </c>
      <c r="J584" s="141">
        <v>27479</v>
      </c>
      <c r="K584" s="238">
        <f t="shared" si="44"/>
        <v>2857816</v>
      </c>
      <c r="L584" s="118" t="s">
        <v>147</v>
      </c>
      <c r="M584" s="118" t="s">
        <v>8</v>
      </c>
      <c r="N584" s="25" t="str">
        <f>IF(AND('331-CT'!$E$7=TH!H584,OR(L584="331",M584="331")),"331",IF(AND(OR(L584="131",M584="131"),H584='131-CT'!$E$7),"131",""))</f>
        <v>331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/>
      </c>
      <c r="Z584" s="132">
        <v>6</v>
      </c>
    </row>
    <row r="585" spans="1:26" ht="15.75" customHeight="1">
      <c r="A585" s="125" t="str">
        <f>IF(B585&lt;&gt;"",IF(AND(B585&gt;=_TM1,B585&lt;=_TM2,OR(TH!L585="1111",TH!M585="1111")),TH!D585,""),"")</f>
        <v/>
      </c>
      <c r="B585" s="11">
        <f t="shared" si="41"/>
        <v>6</v>
      </c>
      <c r="C585" s="115">
        <f t="shared" si="39"/>
        <v>40706</v>
      </c>
      <c r="D585" s="110" t="s">
        <v>691</v>
      </c>
      <c r="E585" s="115">
        <v>40706</v>
      </c>
      <c r="F585" s="114" t="s">
        <v>548</v>
      </c>
      <c r="G585" s="224" t="s">
        <v>544</v>
      </c>
      <c r="H585" s="4" t="s">
        <v>476</v>
      </c>
      <c r="I585" s="141">
        <v>104</v>
      </c>
      <c r="J585" s="141">
        <v>23340</v>
      </c>
      <c r="K585" s="238">
        <f t="shared" si="44"/>
        <v>2427360</v>
      </c>
      <c r="L585" s="118" t="s">
        <v>147</v>
      </c>
      <c r="M585" s="118" t="s">
        <v>8</v>
      </c>
      <c r="N585" s="25" t="str">
        <f>IF(AND('331-CT'!$E$7=TH!H585,OR(L585="331",M585="331")),"331",IF(AND(OR(L585="131",M585="131"),H585='131-CT'!$E$7),"131",""))</f>
        <v>331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/>
      </c>
      <c r="Z585" s="132">
        <v>6</v>
      </c>
    </row>
    <row r="586" spans="1:26" ht="15.75" customHeight="1">
      <c r="A586" s="125" t="str">
        <f>IF(B586&lt;&gt;"",IF(AND(B586&gt;=_TM1,B586&lt;=_TM2,OR(TH!L586="1111",TH!M586="1111")),TH!D586,""),"")</f>
        <v/>
      </c>
      <c r="B586" s="11">
        <f t="shared" si="41"/>
        <v>6</v>
      </c>
      <c r="C586" s="115">
        <f t="shared" si="39"/>
        <v>40706</v>
      </c>
      <c r="D586" s="110" t="s">
        <v>691</v>
      </c>
      <c r="E586" s="115">
        <v>40706</v>
      </c>
      <c r="F586" s="114" t="s">
        <v>549</v>
      </c>
      <c r="G586" s="224" t="s">
        <v>544</v>
      </c>
      <c r="H586" s="4" t="s">
        <v>476</v>
      </c>
      <c r="I586" s="141">
        <v>104</v>
      </c>
      <c r="J586" s="141">
        <v>20236</v>
      </c>
      <c r="K586" s="238">
        <f t="shared" si="44"/>
        <v>2104544</v>
      </c>
      <c r="L586" s="118" t="s">
        <v>147</v>
      </c>
      <c r="M586" s="118" t="s">
        <v>8</v>
      </c>
      <c r="N586" s="25" t="str">
        <f>IF(AND('331-CT'!$E$7=TH!H586,OR(L586="331",M586="331")),"331",IF(AND(OR(L586="131",M586="131"),H586='131-CT'!$E$7),"131",""))</f>
        <v>331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/>
      </c>
      <c r="Z586" s="132">
        <v>6</v>
      </c>
    </row>
    <row r="587" spans="1:26" ht="15.75" customHeight="1">
      <c r="A587" s="125" t="str">
        <f>IF(B587&lt;&gt;"",IF(AND(B587&gt;=_TM1,B587&lt;=_TM2,OR(TH!L587="1111",TH!M587="1111")),TH!D587,""),"")</f>
        <v/>
      </c>
      <c r="B587" s="11">
        <f t="shared" si="41"/>
        <v>6</v>
      </c>
      <c r="C587" s="115">
        <f t="shared" si="39"/>
        <v>40706</v>
      </c>
      <c r="D587" s="110" t="s">
        <v>691</v>
      </c>
      <c r="E587" s="115">
        <v>40706</v>
      </c>
      <c r="F587" s="114" t="s">
        <v>357</v>
      </c>
      <c r="G587" s="224" t="s">
        <v>544</v>
      </c>
      <c r="H587" s="4" t="s">
        <v>476</v>
      </c>
      <c r="I587" s="141"/>
      <c r="J587" s="141"/>
      <c r="K587" s="13">
        <v>1391823</v>
      </c>
      <c r="L587" s="118" t="s">
        <v>9</v>
      </c>
      <c r="M587" s="118" t="s">
        <v>8</v>
      </c>
      <c r="N587" s="25" t="str">
        <f>IF(AND('331-CT'!$E$7=TH!H587,OR(L587="331",M587="331")),"331",IF(AND(OR(L587="131",M587="131"),H587='131-CT'!$E$7),"131",""))</f>
        <v>331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/>
      </c>
      <c r="Z587" s="132">
        <v>6</v>
      </c>
    </row>
    <row r="588" spans="1:26" ht="15.75" customHeight="1">
      <c r="A588" s="125" t="str">
        <f>IF(B588&lt;&gt;"",IF(AND(B588&gt;=_TM1,B588&lt;=_TM2,OR(TH!L588="1111",TH!M588="1111")),TH!D588,""),"")</f>
        <v/>
      </c>
      <c r="B588" s="11">
        <f t="shared" si="41"/>
        <v>6</v>
      </c>
      <c r="C588" s="115">
        <f t="shared" ref="C588:C651" si="45">E588</f>
        <v>40707</v>
      </c>
      <c r="D588" s="110" t="s">
        <v>897</v>
      </c>
      <c r="E588" s="115">
        <v>40707</v>
      </c>
      <c r="F588" s="116" t="s">
        <v>514</v>
      </c>
      <c r="G588" s="224" t="s">
        <v>513</v>
      </c>
      <c r="H588" s="117" t="s">
        <v>512</v>
      </c>
      <c r="I588" s="141"/>
      <c r="J588" s="141"/>
      <c r="K588" s="13">
        <v>125455</v>
      </c>
      <c r="L588" s="118" t="s">
        <v>73</v>
      </c>
      <c r="M588" s="118" t="s">
        <v>44</v>
      </c>
      <c r="N588" s="25" t="str">
        <f>IF(AND('331-CT'!$E$7=TH!H588,OR(L588="331",M588="331")),"331",IF(AND(OR(L588="131",M588="131"),H588='131-CT'!$E$7),"131",""))</f>
        <v/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>x</v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>x</v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/>
      </c>
      <c r="Z588" s="132">
        <v>6</v>
      </c>
    </row>
    <row r="589" spans="1:26" ht="15.75" customHeight="1">
      <c r="A589" s="125" t="str">
        <f>IF(B589&lt;&gt;"",IF(AND(B589&gt;=_TM1,B589&lt;=_TM2,OR(TH!L589="1111",TH!M589="1111")),TH!D589,""),"")</f>
        <v/>
      </c>
      <c r="B589" s="11">
        <f t="shared" si="41"/>
        <v>6</v>
      </c>
      <c r="C589" s="115">
        <f t="shared" si="45"/>
        <v>40707</v>
      </c>
      <c r="D589" s="110" t="s">
        <v>897</v>
      </c>
      <c r="E589" s="115">
        <v>40707</v>
      </c>
      <c r="F589" s="116" t="s">
        <v>515</v>
      </c>
      <c r="G589" s="224" t="s">
        <v>513</v>
      </c>
      <c r="H589" s="117" t="s">
        <v>512</v>
      </c>
      <c r="I589" s="141"/>
      <c r="J589" s="141"/>
      <c r="K589" s="13">
        <v>12545</v>
      </c>
      <c r="L589" s="118" t="s">
        <v>9</v>
      </c>
      <c r="M589" s="118" t="s">
        <v>44</v>
      </c>
      <c r="N589" s="25" t="str">
        <f>IF(AND('331-CT'!$E$7=TH!H589,OR(L589="331",M589="331")),"331",IF(AND(OR(L589="131",M589="131"),H589='131-CT'!$E$7),"131",""))</f>
        <v/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>x</v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/>
      </c>
      <c r="Z589" s="132">
        <v>6</v>
      </c>
    </row>
    <row r="590" spans="1:26" ht="15.75" customHeight="1">
      <c r="A590" s="125" t="str">
        <f>IF(B590&lt;&gt;"",IF(AND(B590&gt;=_TM1,B590&lt;=_TM2,OR(TH!L590="1111",TH!M590="1111")),TH!D590,""),"")</f>
        <v/>
      </c>
      <c r="B590" s="11">
        <f t="shared" si="41"/>
        <v>6</v>
      </c>
      <c r="C590" s="115">
        <f t="shared" si="45"/>
        <v>40707</v>
      </c>
      <c r="D590" s="110" t="s">
        <v>692</v>
      </c>
      <c r="E590" s="115">
        <v>40707</v>
      </c>
      <c r="F590" s="116" t="s">
        <v>565</v>
      </c>
      <c r="G590" s="224" t="s">
        <v>564</v>
      </c>
      <c r="H590" s="117" t="s">
        <v>536</v>
      </c>
      <c r="I590" s="143">
        <v>44</v>
      </c>
      <c r="J590" s="143">
        <v>36906</v>
      </c>
      <c r="K590" s="238">
        <f>ROUND(I590*J590,0)</f>
        <v>1623864</v>
      </c>
      <c r="L590" s="118" t="s">
        <v>147</v>
      </c>
      <c r="M590" s="118" t="s">
        <v>8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/>
      </c>
      <c r="Z590" s="132">
        <v>7</v>
      </c>
    </row>
    <row r="591" spans="1:26" ht="15.75" customHeight="1">
      <c r="A591" s="125" t="str">
        <f>IF(B591&lt;&gt;"",IF(AND(B591&gt;=_TM1,B591&lt;=_TM2,OR(TH!L591="1111",TH!M591="1111")),TH!D591,""),"")</f>
        <v/>
      </c>
      <c r="B591" s="11">
        <f t="shared" si="41"/>
        <v>6</v>
      </c>
      <c r="C591" s="115">
        <f t="shared" si="45"/>
        <v>40707</v>
      </c>
      <c r="D591" s="110" t="s">
        <v>692</v>
      </c>
      <c r="E591" s="115">
        <v>40707</v>
      </c>
      <c r="F591" s="116" t="s">
        <v>566</v>
      </c>
      <c r="G591" s="224" t="s">
        <v>564</v>
      </c>
      <c r="H591" s="117" t="s">
        <v>536</v>
      </c>
      <c r="I591" s="141">
        <v>330</v>
      </c>
      <c r="J591" s="141">
        <v>22961</v>
      </c>
      <c r="K591" s="238">
        <f>ROUND(I591*J591,0)</f>
        <v>7577130</v>
      </c>
      <c r="L591" s="118" t="s">
        <v>147</v>
      </c>
      <c r="M591" s="118" t="s">
        <v>8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/>
      </c>
      <c r="Z591" s="132">
        <v>7</v>
      </c>
    </row>
    <row r="592" spans="1:26" ht="15.75" customHeight="1">
      <c r="A592" s="125" t="str">
        <f>IF(B592&lt;&gt;"",IF(AND(B592&gt;=_TM1,B592&lt;=_TM2,OR(TH!L592="1111",TH!M592="1111")),TH!D592,""),"")</f>
        <v/>
      </c>
      <c r="B592" s="11">
        <f t="shared" si="41"/>
        <v>6</v>
      </c>
      <c r="C592" s="115">
        <f t="shared" si="45"/>
        <v>40707</v>
      </c>
      <c r="D592" s="110" t="s">
        <v>692</v>
      </c>
      <c r="E592" s="115">
        <v>40707</v>
      </c>
      <c r="F592" s="116" t="s">
        <v>567</v>
      </c>
      <c r="G592" s="224" t="s">
        <v>564</v>
      </c>
      <c r="H592" s="117" t="s">
        <v>536</v>
      </c>
      <c r="I592" s="141">
        <v>148</v>
      </c>
      <c r="J592" s="141">
        <v>34989</v>
      </c>
      <c r="K592" s="238">
        <f>ROUND(I592*J592,0)</f>
        <v>5178372</v>
      </c>
      <c r="L592" s="118" t="s">
        <v>147</v>
      </c>
      <c r="M592" s="118" t="s">
        <v>8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/>
      </c>
      <c r="Z592" s="132">
        <v>7</v>
      </c>
    </row>
    <row r="593" spans="1:26" ht="15.75" customHeight="1">
      <c r="A593" s="125" t="str">
        <f>IF(B593&lt;&gt;"",IF(AND(B593&gt;=_TM1,B593&lt;=_TM2,OR(TH!L593="1111",TH!M593="1111")),TH!D593,""),"")</f>
        <v/>
      </c>
      <c r="B593" s="11">
        <f t="shared" si="41"/>
        <v>6</v>
      </c>
      <c r="C593" s="115">
        <f t="shared" si="45"/>
        <v>40707</v>
      </c>
      <c r="D593" s="110" t="s">
        <v>692</v>
      </c>
      <c r="E593" s="115">
        <v>40707</v>
      </c>
      <c r="F593" s="116" t="s">
        <v>568</v>
      </c>
      <c r="G593" s="224" t="s">
        <v>564</v>
      </c>
      <c r="H593" s="117" t="s">
        <v>536</v>
      </c>
      <c r="I593" s="141">
        <v>42</v>
      </c>
      <c r="J593" s="141">
        <v>35301</v>
      </c>
      <c r="K593" s="238">
        <f>ROUND(I593*J593,0)</f>
        <v>1482642</v>
      </c>
      <c r="L593" s="118" t="s">
        <v>147</v>
      </c>
      <c r="M593" s="118" t="s">
        <v>8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/>
      </c>
      <c r="Z593" s="132">
        <v>7</v>
      </c>
    </row>
    <row r="594" spans="1:26" ht="15.75" customHeight="1">
      <c r="A594" s="125" t="str">
        <f>IF(B594&lt;&gt;"",IF(AND(B594&gt;=_TM1,B594&lt;=_TM2,OR(TH!L594="1111",TH!M594="1111")),TH!D594,""),"")</f>
        <v/>
      </c>
      <c r="B594" s="11">
        <f t="shared" si="41"/>
        <v>6</v>
      </c>
      <c r="C594" s="115">
        <f t="shared" si="45"/>
        <v>40707</v>
      </c>
      <c r="D594" s="110" t="s">
        <v>692</v>
      </c>
      <c r="E594" s="115">
        <v>40707</v>
      </c>
      <c r="F594" s="116" t="s">
        <v>537</v>
      </c>
      <c r="G594" s="224" t="s">
        <v>564</v>
      </c>
      <c r="H594" s="117" t="s">
        <v>536</v>
      </c>
      <c r="I594" s="144"/>
      <c r="J594" s="144"/>
      <c r="K594" s="13">
        <v>1586201</v>
      </c>
      <c r="L594" s="118" t="s">
        <v>9</v>
      </c>
      <c r="M594" s="118" t="s">
        <v>8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/>
      </c>
      <c r="Z594" s="132">
        <v>7</v>
      </c>
    </row>
    <row r="595" spans="1:26" ht="15.75" customHeight="1">
      <c r="A595" s="125" t="str">
        <f>IF(B595&lt;&gt;"",IF(AND(B595&gt;=_TM1,B595&lt;=_TM2,OR(TH!L595="1111",TH!M595="1111")),TH!D595,""),"")</f>
        <v/>
      </c>
      <c r="B595" s="11">
        <f t="shared" si="41"/>
        <v>6</v>
      </c>
      <c r="C595" s="115">
        <f t="shared" si="45"/>
        <v>40707</v>
      </c>
      <c r="D595" s="288" t="s">
        <v>1049</v>
      </c>
      <c r="E595" s="115">
        <v>40707</v>
      </c>
      <c r="F595" s="15" t="s">
        <v>533</v>
      </c>
      <c r="G595" s="224"/>
      <c r="H595" s="242" t="s">
        <v>1037</v>
      </c>
      <c r="I595" s="141">
        <v>152</v>
      </c>
      <c r="J595" s="141">
        <v>22372</v>
      </c>
      <c r="K595" s="238">
        <f t="shared" ref="K595:K604" si="46">ROUND(I595*J595,0)</f>
        <v>3400544</v>
      </c>
      <c r="L595" s="14" t="s">
        <v>153</v>
      </c>
      <c r="M595" s="292" t="s">
        <v>147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/>
      </c>
      <c r="Z595" s="121"/>
    </row>
    <row r="596" spans="1:26" ht="15.75" customHeight="1">
      <c r="A596" s="125" t="str">
        <f>IF(B596&lt;&gt;"",IF(AND(B596&gt;=_TM1,B596&lt;=_TM2,OR(TH!L596="1111",TH!M596="1111")),TH!D596,""),"")</f>
        <v/>
      </c>
      <c r="B596" s="11">
        <f t="shared" si="41"/>
        <v>6</v>
      </c>
      <c r="C596" s="115">
        <f t="shared" si="45"/>
        <v>40707</v>
      </c>
      <c r="D596" s="288" t="s">
        <v>1049</v>
      </c>
      <c r="E596" s="115">
        <v>40707</v>
      </c>
      <c r="F596" s="15" t="s">
        <v>581</v>
      </c>
      <c r="G596" s="224"/>
      <c r="H596" s="242" t="s">
        <v>1037</v>
      </c>
      <c r="I596" s="141">
        <v>32.5</v>
      </c>
      <c r="J596" s="141">
        <v>14280</v>
      </c>
      <c r="K596" s="238">
        <f t="shared" si="46"/>
        <v>464100</v>
      </c>
      <c r="L596" s="14" t="s">
        <v>153</v>
      </c>
      <c r="M596" s="292" t="s">
        <v>147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/>
      </c>
      <c r="Z596" s="121"/>
    </row>
    <row r="597" spans="1:26" ht="15.75" customHeight="1">
      <c r="A597" s="125" t="str">
        <f>IF(B597&lt;&gt;"",IF(AND(B597&gt;=_TM1,B597&lt;=_TM2,OR(TH!L597="1111",TH!M597="1111")),TH!D597,""),"")</f>
        <v/>
      </c>
      <c r="B597" s="11">
        <f t="shared" si="41"/>
        <v>6</v>
      </c>
      <c r="C597" s="115">
        <f t="shared" si="45"/>
        <v>40707</v>
      </c>
      <c r="D597" s="288" t="s">
        <v>1049</v>
      </c>
      <c r="E597" s="115">
        <v>40707</v>
      </c>
      <c r="F597" s="15" t="s">
        <v>576</v>
      </c>
      <c r="G597" s="224"/>
      <c r="H597" s="242" t="s">
        <v>1037</v>
      </c>
      <c r="I597" s="141">
        <v>16</v>
      </c>
      <c r="J597" s="141">
        <v>26894</v>
      </c>
      <c r="K597" s="238">
        <f t="shared" si="46"/>
        <v>430304</v>
      </c>
      <c r="L597" s="14" t="s">
        <v>153</v>
      </c>
      <c r="M597" s="292" t="s">
        <v>147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/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/>
      </c>
      <c r="Z597" s="121"/>
    </row>
    <row r="598" spans="1:26" ht="15.75" customHeight="1">
      <c r="A598" s="125" t="str">
        <f>IF(B598&lt;&gt;"",IF(AND(B598&gt;=_TM1,B598&lt;=_TM2,OR(TH!L598="1111",TH!M598="1111")),TH!D598,""),"")</f>
        <v/>
      </c>
      <c r="B598" s="11">
        <f t="shared" ref="B598:B661" si="47">IF(C598&lt;&gt;"",MONTH(C598),"")</f>
        <v>6</v>
      </c>
      <c r="C598" s="115">
        <f t="shared" si="45"/>
        <v>40707</v>
      </c>
      <c r="D598" s="288" t="s">
        <v>1049</v>
      </c>
      <c r="E598" s="115">
        <v>40707</v>
      </c>
      <c r="F598" s="114" t="s">
        <v>560</v>
      </c>
      <c r="G598" s="224"/>
      <c r="H598" s="242" t="s">
        <v>1037</v>
      </c>
      <c r="I598" s="141">
        <v>2</v>
      </c>
      <c r="J598" s="141">
        <v>35566</v>
      </c>
      <c r="K598" s="238">
        <f t="shared" si="46"/>
        <v>71132</v>
      </c>
      <c r="L598" s="14" t="s">
        <v>153</v>
      </c>
      <c r="M598" s="292" t="s">
        <v>147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/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/>
      </c>
      <c r="Z598" s="121"/>
    </row>
    <row r="599" spans="1:26" ht="15.75" customHeight="1">
      <c r="A599" s="125" t="str">
        <f>IF(B599&lt;&gt;"",IF(AND(B599&gt;=_TM1,B599&lt;=_TM2,OR(TH!L599="1111",TH!M599="1111")),TH!D599,""),"")</f>
        <v/>
      </c>
      <c r="B599" s="11">
        <f t="shared" si="47"/>
        <v>6</v>
      </c>
      <c r="C599" s="115">
        <f t="shared" si="45"/>
        <v>40707</v>
      </c>
      <c r="D599" s="288" t="s">
        <v>1049</v>
      </c>
      <c r="E599" s="115">
        <v>40707</v>
      </c>
      <c r="F599" s="15" t="s">
        <v>534</v>
      </c>
      <c r="G599" s="224"/>
      <c r="H599" s="242" t="s">
        <v>1037</v>
      </c>
      <c r="I599" s="141">
        <v>40</v>
      </c>
      <c r="J599" s="141">
        <v>24005</v>
      </c>
      <c r="K599" s="238">
        <f t="shared" si="46"/>
        <v>960200</v>
      </c>
      <c r="L599" s="14" t="s">
        <v>153</v>
      </c>
      <c r="M599" s="292" t="s">
        <v>147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/>
      </c>
      <c r="Z599" s="121"/>
    </row>
    <row r="600" spans="1:26" ht="15.75" customHeight="1">
      <c r="A600" s="125" t="str">
        <f>IF(B600&lt;&gt;"",IF(AND(B600&gt;=_TM1,B600&lt;=_TM2,OR(TH!L600="1111",TH!M600="1111")),TH!D600,""),"")</f>
        <v/>
      </c>
      <c r="B600" s="11">
        <f t="shared" si="47"/>
        <v>6</v>
      </c>
      <c r="C600" s="115">
        <f t="shared" si="45"/>
        <v>40707</v>
      </c>
      <c r="D600" s="288" t="s">
        <v>1049</v>
      </c>
      <c r="E600" s="115">
        <v>40707</v>
      </c>
      <c r="F600" s="15" t="s">
        <v>581</v>
      </c>
      <c r="G600" s="224"/>
      <c r="H600" s="242" t="s">
        <v>1037</v>
      </c>
      <c r="I600" s="141">
        <v>24.5</v>
      </c>
      <c r="J600" s="141">
        <v>14280</v>
      </c>
      <c r="K600" s="238">
        <f t="shared" si="46"/>
        <v>349860</v>
      </c>
      <c r="L600" s="14" t="s">
        <v>153</v>
      </c>
      <c r="M600" s="292" t="s">
        <v>147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/>
      </c>
      <c r="Z600" s="121"/>
    </row>
    <row r="601" spans="1:26" ht="15.75" customHeight="1">
      <c r="A601" s="125" t="str">
        <f>IF(B601&lt;&gt;"",IF(AND(B601&gt;=_TM1,B601&lt;=_TM2,OR(TH!L601="1111",TH!M601="1111")),TH!D601,""),"")</f>
        <v/>
      </c>
      <c r="B601" s="11">
        <f t="shared" si="47"/>
        <v>6</v>
      </c>
      <c r="C601" s="115">
        <f t="shared" si="45"/>
        <v>40707</v>
      </c>
      <c r="D601" s="288" t="s">
        <v>1049</v>
      </c>
      <c r="E601" s="115">
        <v>40707</v>
      </c>
      <c r="F601" s="114" t="s">
        <v>455</v>
      </c>
      <c r="G601" s="224"/>
      <c r="H601" s="242" t="s">
        <v>1037</v>
      </c>
      <c r="I601" s="141">
        <v>2</v>
      </c>
      <c r="J601" s="141">
        <v>4592</v>
      </c>
      <c r="K601" s="238">
        <f t="shared" si="46"/>
        <v>9184</v>
      </c>
      <c r="L601" s="14" t="s">
        <v>153</v>
      </c>
      <c r="M601" s="292" t="s">
        <v>147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/>
      </c>
      <c r="Z601" s="121"/>
    </row>
    <row r="602" spans="1:26" ht="15.75" customHeight="1">
      <c r="A602" s="125" t="str">
        <f>IF(B602&lt;&gt;"",IF(AND(B602&gt;=_TM1,B602&lt;=_TM2,OR(TH!L602="1111",TH!M602="1111")),TH!D602,""),"")</f>
        <v/>
      </c>
      <c r="B602" s="11">
        <f t="shared" si="47"/>
        <v>6</v>
      </c>
      <c r="C602" s="115">
        <f t="shared" si="45"/>
        <v>40707</v>
      </c>
      <c r="D602" s="288" t="s">
        <v>1049</v>
      </c>
      <c r="E602" s="115">
        <v>40707</v>
      </c>
      <c r="F602" s="114" t="s">
        <v>473</v>
      </c>
      <c r="G602" s="224"/>
      <c r="H602" s="242" t="s">
        <v>1037</v>
      </c>
      <c r="I602" s="141">
        <v>1</v>
      </c>
      <c r="J602" s="141">
        <v>16462</v>
      </c>
      <c r="K602" s="238">
        <f t="shared" si="46"/>
        <v>16462</v>
      </c>
      <c r="L602" s="14" t="s">
        <v>153</v>
      </c>
      <c r="M602" s="292" t="s">
        <v>147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/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/>
      </c>
      <c r="Z602" s="121"/>
    </row>
    <row r="603" spans="1:26" ht="15.75" customHeight="1">
      <c r="A603" s="125" t="str">
        <f>IF(B603&lt;&gt;"",IF(AND(B603&gt;=_TM1,B603&lt;=_TM2,OR(TH!L603="1111",TH!M603="1111")),TH!D603,""),"")</f>
        <v/>
      </c>
      <c r="B603" s="11">
        <f t="shared" si="47"/>
        <v>6</v>
      </c>
      <c r="C603" s="115">
        <f t="shared" si="45"/>
        <v>40707</v>
      </c>
      <c r="D603" s="288" t="s">
        <v>1049</v>
      </c>
      <c r="E603" s="115">
        <v>40707</v>
      </c>
      <c r="F603" s="114" t="s">
        <v>362</v>
      </c>
      <c r="G603" s="224"/>
      <c r="H603" s="242" t="s">
        <v>1037</v>
      </c>
      <c r="I603" s="141">
        <v>5</v>
      </c>
      <c r="J603" s="141">
        <v>6124</v>
      </c>
      <c r="K603" s="238">
        <f t="shared" si="46"/>
        <v>30620</v>
      </c>
      <c r="L603" s="14" t="s">
        <v>153</v>
      </c>
      <c r="M603" s="292" t="s">
        <v>147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/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/>
      </c>
      <c r="Z603" s="121"/>
    </row>
    <row r="604" spans="1:26" ht="15.75" customHeight="1">
      <c r="A604" s="125" t="str">
        <f>IF(B604&lt;&gt;"",IF(AND(B604&gt;=_TM1,B604&lt;=_TM2,OR(TH!L604="1111",TH!M604="1111")),TH!D604,""),"")</f>
        <v/>
      </c>
      <c r="B604" s="11">
        <f t="shared" si="47"/>
        <v>6</v>
      </c>
      <c r="C604" s="115">
        <f t="shared" si="45"/>
        <v>40708</v>
      </c>
      <c r="D604" s="110" t="s">
        <v>1026</v>
      </c>
      <c r="E604" s="115">
        <v>40708</v>
      </c>
      <c r="F604" s="154" t="s">
        <v>349</v>
      </c>
      <c r="G604" s="224" t="s">
        <v>550</v>
      </c>
      <c r="H604" s="4" t="s">
        <v>348</v>
      </c>
      <c r="I604" s="143">
        <v>40</v>
      </c>
      <c r="J604" s="143">
        <v>40000</v>
      </c>
      <c r="K604" s="238">
        <f t="shared" si="46"/>
        <v>1600000</v>
      </c>
      <c r="L604" s="118" t="s">
        <v>153</v>
      </c>
      <c r="M604" s="118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/>
      </c>
      <c r="Z604" s="235">
        <v>6</v>
      </c>
    </row>
    <row r="605" spans="1:26" ht="15.75" customHeight="1">
      <c r="A605" s="125" t="str">
        <f>IF(B605&lt;&gt;"",IF(AND(B605&gt;=_TM1,B605&lt;=_TM2,OR(TH!L605="1111",TH!M605="1111")),TH!D605,""),"")</f>
        <v/>
      </c>
      <c r="B605" s="11">
        <f t="shared" si="47"/>
        <v>6</v>
      </c>
      <c r="C605" s="115">
        <f t="shared" si="45"/>
        <v>40708</v>
      </c>
      <c r="D605" s="110" t="s">
        <v>1026</v>
      </c>
      <c r="E605" s="115">
        <v>40708</v>
      </c>
      <c r="F605" s="116" t="s">
        <v>319</v>
      </c>
      <c r="G605" s="224" t="s">
        <v>550</v>
      </c>
      <c r="H605" s="4" t="s">
        <v>348</v>
      </c>
      <c r="I605" s="141"/>
      <c r="J605" s="141"/>
      <c r="K605" s="13">
        <v>160000</v>
      </c>
      <c r="L605" s="118" t="s">
        <v>9</v>
      </c>
      <c r="M605" s="118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/>
      </c>
      <c r="Z605" s="235">
        <v>6</v>
      </c>
    </row>
    <row r="606" spans="1:26" ht="15.75" customHeight="1">
      <c r="A606" s="125" t="str">
        <f>IF(B606&lt;&gt;"",IF(AND(B606&gt;=_TM1,B606&lt;=_TM2,OR(TH!L606="1111",TH!M606="1111")),TH!D606,""),"")</f>
        <v/>
      </c>
      <c r="B606" s="11">
        <f t="shared" si="47"/>
        <v>6</v>
      </c>
      <c r="C606" s="110">
        <f t="shared" si="45"/>
        <v>40709</v>
      </c>
      <c r="D606" s="110" t="s">
        <v>1027</v>
      </c>
      <c r="E606" s="110">
        <v>40709</v>
      </c>
      <c r="F606" s="114" t="s">
        <v>339</v>
      </c>
      <c r="G606" s="240" t="s">
        <v>307</v>
      </c>
      <c r="H606" s="117" t="s">
        <v>340</v>
      </c>
      <c r="I606" s="141"/>
      <c r="J606" s="141"/>
      <c r="K606" s="238">
        <v>90000000</v>
      </c>
      <c r="L606" s="239" t="s">
        <v>23</v>
      </c>
      <c r="M606" s="239" t="s">
        <v>44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>x</v>
      </c>
      <c r="R606" s="25" t="str">
        <f>IF(ISERROR(FIND('112'!$M$9,G606,1)),"",IF((AND(FIND('112'!$M$9,G606,1)&gt;=1,$B606&gt;='112'!$N$8,$B606&lt;='112'!$O$8,OR($L606='112'!$I$6,$M606='112'!$I$6))),"x",""))</f>
        <v>x</v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/>
      </c>
      <c r="Z606" s="235"/>
    </row>
    <row r="607" spans="1:26" ht="15.75" customHeight="1">
      <c r="A607" s="125" t="str">
        <f>IF(B607&lt;&gt;"",IF(AND(B607&gt;=_TM1,B607&lt;=_TM2,OR(TH!L607="1111",TH!M607="1111")),TH!D607,""),"")</f>
        <v/>
      </c>
      <c r="B607" s="11">
        <f t="shared" si="47"/>
        <v>6</v>
      </c>
      <c r="C607" s="115">
        <f t="shared" si="45"/>
        <v>40709</v>
      </c>
      <c r="D607" s="110" t="s">
        <v>1028</v>
      </c>
      <c r="E607" s="115">
        <v>40709</v>
      </c>
      <c r="F607" s="116" t="s">
        <v>614</v>
      </c>
      <c r="G607" s="224" t="s">
        <v>551</v>
      </c>
      <c r="H607" s="4" t="s">
        <v>368</v>
      </c>
      <c r="I607" s="143"/>
      <c r="J607" s="143"/>
      <c r="K607" s="13">
        <v>1292500</v>
      </c>
      <c r="L607" s="118" t="s">
        <v>8</v>
      </c>
      <c r="M607" s="118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/>
      </c>
      <c r="Z607" s="235"/>
    </row>
    <row r="608" spans="1:26" ht="15.75" customHeight="1">
      <c r="A608" s="125" t="str">
        <f>IF(B608&lt;&gt;"",IF(AND(B608&gt;=_TM1,B608&lt;=_TM2,OR(TH!L608="1111",TH!M608="1111")),TH!D608,""),"")</f>
        <v/>
      </c>
      <c r="B608" s="11">
        <f t="shared" si="47"/>
        <v>6</v>
      </c>
      <c r="C608" s="110">
        <f t="shared" si="45"/>
        <v>40709</v>
      </c>
      <c r="D608" s="110" t="s">
        <v>311</v>
      </c>
      <c r="E608" s="110">
        <v>40709</v>
      </c>
      <c r="F608" s="114" t="s">
        <v>346</v>
      </c>
      <c r="G608" s="240" t="s">
        <v>307</v>
      </c>
      <c r="H608" s="4" t="s">
        <v>508</v>
      </c>
      <c r="I608" s="141"/>
      <c r="J608" s="141"/>
      <c r="K608" s="238">
        <v>146400000</v>
      </c>
      <c r="L608" s="239" t="s">
        <v>8</v>
      </c>
      <c r="M608" s="239" t="s">
        <v>23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/>
      </c>
      <c r="R608" s="25" t="str">
        <f>IF(ISERROR(FIND('112'!$M$9,G608,1)),"",IF((AND(FIND('112'!$M$9,G608,1)&gt;=1,$B608&gt;='112'!$N$8,$B608&lt;='112'!$O$8,OR($L608='112'!$I$6,$M608='112'!$I$6))),"x",""))</f>
        <v>x</v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/>
      </c>
      <c r="Z608" s="235"/>
    </row>
    <row r="609" spans="1:26" ht="15.75" customHeight="1">
      <c r="A609" s="125" t="str">
        <f>IF(B609&lt;&gt;"",IF(AND(B609&gt;=_TM1,B609&lt;=_TM2,OR(TH!L609="1111",TH!M609="1111")),TH!D609,""),"")</f>
        <v/>
      </c>
      <c r="B609" s="11">
        <f t="shared" si="47"/>
        <v>6</v>
      </c>
      <c r="C609" s="110">
        <f t="shared" si="45"/>
        <v>40709</v>
      </c>
      <c r="D609" s="110" t="s">
        <v>311</v>
      </c>
      <c r="E609" s="110">
        <v>40709</v>
      </c>
      <c r="F609" s="114" t="s">
        <v>347</v>
      </c>
      <c r="G609" s="240" t="s">
        <v>307</v>
      </c>
      <c r="H609" s="4"/>
      <c r="I609" s="141"/>
      <c r="J609" s="141"/>
      <c r="K609" s="238">
        <v>20748</v>
      </c>
      <c r="L609" s="239" t="s">
        <v>73</v>
      </c>
      <c r="M609" s="239" t="s">
        <v>23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>x</v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>x</v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/>
      </c>
      <c r="Z609" s="235"/>
    </row>
    <row r="610" spans="1:26" ht="15.75" customHeight="1">
      <c r="A610" s="125" t="str">
        <f>IF(B610&lt;&gt;"",IF(AND(B610&gt;=_TM1,B610&lt;=_TM2,OR(TH!L610="1111",TH!M610="1111")),TH!D610,""),"")</f>
        <v/>
      </c>
      <c r="B610" s="11">
        <f t="shared" si="47"/>
        <v>6</v>
      </c>
      <c r="C610" s="115">
        <f t="shared" si="45"/>
        <v>40709</v>
      </c>
      <c r="D610" s="110" t="s">
        <v>693</v>
      </c>
      <c r="E610" s="115">
        <v>40709</v>
      </c>
      <c r="F610" s="116" t="s">
        <v>534</v>
      </c>
      <c r="G610" s="224" t="s">
        <v>569</v>
      </c>
      <c r="H610" s="117" t="s">
        <v>536</v>
      </c>
      <c r="I610" s="141">
        <v>300</v>
      </c>
      <c r="J610" s="141">
        <v>24005</v>
      </c>
      <c r="K610" s="238">
        <f>ROUND(I610*J610,0)</f>
        <v>7201500</v>
      </c>
      <c r="L610" s="118" t="s">
        <v>147</v>
      </c>
      <c r="M610" s="118" t="s">
        <v>8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/>
      </c>
      <c r="Z610" s="132">
        <v>7</v>
      </c>
    </row>
    <row r="611" spans="1:26" ht="15.75" customHeight="1">
      <c r="A611" s="125" t="str">
        <f>IF(B611&lt;&gt;"",IF(AND(B611&gt;=_TM1,B611&lt;=_TM2,OR(TH!L611="1111",TH!M611="1111")),TH!D611,""),"")</f>
        <v/>
      </c>
      <c r="B611" s="11">
        <f t="shared" si="47"/>
        <v>6</v>
      </c>
      <c r="C611" s="115">
        <f t="shared" si="45"/>
        <v>40709</v>
      </c>
      <c r="D611" s="110" t="s">
        <v>693</v>
      </c>
      <c r="E611" s="115">
        <v>40709</v>
      </c>
      <c r="F611" s="116" t="s">
        <v>570</v>
      </c>
      <c r="G611" s="224" t="s">
        <v>569</v>
      </c>
      <c r="H611" s="117" t="s">
        <v>536</v>
      </c>
      <c r="I611" s="141">
        <v>102</v>
      </c>
      <c r="J611" s="141">
        <v>23842</v>
      </c>
      <c r="K611" s="238">
        <f>ROUND(I611*J611,0)</f>
        <v>2431884</v>
      </c>
      <c r="L611" s="118" t="s">
        <v>147</v>
      </c>
      <c r="M611" s="118" t="s">
        <v>8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/>
      </c>
      <c r="Z611" s="132">
        <v>7</v>
      </c>
    </row>
    <row r="612" spans="1:26" ht="15.75" customHeight="1">
      <c r="A612" s="125" t="str">
        <f>IF(B612&lt;&gt;"",IF(AND(B612&gt;=_TM1,B612&lt;=_TM2,OR(TH!L612="1111",TH!M612="1111")),TH!D612,""),"")</f>
        <v/>
      </c>
      <c r="B612" s="11">
        <f t="shared" si="47"/>
        <v>6</v>
      </c>
      <c r="C612" s="115">
        <f t="shared" si="45"/>
        <v>40709</v>
      </c>
      <c r="D612" s="110" t="s">
        <v>693</v>
      </c>
      <c r="E612" s="115">
        <v>40709</v>
      </c>
      <c r="F612" s="116" t="s">
        <v>565</v>
      </c>
      <c r="G612" s="224" t="s">
        <v>569</v>
      </c>
      <c r="H612" s="117" t="s">
        <v>536</v>
      </c>
      <c r="I612" s="141">
        <v>42</v>
      </c>
      <c r="J612" s="141">
        <v>36906</v>
      </c>
      <c r="K612" s="238">
        <f>ROUND(I612*J612,0)</f>
        <v>1550052</v>
      </c>
      <c r="L612" s="118" t="s">
        <v>147</v>
      </c>
      <c r="M612" s="118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/>
      </c>
      <c r="Z612" s="132">
        <v>7</v>
      </c>
    </row>
    <row r="613" spans="1:26" ht="15.75" customHeight="1">
      <c r="A613" s="125" t="str">
        <f>IF(B613&lt;&gt;"",IF(AND(B613&gt;=_TM1,B613&lt;=_TM2,OR(TH!L613="1111",TH!M613="1111")),TH!D613,""),"")</f>
        <v/>
      </c>
      <c r="B613" s="11">
        <f t="shared" si="47"/>
        <v>6</v>
      </c>
      <c r="C613" s="115">
        <f t="shared" si="45"/>
        <v>40709</v>
      </c>
      <c r="D613" s="110" t="s">
        <v>693</v>
      </c>
      <c r="E613" s="115">
        <v>40709</v>
      </c>
      <c r="F613" s="116" t="s">
        <v>537</v>
      </c>
      <c r="G613" s="224" t="s">
        <v>569</v>
      </c>
      <c r="H613" s="117" t="s">
        <v>536</v>
      </c>
      <c r="I613" s="141"/>
      <c r="J613" s="141"/>
      <c r="K613" s="13">
        <v>1118344</v>
      </c>
      <c r="L613" s="118" t="s">
        <v>9</v>
      </c>
      <c r="M613" s="118" t="s">
        <v>8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/>
      </c>
      <c r="Z613" s="132">
        <v>7</v>
      </c>
    </row>
    <row r="614" spans="1:26" ht="15.75" customHeight="1">
      <c r="A614" s="125" t="str">
        <f>IF(B614&lt;&gt;"",IF(AND(B614&gt;=_TM1,B614&lt;=_TM2,OR(TH!L614="1111",TH!M614="1111")),TH!D614,""),"")</f>
        <v/>
      </c>
      <c r="B614" s="11">
        <f t="shared" si="47"/>
        <v>6</v>
      </c>
      <c r="C614" s="115">
        <f t="shared" si="45"/>
        <v>40709</v>
      </c>
      <c r="D614" s="110" t="s">
        <v>754</v>
      </c>
      <c r="E614" s="115">
        <v>40709</v>
      </c>
      <c r="F614" s="114" t="s">
        <v>365</v>
      </c>
      <c r="G614" s="224" t="s">
        <v>551</v>
      </c>
      <c r="H614" s="4" t="s">
        <v>368</v>
      </c>
      <c r="I614" s="141">
        <v>50</v>
      </c>
      <c r="J614" s="141">
        <v>23500</v>
      </c>
      <c r="K614" s="238">
        <f>ROUND(I614*J614,0)</f>
        <v>1175000</v>
      </c>
      <c r="L614" s="118" t="s">
        <v>149</v>
      </c>
      <c r="M614" s="118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>x</v>
      </c>
      <c r="Y614" s="25" t="str">
        <f>IF(AND(B614&lt;=NKC!$N$8,B614&gt;=NKC!$M$8),"x","")</f>
        <v/>
      </c>
      <c r="Z614" s="132">
        <v>6</v>
      </c>
    </row>
    <row r="615" spans="1:26" ht="15.75" customHeight="1">
      <c r="A615" s="125" t="str">
        <f>IF(B615&lt;&gt;"",IF(AND(B615&gt;=_TM1,B615&lt;=_TM2,OR(TH!L615="1111",TH!M615="1111")),TH!D615,""),"")</f>
        <v/>
      </c>
      <c r="B615" s="11">
        <f t="shared" si="47"/>
        <v>6</v>
      </c>
      <c r="C615" s="115">
        <f t="shared" si="45"/>
        <v>40709</v>
      </c>
      <c r="D615" s="110" t="s">
        <v>754</v>
      </c>
      <c r="E615" s="115">
        <v>40709</v>
      </c>
      <c r="F615" s="114" t="s">
        <v>366</v>
      </c>
      <c r="G615" s="224" t="s">
        <v>551</v>
      </c>
      <c r="H615" s="4" t="s">
        <v>368</v>
      </c>
      <c r="I615" s="141"/>
      <c r="J615" s="141"/>
      <c r="K615" s="13">
        <v>117500</v>
      </c>
      <c r="L615" s="118" t="s">
        <v>9</v>
      </c>
      <c r="M615" s="118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/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/>
      </c>
      <c r="Z615" s="132">
        <v>6</v>
      </c>
    </row>
    <row r="616" spans="1:26" ht="15.75" customHeight="1">
      <c r="A616" s="125" t="str">
        <f>IF(B616&lt;&gt;"",IF(AND(B616&gt;=_TM1,B616&lt;=_TM2,OR(TH!L616="1111",TH!M616="1111")),TH!D616,""),"")</f>
        <v/>
      </c>
      <c r="B616" s="11">
        <f t="shared" si="47"/>
        <v>6</v>
      </c>
      <c r="C616" s="110">
        <f t="shared" si="45"/>
        <v>40710</v>
      </c>
      <c r="D616" s="110" t="s">
        <v>1029</v>
      </c>
      <c r="E616" s="110">
        <v>40710</v>
      </c>
      <c r="F616" s="114" t="s">
        <v>339</v>
      </c>
      <c r="G616" s="240" t="s">
        <v>307</v>
      </c>
      <c r="H616" s="117" t="s">
        <v>340</v>
      </c>
      <c r="I616" s="141"/>
      <c r="J616" s="141"/>
      <c r="K616" s="238">
        <v>20000000</v>
      </c>
      <c r="L616" s="239" t="s">
        <v>23</v>
      </c>
      <c r="M616" s="239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>x</v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/>
      </c>
      <c r="Z616" s="235"/>
    </row>
    <row r="617" spans="1:26" ht="15.75" customHeight="1">
      <c r="A617" s="125" t="str">
        <f>IF(B617&lt;&gt;"",IF(AND(B617&gt;=_TM1,B617&lt;=_TM2,OR(TH!L617="1111",TH!M617="1111")),TH!D617,""),"")</f>
        <v/>
      </c>
      <c r="B617" s="11">
        <f t="shared" si="47"/>
        <v>6</v>
      </c>
      <c r="C617" s="115">
        <f t="shared" si="45"/>
        <v>40710</v>
      </c>
      <c r="D617" s="110" t="s">
        <v>1030</v>
      </c>
      <c r="E617" s="115">
        <v>40710</v>
      </c>
      <c r="F617" s="116" t="s">
        <v>501</v>
      </c>
      <c r="G617" s="224" t="s">
        <v>552</v>
      </c>
      <c r="H617" s="4" t="s">
        <v>348</v>
      </c>
      <c r="I617" s="141">
        <v>20</v>
      </c>
      <c r="J617" s="141">
        <v>67000</v>
      </c>
      <c r="K617" s="238">
        <f>ROUND(I617*J617,0)</f>
        <v>1340000</v>
      </c>
      <c r="L617" s="118" t="s">
        <v>153</v>
      </c>
      <c r="M617" s="118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/>
      </c>
      <c r="Z617" s="132">
        <v>6</v>
      </c>
    </row>
    <row r="618" spans="1:26" ht="15.75" customHeight="1">
      <c r="A618" s="125" t="str">
        <f>IF(B618&lt;&gt;"",IF(AND(B618&gt;=_TM1,B618&lt;=_TM2,OR(TH!L618="1111",TH!M618="1111")),TH!D618,""),"")</f>
        <v/>
      </c>
      <c r="B618" s="11">
        <f t="shared" si="47"/>
        <v>6</v>
      </c>
      <c r="C618" s="115">
        <f t="shared" si="45"/>
        <v>40710</v>
      </c>
      <c r="D618" s="110" t="s">
        <v>1030</v>
      </c>
      <c r="E618" s="115">
        <v>40710</v>
      </c>
      <c r="F618" s="116" t="s">
        <v>319</v>
      </c>
      <c r="G618" s="224" t="s">
        <v>552</v>
      </c>
      <c r="H618" s="4" t="s">
        <v>348</v>
      </c>
      <c r="I618" s="141"/>
      <c r="J618" s="141"/>
      <c r="K618" s="13">
        <v>134000</v>
      </c>
      <c r="L618" s="118" t="s">
        <v>9</v>
      </c>
      <c r="M618" s="118" t="s">
        <v>44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>x</v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/>
      </c>
      <c r="Z618" s="132">
        <v>6</v>
      </c>
    </row>
    <row r="619" spans="1:26" ht="15.75" customHeight="1">
      <c r="A619" s="125" t="str">
        <f>IF(B619&lt;&gt;"",IF(AND(B619&gt;=_TM1,B619&lt;=_TM2,OR(TH!L619="1111",TH!M619="1111")),TH!D619,""),"")</f>
        <v/>
      </c>
      <c r="B619" s="11">
        <f t="shared" si="47"/>
        <v>6</v>
      </c>
      <c r="C619" s="115">
        <f t="shared" si="45"/>
        <v>40710</v>
      </c>
      <c r="D619" s="115" t="s">
        <v>314</v>
      </c>
      <c r="E619" s="115">
        <v>40710</v>
      </c>
      <c r="F619" s="116" t="s">
        <v>505</v>
      </c>
      <c r="G619" s="224" t="s">
        <v>507</v>
      </c>
      <c r="H619" s="117" t="s">
        <v>508</v>
      </c>
      <c r="I619" s="141"/>
      <c r="J619" s="141"/>
      <c r="K619" s="13">
        <v>320000000</v>
      </c>
      <c r="L619" s="118" t="s">
        <v>157</v>
      </c>
      <c r="M619" s="118" t="s">
        <v>8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/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/>
      </c>
      <c r="Z619" s="132">
        <v>6</v>
      </c>
    </row>
    <row r="620" spans="1:26" ht="15.75" customHeight="1">
      <c r="A620" s="125" t="str">
        <f>IF(B620&lt;&gt;"",IF(AND(B620&gt;=_TM1,B620&lt;=_TM2,OR(TH!L620="1111",TH!M620="1111")),TH!D620,""),"")</f>
        <v/>
      </c>
      <c r="B620" s="11">
        <f t="shared" si="47"/>
        <v>6</v>
      </c>
      <c r="C620" s="115">
        <f t="shared" si="45"/>
        <v>40710</v>
      </c>
      <c r="D620" s="115" t="s">
        <v>314</v>
      </c>
      <c r="E620" s="115">
        <v>40710</v>
      </c>
      <c r="F620" s="116" t="s">
        <v>506</v>
      </c>
      <c r="G620" s="224" t="s">
        <v>507</v>
      </c>
      <c r="H620" s="117" t="s">
        <v>508</v>
      </c>
      <c r="I620" s="141"/>
      <c r="J620" s="141"/>
      <c r="K620" s="13">
        <v>32000000</v>
      </c>
      <c r="L620" s="118" t="s">
        <v>9</v>
      </c>
      <c r="M620" s="118" t="s">
        <v>8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/>
      </c>
      <c r="Z620" s="132">
        <v>6</v>
      </c>
    </row>
    <row r="621" spans="1:26" ht="15.75" customHeight="1">
      <c r="A621" s="125" t="str">
        <f>IF(B621&lt;&gt;"",IF(AND(B621&gt;=_TM1,B621&lt;=_TM2,OR(TH!L621="1111",TH!M621="1111")),TH!D621,""),"")</f>
        <v/>
      </c>
      <c r="B621" s="11">
        <f t="shared" si="47"/>
        <v>6</v>
      </c>
      <c r="C621" s="115">
        <f t="shared" si="45"/>
        <v>40710</v>
      </c>
      <c r="D621" s="288" t="s">
        <v>1050</v>
      </c>
      <c r="E621" s="115">
        <v>40710</v>
      </c>
      <c r="F621" s="114" t="s">
        <v>473</v>
      </c>
      <c r="G621" s="224"/>
      <c r="H621" s="242" t="s">
        <v>1037</v>
      </c>
      <c r="I621" s="141">
        <v>0.5</v>
      </c>
      <c r="J621" s="141">
        <v>16462</v>
      </c>
      <c r="K621" s="238">
        <f t="shared" ref="K621:K629" si="48">ROUND(I621*J621,0)</f>
        <v>8231</v>
      </c>
      <c r="L621" s="14" t="s">
        <v>153</v>
      </c>
      <c r="M621" s="292" t="s">
        <v>147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/>
      </c>
      <c r="Z621" s="121"/>
    </row>
    <row r="622" spans="1:26" ht="15.75" customHeight="1">
      <c r="A622" s="125" t="str">
        <f>IF(B622&lt;&gt;"",IF(AND(B622&gt;=_TM1,B622&lt;=_TM2,OR(TH!L622="1111",TH!M622="1111")),TH!D622,""),"")</f>
        <v/>
      </c>
      <c r="B622" s="11">
        <f t="shared" si="47"/>
        <v>6</v>
      </c>
      <c r="C622" s="115">
        <f t="shared" si="45"/>
        <v>40710</v>
      </c>
      <c r="D622" s="288" t="s">
        <v>1050</v>
      </c>
      <c r="E622" s="115">
        <v>40710</v>
      </c>
      <c r="F622" s="114" t="s">
        <v>364</v>
      </c>
      <c r="G622" s="224"/>
      <c r="H622" s="242" t="s">
        <v>1037</v>
      </c>
      <c r="I622" s="315">
        <v>1</v>
      </c>
      <c r="J622" s="141">
        <v>4449</v>
      </c>
      <c r="K622" s="238">
        <f t="shared" si="48"/>
        <v>4449</v>
      </c>
      <c r="L622" s="14" t="s">
        <v>153</v>
      </c>
      <c r="M622" s="292" t="s">
        <v>147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>x</v>
      </c>
      <c r="X622" s="25" t="str">
        <f>IF(AND(OR(LEFT(TH!L622,2)="15",LEFT(TH!M622,2)="15"),TK!$E$7=TH!F622),"x","")</f>
        <v/>
      </c>
      <c r="Y622" s="25" t="str">
        <f>IF(AND(B622&lt;=NKC!$N$8,B622&gt;=NKC!$M$8),"x","")</f>
        <v/>
      </c>
      <c r="Z622" s="121"/>
    </row>
    <row r="623" spans="1:26" ht="15.75" customHeight="1">
      <c r="A623" s="125" t="str">
        <f>IF(B623&lt;&gt;"",IF(AND(B623&gt;=_TM1,B623&lt;=_TM2,OR(TH!L623="1111",TH!M623="1111")),TH!D623,""),"")</f>
        <v/>
      </c>
      <c r="B623" s="11">
        <f t="shared" si="47"/>
        <v>6</v>
      </c>
      <c r="C623" s="115">
        <f t="shared" si="45"/>
        <v>40710</v>
      </c>
      <c r="D623" s="288" t="s">
        <v>1050</v>
      </c>
      <c r="E623" s="115">
        <v>40710</v>
      </c>
      <c r="F623" s="154" t="s">
        <v>358</v>
      </c>
      <c r="G623" s="224"/>
      <c r="H623" s="242" t="s">
        <v>1037</v>
      </c>
      <c r="I623" s="141">
        <v>3</v>
      </c>
      <c r="J623" s="141">
        <v>14079</v>
      </c>
      <c r="K623" s="238">
        <f t="shared" si="48"/>
        <v>42237</v>
      </c>
      <c r="L623" s="14" t="s">
        <v>153</v>
      </c>
      <c r="M623" s="292" t="s">
        <v>147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/>
      </c>
      <c r="Z623" s="121"/>
    </row>
    <row r="624" spans="1:26" ht="15.75" customHeight="1">
      <c r="A624" s="125" t="str">
        <f>IF(B624&lt;&gt;"",IF(AND(B624&gt;=_TM1,B624&lt;=_TM2,OR(TH!L624="1111",TH!M624="1111")),TH!D624,""),"")</f>
        <v/>
      </c>
      <c r="B624" s="11">
        <f t="shared" si="47"/>
        <v>6</v>
      </c>
      <c r="C624" s="115">
        <f t="shared" si="45"/>
        <v>40710</v>
      </c>
      <c r="D624" s="288" t="s">
        <v>1050</v>
      </c>
      <c r="E624" s="115">
        <v>40710</v>
      </c>
      <c r="F624" s="114" t="s">
        <v>473</v>
      </c>
      <c r="G624" s="224"/>
      <c r="H624" s="242" t="s">
        <v>1037</v>
      </c>
      <c r="I624" s="141">
        <v>1</v>
      </c>
      <c r="J624" s="141">
        <v>16462</v>
      </c>
      <c r="K624" s="238">
        <f t="shared" si="48"/>
        <v>16462</v>
      </c>
      <c r="L624" s="14" t="s">
        <v>153</v>
      </c>
      <c r="M624" s="292" t="s">
        <v>147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/>
      </c>
      <c r="Z624" s="121"/>
    </row>
    <row r="625" spans="1:26" ht="15.75" customHeight="1">
      <c r="A625" s="125" t="str">
        <f>IF(B625&lt;&gt;"",IF(AND(B625&gt;=_TM1,B625&lt;=_TM2,OR(TH!L625="1111",TH!M625="1111")),TH!D625,""),"")</f>
        <v/>
      </c>
      <c r="B625" s="11">
        <f t="shared" si="47"/>
        <v>6</v>
      </c>
      <c r="C625" s="115">
        <f t="shared" si="45"/>
        <v>40710</v>
      </c>
      <c r="D625" s="288" t="s">
        <v>1050</v>
      </c>
      <c r="E625" s="115">
        <v>40710</v>
      </c>
      <c r="F625" s="154" t="s">
        <v>456</v>
      </c>
      <c r="G625" s="224"/>
      <c r="H625" s="242" t="s">
        <v>1037</v>
      </c>
      <c r="I625" s="141">
        <v>8</v>
      </c>
      <c r="J625" s="141">
        <v>6026</v>
      </c>
      <c r="K625" s="238">
        <f t="shared" si="48"/>
        <v>48208</v>
      </c>
      <c r="L625" s="14" t="s">
        <v>153</v>
      </c>
      <c r="M625" s="292" t="s">
        <v>147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/>
      </c>
      <c r="Z625" s="121"/>
    </row>
    <row r="626" spans="1:26" ht="15.75" customHeight="1">
      <c r="A626" s="125" t="str">
        <f>IF(B626&lt;&gt;"",IF(AND(B626&gt;=_TM1,B626&lt;=_TM2,OR(TH!L626="1111",TH!M626="1111")),TH!D626,""),"")</f>
        <v/>
      </c>
      <c r="B626" s="11">
        <f t="shared" si="47"/>
        <v>6</v>
      </c>
      <c r="C626" s="115">
        <f t="shared" si="45"/>
        <v>40710</v>
      </c>
      <c r="D626" s="288" t="s">
        <v>1050</v>
      </c>
      <c r="E626" s="115">
        <v>40710</v>
      </c>
      <c r="F626" s="114" t="s">
        <v>362</v>
      </c>
      <c r="G626" s="224"/>
      <c r="H626" s="242" t="s">
        <v>1037</v>
      </c>
      <c r="I626" s="141">
        <v>1</v>
      </c>
      <c r="J626" s="141">
        <v>6124</v>
      </c>
      <c r="K626" s="238">
        <f t="shared" si="48"/>
        <v>6124</v>
      </c>
      <c r="L626" s="14" t="s">
        <v>153</v>
      </c>
      <c r="M626" s="292" t="s">
        <v>147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/>
      </c>
      <c r="Z626" s="121"/>
    </row>
    <row r="627" spans="1:26" ht="15.75" customHeight="1">
      <c r="A627" s="125" t="str">
        <f>IF(B627&lt;&gt;"",IF(AND(B627&gt;=_TM1,B627&lt;=_TM2,OR(TH!L627="1111",TH!M627="1111")),TH!D627,""),"")</f>
        <v/>
      </c>
      <c r="B627" s="11">
        <f t="shared" si="47"/>
        <v>6</v>
      </c>
      <c r="C627" s="115">
        <f t="shared" si="45"/>
        <v>40710</v>
      </c>
      <c r="D627" s="288" t="s">
        <v>1050</v>
      </c>
      <c r="E627" s="115">
        <v>40710</v>
      </c>
      <c r="F627" s="114" t="s">
        <v>473</v>
      </c>
      <c r="G627" s="224"/>
      <c r="H627" s="242" t="s">
        <v>1037</v>
      </c>
      <c r="I627" s="141">
        <v>0.5</v>
      </c>
      <c r="J627" s="141">
        <v>16462</v>
      </c>
      <c r="K627" s="238">
        <f t="shared" si="48"/>
        <v>8231</v>
      </c>
      <c r="L627" s="14" t="s">
        <v>153</v>
      </c>
      <c r="M627" s="292" t="s">
        <v>147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/>
      </c>
      <c r="Z627" s="121"/>
    </row>
    <row r="628" spans="1:26" ht="15.75" customHeight="1">
      <c r="A628" s="125" t="str">
        <f>IF(B628&lt;&gt;"",IF(AND(B628&gt;=_TM1,B628&lt;=_TM2,OR(TH!L628="1111",TH!M628="1111")),TH!D628,""),"")</f>
        <v/>
      </c>
      <c r="B628" s="11">
        <f t="shared" si="47"/>
        <v>6</v>
      </c>
      <c r="C628" s="115">
        <f t="shared" si="45"/>
        <v>40710</v>
      </c>
      <c r="D628" s="288" t="s">
        <v>1050</v>
      </c>
      <c r="E628" s="115">
        <v>40710</v>
      </c>
      <c r="F628" s="114" t="s">
        <v>539</v>
      </c>
      <c r="G628" s="224"/>
      <c r="H628" s="242" t="s">
        <v>1037</v>
      </c>
      <c r="I628" s="141">
        <v>2</v>
      </c>
      <c r="J628" s="141">
        <v>18390</v>
      </c>
      <c r="K628" s="238">
        <f t="shared" si="48"/>
        <v>36780</v>
      </c>
      <c r="L628" s="14" t="s">
        <v>153</v>
      </c>
      <c r="M628" s="292" t="s">
        <v>147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/>
      </c>
      <c r="Z628" s="121"/>
    </row>
    <row r="629" spans="1:26" ht="15.75" customHeight="1">
      <c r="A629" s="125" t="str">
        <f>IF(B629&lt;&gt;"",IF(AND(B629&gt;=_TM1,B629&lt;=_TM2,OR(TH!L629="1111",TH!M629="1111")),TH!D629,""),"")</f>
        <v/>
      </c>
      <c r="B629" s="11">
        <f t="shared" si="47"/>
        <v>6</v>
      </c>
      <c r="C629" s="115">
        <f t="shared" si="45"/>
        <v>40710</v>
      </c>
      <c r="D629" s="288" t="s">
        <v>1050</v>
      </c>
      <c r="E629" s="115">
        <v>40710</v>
      </c>
      <c r="F629" s="114" t="s">
        <v>473</v>
      </c>
      <c r="G629" s="224"/>
      <c r="H629" s="242" t="s">
        <v>1037</v>
      </c>
      <c r="I629" s="141">
        <v>0.5</v>
      </c>
      <c r="J629" s="141">
        <v>16462</v>
      </c>
      <c r="K629" s="238">
        <f t="shared" si="48"/>
        <v>8231</v>
      </c>
      <c r="L629" s="14" t="s">
        <v>153</v>
      </c>
      <c r="M629" s="292" t="s">
        <v>147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/>
      </c>
      <c r="Z629" s="121"/>
    </row>
    <row r="630" spans="1:26" ht="15.75" customHeight="1">
      <c r="A630" s="125" t="str">
        <f>IF(B630&lt;&gt;"",IF(AND(B630&gt;=_TM1,B630&lt;=_TM2,OR(TH!L630="1111",TH!M630="1111")),TH!D630,""),"")</f>
        <v/>
      </c>
      <c r="B630" s="11">
        <f t="shared" si="47"/>
        <v>6</v>
      </c>
      <c r="C630" s="110">
        <f t="shared" si="45"/>
        <v>40711</v>
      </c>
      <c r="D630" s="110" t="s">
        <v>310</v>
      </c>
      <c r="E630" s="110">
        <v>40711</v>
      </c>
      <c r="F630" s="114" t="s">
        <v>312</v>
      </c>
      <c r="G630" s="240" t="s">
        <v>307</v>
      </c>
      <c r="H630" s="117" t="s">
        <v>710</v>
      </c>
      <c r="I630" s="141"/>
      <c r="J630" s="141"/>
      <c r="K630" s="238">
        <v>28646662</v>
      </c>
      <c r="L630" s="239" t="s">
        <v>23</v>
      </c>
      <c r="M630" s="239" t="s">
        <v>237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>x</v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/>
      </c>
      <c r="Z630" s="235"/>
    </row>
    <row r="631" spans="1:26" ht="15.75" customHeight="1">
      <c r="A631" s="125" t="str">
        <f>IF(B631&lt;&gt;"",IF(AND(B631&gt;=_TM1,B631&lt;=_TM2,OR(TH!L631="1111",TH!M631="1111")),TH!D631,""),"")</f>
        <v/>
      </c>
      <c r="B631" s="11">
        <f t="shared" si="47"/>
        <v>6</v>
      </c>
      <c r="C631" s="110">
        <f t="shared" si="45"/>
        <v>40711</v>
      </c>
      <c r="D631" s="110" t="s">
        <v>311</v>
      </c>
      <c r="E631" s="110">
        <v>40711</v>
      </c>
      <c r="F631" s="114" t="s">
        <v>344</v>
      </c>
      <c r="G631" s="240" t="s">
        <v>307</v>
      </c>
      <c r="H631" s="4" t="s">
        <v>476</v>
      </c>
      <c r="I631" s="141"/>
      <c r="J631" s="141"/>
      <c r="K631" s="238">
        <v>40000000</v>
      </c>
      <c r="L631" s="239" t="s">
        <v>8</v>
      </c>
      <c r="M631" s="239" t="s">
        <v>23</v>
      </c>
      <c r="N631" s="25" t="str">
        <f>IF(AND('331-CT'!$E$7=TH!H631,OR(L631="331",M631="331")),"331",IF(AND(OR(L631="131",M631="131"),H631='131-CT'!$E$7),"131",""))</f>
        <v>331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>x</v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/>
      </c>
      <c r="Z631" s="132"/>
    </row>
    <row r="632" spans="1:26" ht="15.75" customHeight="1">
      <c r="A632" s="125" t="str">
        <f>IF(B632&lt;&gt;"",IF(AND(B632&gt;=_TM1,B632&lt;=_TM2,OR(TH!L632="1111",TH!M632="1111")),TH!D632,""),"")</f>
        <v/>
      </c>
      <c r="B632" s="11">
        <f t="shared" si="47"/>
        <v>6</v>
      </c>
      <c r="C632" s="110">
        <f t="shared" si="45"/>
        <v>40711</v>
      </c>
      <c r="D632" s="110" t="s">
        <v>311</v>
      </c>
      <c r="E632" s="110">
        <v>40711</v>
      </c>
      <c r="F632" s="114" t="s">
        <v>313</v>
      </c>
      <c r="G632" s="240" t="s">
        <v>307</v>
      </c>
      <c r="H632" s="4"/>
      <c r="I632" s="141"/>
      <c r="J632" s="141"/>
      <c r="K632" s="238">
        <v>10000</v>
      </c>
      <c r="L632" s="239" t="s">
        <v>73</v>
      </c>
      <c r="M632" s="239" t="s">
        <v>23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>x</v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>x</v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/>
      </c>
      <c r="Z632" s="132"/>
    </row>
    <row r="633" spans="1:26" ht="15.75" customHeight="1">
      <c r="A633" s="125" t="str">
        <f>IF(B633&lt;&gt;"",IF(AND(B633&gt;=_TM1,B633&lt;=_TM2,OR(TH!L633="1111",TH!M633="1111")),TH!D633,""),"")</f>
        <v/>
      </c>
      <c r="B633" s="11">
        <f t="shared" si="47"/>
        <v>6</v>
      </c>
      <c r="C633" s="110">
        <f t="shared" si="45"/>
        <v>40711</v>
      </c>
      <c r="D633" s="110" t="s">
        <v>311</v>
      </c>
      <c r="E633" s="110">
        <v>40711</v>
      </c>
      <c r="F633" s="114" t="s">
        <v>313</v>
      </c>
      <c r="G633" s="240" t="s">
        <v>307</v>
      </c>
      <c r="H633" s="4"/>
      <c r="I633" s="141"/>
      <c r="J633" s="141"/>
      <c r="K633" s="238">
        <v>10000</v>
      </c>
      <c r="L633" s="239" t="s">
        <v>73</v>
      </c>
      <c r="M633" s="239" t="s">
        <v>23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>x</v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>x</v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/>
      </c>
      <c r="Z633" s="235"/>
    </row>
    <row r="634" spans="1:26" ht="15.75" customHeight="1">
      <c r="A634" s="125" t="str">
        <f>IF(B634&lt;&gt;"",IF(AND(B634&gt;=_TM1,B634&lt;=_TM2,OR(TH!L634="1111",TH!M634="1111")),TH!D634,""),"")</f>
        <v/>
      </c>
      <c r="B634" s="11">
        <f t="shared" si="47"/>
        <v>6</v>
      </c>
      <c r="C634" s="115">
        <f t="shared" si="45"/>
        <v>40711</v>
      </c>
      <c r="D634" s="110" t="s">
        <v>694</v>
      </c>
      <c r="E634" s="115">
        <v>40711</v>
      </c>
      <c r="F634" s="114" t="s">
        <v>519</v>
      </c>
      <c r="G634" s="224" t="s">
        <v>553</v>
      </c>
      <c r="H634" s="4" t="s">
        <v>476</v>
      </c>
      <c r="I634" s="141">
        <v>80</v>
      </c>
      <c r="J634" s="141">
        <v>19638</v>
      </c>
      <c r="K634" s="238">
        <f t="shared" ref="K634:K639" si="49">ROUND(I634*J634,0)</f>
        <v>1571040</v>
      </c>
      <c r="L634" s="118" t="s">
        <v>147</v>
      </c>
      <c r="M634" s="118" t="s">
        <v>8</v>
      </c>
      <c r="N634" s="25" t="str">
        <f>IF(AND('331-CT'!$E$7=TH!H634,OR(L634="331",M634="331")),"331",IF(AND(OR(L634="131",M634="131"),H634='131-CT'!$E$7),"131",""))</f>
        <v>331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/>
      </c>
      <c r="Z634" s="132">
        <v>6</v>
      </c>
    </row>
    <row r="635" spans="1:26" ht="15.75" customHeight="1">
      <c r="A635" s="125" t="str">
        <f>IF(B635&lt;&gt;"",IF(AND(B635&gt;=_TM1,B635&lt;=_TM2,OR(TH!L635="1111",TH!M635="1111")),TH!D635,""),"")</f>
        <v/>
      </c>
      <c r="B635" s="11">
        <f t="shared" si="47"/>
        <v>6</v>
      </c>
      <c r="C635" s="115">
        <f t="shared" si="45"/>
        <v>40711</v>
      </c>
      <c r="D635" s="110" t="s">
        <v>694</v>
      </c>
      <c r="E635" s="115">
        <v>40711</v>
      </c>
      <c r="F635" s="114" t="s">
        <v>554</v>
      </c>
      <c r="G635" s="224" t="s">
        <v>553</v>
      </c>
      <c r="H635" s="4" t="s">
        <v>476</v>
      </c>
      <c r="I635" s="141">
        <v>210</v>
      </c>
      <c r="J635" s="141">
        <v>21481</v>
      </c>
      <c r="K635" s="238">
        <f t="shared" si="49"/>
        <v>4511010</v>
      </c>
      <c r="L635" s="118" t="s">
        <v>147</v>
      </c>
      <c r="M635" s="118" t="s">
        <v>8</v>
      </c>
      <c r="N635" s="25" t="str">
        <f>IF(AND('331-CT'!$E$7=TH!H635,OR(L635="331",M635="331")),"331",IF(AND(OR(L635="131",M635="131"),H635='131-CT'!$E$7),"131",""))</f>
        <v>331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/>
      </c>
      <c r="Z635" s="132">
        <v>6</v>
      </c>
    </row>
    <row r="636" spans="1:26" ht="15.75" customHeight="1">
      <c r="A636" s="125" t="str">
        <f>IF(B636&lt;&gt;"",IF(AND(B636&gt;=_TM1,B636&lt;=_TM2,OR(TH!L636="1111",TH!M636="1111")),TH!D636,""),"")</f>
        <v/>
      </c>
      <c r="B636" s="11">
        <f t="shared" si="47"/>
        <v>6</v>
      </c>
      <c r="C636" s="115">
        <f t="shared" si="45"/>
        <v>40711</v>
      </c>
      <c r="D636" s="110" t="s">
        <v>694</v>
      </c>
      <c r="E636" s="115">
        <v>40711</v>
      </c>
      <c r="F636" s="114" t="s">
        <v>555</v>
      </c>
      <c r="G636" s="224" t="s">
        <v>553</v>
      </c>
      <c r="H636" s="4" t="s">
        <v>476</v>
      </c>
      <c r="I636" s="141">
        <v>840</v>
      </c>
      <c r="J636" s="141">
        <v>10344</v>
      </c>
      <c r="K636" s="238">
        <f t="shared" si="49"/>
        <v>8688960</v>
      </c>
      <c r="L636" s="118" t="s">
        <v>147</v>
      </c>
      <c r="M636" s="118" t="s">
        <v>8</v>
      </c>
      <c r="N636" s="25" t="str">
        <f>IF(AND('331-CT'!$E$7=TH!H636,OR(L636="331",M636="331")),"331",IF(AND(OR(L636="131",M636="131"),H636='131-CT'!$E$7),"131",""))</f>
        <v>331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/>
      </c>
      <c r="Z636" s="132">
        <v>6</v>
      </c>
    </row>
    <row r="637" spans="1:26" ht="15.75" customHeight="1">
      <c r="A637" s="125" t="str">
        <f>IF(B637&lt;&gt;"",IF(AND(B637&gt;=_TM1,B637&lt;=_TM2,OR(TH!L637="1111",TH!M637="1111")),TH!D637,""),"")</f>
        <v/>
      </c>
      <c r="B637" s="11">
        <f t="shared" si="47"/>
        <v>6</v>
      </c>
      <c r="C637" s="115">
        <f t="shared" si="45"/>
        <v>40711</v>
      </c>
      <c r="D637" s="110" t="s">
        <v>694</v>
      </c>
      <c r="E637" s="115">
        <v>40711</v>
      </c>
      <c r="F637" s="114" t="s">
        <v>556</v>
      </c>
      <c r="G637" s="224" t="s">
        <v>553</v>
      </c>
      <c r="H637" s="4" t="s">
        <v>476</v>
      </c>
      <c r="I637" s="141">
        <v>236</v>
      </c>
      <c r="J637" s="141">
        <v>7543</v>
      </c>
      <c r="K637" s="238">
        <f t="shared" si="49"/>
        <v>1780148</v>
      </c>
      <c r="L637" s="118" t="s">
        <v>147</v>
      </c>
      <c r="M637" s="118" t="s">
        <v>8</v>
      </c>
      <c r="N637" s="25" t="str">
        <f>IF(AND('331-CT'!$E$7=TH!H637,OR(L637="331",M637="331")),"331",IF(AND(OR(L637="131",M637="131"),H637='131-CT'!$E$7),"131",""))</f>
        <v>331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/>
      </c>
      <c r="Z637" s="132">
        <v>6</v>
      </c>
    </row>
    <row r="638" spans="1:26" ht="15.75" customHeight="1">
      <c r="A638" s="125" t="str">
        <f>IF(B638&lt;&gt;"",IF(AND(B638&gt;=_TM1,B638&lt;=_TM2,OR(TH!L638="1111",TH!M638="1111")),TH!D638,""),"")</f>
        <v/>
      </c>
      <c r="B638" s="11">
        <f t="shared" si="47"/>
        <v>6</v>
      </c>
      <c r="C638" s="115">
        <f t="shared" si="45"/>
        <v>40711</v>
      </c>
      <c r="D638" s="110" t="s">
        <v>694</v>
      </c>
      <c r="E638" s="115">
        <v>40711</v>
      </c>
      <c r="F638" s="114" t="s">
        <v>557</v>
      </c>
      <c r="G638" s="224" t="s">
        <v>553</v>
      </c>
      <c r="H638" s="4" t="s">
        <v>476</v>
      </c>
      <c r="I638" s="141">
        <v>70</v>
      </c>
      <c r="J638" s="141">
        <v>26198</v>
      </c>
      <c r="K638" s="238">
        <f t="shared" si="49"/>
        <v>1833860</v>
      </c>
      <c r="L638" s="118" t="s">
        <v>147</v>
      </c>
      <c r="M638" s="118" t="s">
        <v>8</v>
      </c>
      <c r="N638" s="25" t="str">
        <f>IF(AND('331-CT'!$E$7=TH!H638,OR(L638="331",M638="331")),"331",IF(AND(OR(L638="131",M638="131"),H638='131-CT'!$E$7),"131",""))</f>
        <v>331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/>
      </c>
      <c r="Z638" s="132">
        <v>6</v>
      </c>
    </row>
    <row r="639" spans="1:26" ht="15.75" customHeight="1">
      <c r="A639" s="125" t="str">
        <f>IF(B639&lt;&gt;"",IF(AND(B639&gt;=_TM1,B639&lt;=_TM2,OR(TH!L639="1111",TH!M639="1111")),TH!D639,""),"")</f>
        <v/>
      </c>
      <c r="B639" s="11">
        <f t="shared" si="47"/>
        <v>6</v>
      </c>
      <c r="C639" s="115">
        <f t="shared" si="45"/>
        <v>40711</v>
      </c>
      <c r="D639" s="110" t="s">
        <v>694</v>
      </c>
      <c r="E639" s="115">
        <v>40711</v>
      </c>
      <c r="F639" s="114" t="s">
        <v>558</v>
      </c>
      <c r="G639" s="224" t="s">
        <v>553</v>
      </c>
      <c r="H639" s="4" t="s">
        <v>476</v>
      </c>
      <c r="I639" s="141">
        <v>100</v>
      </c>
      <c r="J639" s="141">
        <v>16787</v>
      </c>
      <c r="K639" s="238">
        <f t="shared" si="49"/>
        <v>1678700</v>
      </c>
      <c r="L639" s="118" t="s">
        <v>147</v>
      </c>
      <c r="M639" s="118" t="s">
        <v>8</v>
      </c>
      <c r="N639" s="25" t="str">
        <f>IF(AND('331-CT'!$E$7=TH!H639,OR(L639="331",M639="331")),"331",IF(AND(OR(L639="131",M639="131"),H639='131-CT'!$E$7),"131",""))</f>
        <v>331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/>
      </c>
      <c r="Z639" s="132">
        <v>6</v>
      </c>
    </row>
    <row r="640" spans="1:26" ht="15.75" customHeight="1">
      <c r="A640" s="125" t="str">
        <f>IF(B640&lt;&gt;"",IF(AND(B640&gt;=_TM1,B640&lt;=_TM2,OR(TH!L640="1111",TH!M640="1111")),TH!D640,""),"")</f>
        <v/>
      </c>
      <c r="B640" s="11">
        <f t="shared" si="47"/>
        <v>6</v>
      </c>
      <c r="C640" s="115">
        <f t="shared" si="45"/>
        <v>40711</v>
      </c>
      <c r="D640" s="110" t="s">
        <v>694</v>
      </c>
      <c r="E640" s="115">
        <v>40711</v>
      </c>
      <c r="F640" s="114" t="s">
        <v>357</v>
      </c>
      <c r="G640" s="224" t="s">
        <v>553</v>
      </c>
      <c r="H640" s="4" t="s">
        <v>476</v>
      </c>
      <c r="I640" s="141"/>
      <c r="J640" s="141"/>
      <c r="K640" s="13">
        <v>2006372</v>
      </c>
      <c r="L640" s="118" t="s">
        <v>9</v>
      </c>
      <c r="M640" s="118" t="s">
        <v>8</v>
      </c>
      <c r="N640" s="25" t="str">
        <f>IF(AND('331-CT'!$E$7=TH!H640,OR(L640="331",M640="331")),"331",IF(AND(OR(L640="131",M640="131"),H640='131-CT'!$E$7),"131",""))</f>
        <v>331</v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/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/>
      </c>
      <c r="Z640" s="132">
        <v>6</v>
      </c>
    </row>
    <row r="641" spans="1:26" ht="15.75" customHeight="1">
      <c r="A641" s="125" t="str">
        <f>IF(B641&lt;&gt;"",IF(AND(B641&gt;=_TM1,B641&lt;=_TM2,OR(TH!L641="1111",TH!M641="1111")),TH!D641,""),"")</f>
        <v/>
      </c>
      <c r="B641" s="11">
        <f t="shared" si="47"/>
        <v>6</v>
      </c>
      <c r="C641" s="115">
        <f t="shared" si="45"/>
        <v>40713</v>
      </c>
      <c r="D641" s="288" t="s">
        <v>1051</v>
      </c>
      <c r="E641" s="115">
        <v>40713</v>
      </c>
      <c r="F641" s="114" t="s">
        <v>364</v>
      </c>
      <c r="G641" s="224"/>
      <c r="H641" s="242" t="s">
        <v>1037</v>
      </c>
      <c r="I641" s="328">
        <v>2</v>
      </c>
      <c r="J641" s="141">
        <v>4449</v>
      </c>
      <c r="K641" s="238">
        <f t="shared" ref="K641:K649" si="50">ROUND(I641*J641,0)</f>
        <v>8898</v>
      </c>
      <c r="L641" s="14" t="s">
        <v>153</v>
      </c>
      <c r="M641" s="292" t="s">
        <v>147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/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>x</v>
      </c>
      <c r="X641" s="25" t="str">
        <f>IF(AND(OR(LEFT(TH!L641,2)="15",LEFT(TH!M641,2)="15"),TK!$E$7=TH!F641),"x","")</f>
        <v/>
      </c>
      <c r="Y641" s="25" t="str">
        <f>IF(AND(B641&lt;=NKC!$N$8,B641&gt;=NKC!$M$8),"x","")</f>
        <v/>
      </c>
      <c r="Z641" s="121"/>
    </row>
    <row r="642" spans="1:26" ht="15.75" customHeight="1">
      <c r="A642" s="125" t="str">
        <f>IF(B642&lt;&gt;"",IF(AND(B642&gt;=_TM1,B642&lt;=_TM2,OR(TH!L642="1111",TH!M642="1111")),TH!D642,""),"")</f>
        <v/>
      </c>
      <c r="B642" s="11">
        <f t="shared" si="47"/>
        <v>6</v>
      </c>
      <c r="C642" s="115">
        <f t="shared" si="45"/>
        <v>40713</v>
      </c>
      <c r="D642" s="288" t="s">
        <v>1051</v>
      </c>
      <c r="E642" s="115">
        <v>40713</v>
      </c>
      <c r="F642" s="114" t="s">
        <v>539</v>
      </c>
      <c r="G642" s="224"/>
      <c r="H642" s="242" t="s">
        <v>1037</v>
      </c>
      <c r="I642" s="141">
        <v>1</v>
      </c>
      <c r="J642" s="141">
        <v>18390</v>
      </c>
      <c r="K642" s="238">
        <f t="shared" si="50"/>
        <v>18390</v>
      </c>
      <c r="L642" s="14" t="s">
        <v>153</v>
      </c>
      <c r="M642" s="292" t="s">
        <v>147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/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/>
      </c>
      <c r="Z642" s="121"/>
    </row>
    <row r="643" spans="1:26" ht="15.75" customHeight="1">
      <c r="A643" s="125" t="str">
        <f>IF(B643&lt;&gt;"",IF(AND(B643&gt;=_TM1,B643&lt;=_TM2,OR(TH!L643="1111",TH!M643="1111")),TH!D643,""),"")</f>
        <v/>
      </c>
      <c r="B643" s="11">
        <f t="shared" si="47"/>
        <v>6</v>
      </c>
      <c r="C643" s="115">
        <f t="shared" si="45"/>
        <v>40713</v>
      </c>
      <c r="D643" s="288" t="s">
        <v>1051</v>
      </c>
      <c r="E643" s="115">
        <v>40713</v>
      </c>
      <c r="F643" s="15" t="s">
        <v>534</v>
      </c>
      <c r="G643" s="224"/>
      <c r="H643" s="242" t="s">
        <v>1037</v>
      </c>
      <c r="I643" s="141">
        <v>18.5</v>
      </c>
      <c r="J643" s="141">
        <v>24005</v>
      </c>
      <c r="K643" s="238">
        <f t="shared" si="50"/>
        <v>444093</v>
      </c>
      <c r="L643" s="14" t="s">
        <v>153</v>
      </c>
      <c r="M643" s="292" t="s">
        <v>147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/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/>
      </c>
      <c r="Z643" s="121"/>
    </row>
    <row r="644" spans="1:26" ht="15.75" customHeight="1">
      <c r="A644" s="125" t="str">
        <f>IF(B644&lt;&gt;"",IF(AND(B644&gt;=_TM1,B644&lt;=_TM2,OR(TH!L644="1111",TH!M644="1111")),TH!D644,""),"")</f>
        <v/>
      </c>
      <c r="B644" s="11">
        <f t="shared" si="47"/>
        <v>6</v>
      </c>
      <c r="C644" s="115">
        <f t="shared" si="45"/>
        <v>40713</v>
      </c>
      <c r="D644" s="288" t="s">
        <v>1051</v>
      </c>
      <c r="E644" s="115">
        <v>40713</v>
      </c>
      <c r="F644" s="15" t="s">
        <v>534</v>
      </c>
      <c r="G644" s="224"/>
      <c r="H644" s="242" t="s">
        <v>1037</v>
      </c>
      <c r="I644" s="141">
        <v>299</v>
      </c>
      <c r="J644" s="141">
        <v>24005</v>
      </c>
      <c r="K644" s="238">
        <f t="shared" si="50"/>
        <v>7177495</v>
      </c>
      <c r="L644" s="14" t="s">
        <v>153</v>
      </c>
      <c r="M644" s="292" t="s">
        <v>147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/>
      </c>
      <c r="Z644" s="121"/>
    </row>
    <row r="645" spans="1:26" ht="15.75" customHeight="1">
      <c r="A645" s="125" t="str">
        <f>IF(B645&lt;&gt;"",IF(AND(B645&gt;=_TM1,B645&lt;=_TM2,OR(TH!L645="1111",TH!M645="1111")),TH!D645,""),"")</f>
        <v/>
      </c>
      <c r="B645" s="11">
        <f t="shared" si="47"/>
        <v>6</v>
      </c>
      <c r="C645" s="115">
        <f t="shared" si="45"/>
        <v>40713</v>
      </c>
      <c r="D645" s="288" t="s">
        <v>1051</v>
      </c>
      <c r="E645" s="115">
        <v>40713</v>
      </c>
      <c r="F645" s="114" t="s">
        <v>364</v>
      </c>
      <c r="G645" s="224"/>
      <c r="H645" s="242" t="s">
        <v>1037</v>
      </c>
      <c r="I645" s="315">
        <v>240</v>
      </c>
      <c r="J645" s="141">
        <v>4449</v>
      </c>
      <c r="K645" s="238">
        <f t="shared" si="50"/>
        <v>1067760</v>
      </c>
      <c r="L645" s="14" t="s">
        <v>153</v>
      </c>
      <c r="M645" s="292" t="s">
        <v>147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>x</v>
      </c>
      <c r="X645" s="25" t="str">
        <f>IF(AND(OR(LEFT(TH!L645,2)="15",LEFT(TH!M645,2)="15"),TK!$E$7=TH!F645),"x","")</f>
        <v/>
      </c>
      <c r="Y645" s="25" t="str">
        <f>IF(AND(B645&lt;=NKC!$N$8,B645&gt;=NKC!$M$8),"x","")</f>
        <v/>
      </c>
      <c r="Z645" s="121"/>
    </row>
    <row r="646" spans="1:26" ht="15.75" customHeight="1">
      <c r="A646" s="125" t="str">
        <f>IF(B646&lt;&gt;"",IF(AND(B646&gt;=_TM1,B646&lt;=_TM2,OR(TH!L646="1111",TH!M646="1111")),TH!D646,""),"")</f>
        <v/>
      </c>
      <c r="B646" s="11">
        <f t="shared" si="47"/>
        <v>6</v>
      </c>
      <c r="C646" s="115">
        <f t="shared" si="45"/>
        <v>40713</v>
      </c>
      <c r="D646" s="288" t="s">
        <v>1051</v>
      </c>
      <c r="E646" s="115">
        <v>40713</v>
      </c>
      <c r="F646" s="154" t="s">
        <v>456</v>
      </c>
      <c r="G646" s="224"/>
      <c r="H646" s="242" t="s">
        <v>1037</v>
      </c>
      <c r="I646" s="141">
        <v>169</v>
      </c>
      <c r="J646" s="141">
        <v>6026</v>
      </c>
      <c r="K646" s="238">
        <f t="shared" si="50"/>
        <v>1018394</v>
      </c>
      <c r="L646" s="14" t="s">
        <v>153</v>
      </c>
      <c r="M646" s="292" t="s">
        <v>147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/>
      </c>
      <c r="Z646" s="121"/>
    </row>
    <row r="647" spans="1:26" ht="15.75" customHeight="1">
      <c r="A647" s="125" t="str">
        <f>IF(B647&lt;&gt;"",IF(AND(B647&gt;=_TM1,B647&lt;=_TM2,OR(TH!L647="1111",TH!M647="1111")),TH!D647,""),"")</f>
        <v/>
      </c>
      <c r="B647" s="11">
        <f t="shared" si="47"/>
        <v>6</v>
      </c>
      <c r="C647" s="115">
        <f t="shared" si="45"/>
        <v>40713</v>
      </c>
      <c r="D647" s="288" t="s">
        <v>1051</v>
      </c>
      <c r="E647" s="115">
        <v>40713</v>
      </c>
      <c r="F647" s="114" t="s">
        <v>364</v>
      </c>
      <c r="G647" s="224"/>
      <c r="H647" s="242" t="s">
        <v>1037</v>
      </c>
      <c r="I647" s="315">
        <v>42.5</v>
      </c>
      <c r="J647" s="141">
        <v>4449</v>
      </c>
      <c r="K647" s="238">
        <f t="shared" si="50"/>
        <v>189083</v>
      </c>
      <c r="L647" s="14" t="s">
        <v>153</v>
      </c>
      <c r="M647" s="292" t="s">
        <v>147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>x</v>
      </c>
      <c r="X647" s="25" t="str">
        <f>IF(AND(OR(LEFT(TH!L647,2)="15",LEFT(TH!M647,2)="15"),TK!$E$7=TH!F647),"x","")</f>
        <v/>
      </c>
      <c r="Y647" s="25" t="str">
        <f>IF(AND(B647&lt;=NKC!$N$8,B647&gt;=NKC!$M$8),"x","")</f>
        <v/>
      </c>
      <c r="Z647" s="121"/>
    </row>
    <row r="648" spans="1:26" ht="15.75" customHeight="1">
      <c r="A648" s="125" t="str">
        <f>IF(B648&lt;&gt;"",IF(AND(B648&gt;=_TM1,B648&lt;=_TM2,OR(TH!L648="1111",TH!M648="1111")),TH!D648,""),"")</f>
        <v/>
      </c>
      <c r="B648" s="11">
        <f t="shared" si="47"/>
        <v>6</v>
      </c>
      <c r="C648" s="115">
        <f t="shared" si="45"/>
        <v>40713</v>
      </c>
      <c r="D648" s="288" t="s">
        <v>1051</v>
      </c>
      <c r="E648" s="115">
        <v>40713</v>
      </c>
      <c r="F648" s="114" t="s">
        <v>467</v>
      </c>
      <c r="G648" s="224"/>
      <c r="H648" s="242" t="s">
        <v>1037</v>
      </c>
      <c r="I648" s="141">
        <v>442</v>
      </c>
      <c r="J648" s="141">
        <v>17427</v>
      </c>
      <c r="K648" s="238">
        <f t="shared" si="50"/>
        <v>7702734</v>
      </c>
      <c r="L648" s="14" t="s">
        <v>153</v>
      </c>
      <c r="M648" s="292" t="s">
        <v>147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/>
      </c>
      <c r="Z648" s="121"/>
    </row>
    <row r="649" spans="1:26" ht="15.75" customHeight="1">
      <c r="A649" s="125" t="str">
        <f>IF(B649&lt;&gt;"",IF(AND(B649&gt;=_TM1,B649&lt;=_TM2,OR(TH!L649="1111",TH!M649="1111")),TH!D649,""),"")</f>
        <v/>
      </c>
      <c r="B649" s="11">
        <f t="shared" si="47"/>
        <v>6</v>
      </c>
      <c r="C649" s="115">
        <f t="shared" si="45"/>
        <v>40713</v>
      </c>
      <c r="D649" s="288" t="s">
        <v>1051</v>
      </c>
      <c r="E649" s="115">
        <v>40713</v>
      </c>
      <c r="F649" s="114" t="s">
        <v>591</v>
      </c>
      <c r="G649" s="224"/>
      <c r="H649" s="242" t="s">
        <v>1037</v>
      </c>
      <c r="I649" s="141">
        <v>18</v>
      </c>
      <c r="J649" s="141">
        <v>31360</v>
      </c>
      <c r="K649" s="238">
        <f t="shared" si="50"/>
        <v>564480</v>
      </c>
      <c r="L649" s="14" t="s">
        <v>153</v>
      </c>
      <c r="M649" s="292" t="s">
        <v>147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/>
      </c>
      <c r="Z649" s="121"/>
    </row>
    <row r="650" spans="1:26" ht="15.75" customHeight="1">
      <c r="A650" s="125" t="str">
        <f>IF(B650&lt;&gt;"",IF(AND(B650&gt;=_TM1,B650&lt;=_TM2,OR(TH!L650="1111",TH!M650="1111")),TH!D650,""),"")</f>
        <v/>
      </c>
      <c r="B650" s="11">
        <f t="shared" si="47"/>
        <v>6</v>
      </c>
      <c r="C650" s="110">
        <f t="shared" si="45"/>
        <v>40714</v>
      </c>
      <c r="D650" s="110" t="s">
        <v>1031</v>
      </c>
      <c r="E650" s="110">
        <v>40714</v>
      </c>
      <c r="F650" s="114" t="s">
        <v>339</v>
      </c>
      <c r="G650" s="240" t="s">
        <v>307</v>
      </c>
      <c r="H650" s="117" t="s">
        <v>340</v>
      </c>
      <c r="I650" s="141"/>
      <c r="J650" s="141"/>
      <c r="K650" s="238">
        <v>3000000</v>
      </c>
      <c r="L650" s="239" t="s">
        <v>23</v>
      </c>
      <c r="M650" s="239" t="s">
        <v>44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>x</v>
      </c>
      <c r="R650" s="25" t="str">
        <f>IF(ISERROR(FIND('112'!$M$9,G650,1)),"",IF((AND(FIND('112'!$M$9,G650,1)&gt;=1,$B650&gt;='112'!$N$8,$B650&lt;='112'!$O$8,OR($L650='112'!$I$6,$M650='112'!$I$6))),"x",""))</f>
        <v>x</v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/>
      </c>
      <c r="Z650" s="235"/>
    </row>
    <row r="651" spans="1:26" ht="15.75" customHeight="1">
      <c r="A651" s="125" t="str">
        <f>IF(B651&lt;&gt;"",IF(AND(B651&gt;=_TM1,B651&lt;=_TM2,OR(TH!L651="1111",TH!M651="1111")),TH!D651,""),"")</f>
        <v/>
      </c>
      <c r="B651" s="11">
        <f t="shared" si="47"/>
        <v>6</v>
      </c>
      <c r="C651" s="110">
        <f t="shared" si="45"/>
        <v>40714</v>
      </c>
      <c r="D651" s="110" t="s">
        <v>311</v>
      </c>
      <c r="E651" s="110">
        <v>40714</v>
      </c>
      <c r="F651" s="114" t="s">
        <v>344</v>
      </c>
      <c r="G651" s="240" t="s">
        <v>307</v>
      </c>
      <c r="H651" s="4" t="s">
        <v>536</v>
      </c>
      <c r="I651" s="141"/>
      <c r="J651" s="141"/>
      <c r="K651" s="238">
        <v>30880000</v>
      </c>
      <c r="L651" s="239" t="s">
        <v>8</v>
      </c>
      <c r="M651" s="239" t="s">
        <v>23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>x</v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/>
      </c>
      <c r="Z651" s="235"/>
    </row>
    <row r="652" spans="1:26" ht="15.75" customHeight="1">
      <c r="A652" s="125" t="str">
        <f>IF(B652&lt;&gt;"",IF(AND(B652&gt;=_TM1,B652&lt;=_TM2,OR(TH!L652="1111",TH!M652="1111")),TH!D652,""),"")</f>
        <v/>
      </c>
      <c r="B652" s="11">
        <f t="shared" si="47"/>
        <v>6</v>
      </c>
      <c r="C652" s="115">
        <f t="shared" ref="C652:C715" si="51">E652</f>
        <v>40714</v>
      </c>
      <c r="D652" s="288" t="s">
        <v>1052</v>
      </c>
      <c r="E652" s="115">
        <v>40714</v>
      </c>
      <c r="F652" s="114" t="s">
        <v>364</v>
      </c>
      <c r="G652" s="224"/>
      <c r="H652" s="242" t="s">
        <v>1037</v>
      </c>
      <c r="I652" s="315">
        <v>22.5</v>
      </c>
      <c r="J652" s="141">
        <v>4449</v>
      </c>
      <c r="K652" s="238">
        <f t="shared" ref="K652:K660" si="52">ROUND(I652*J652,0)</f>
        <v>100103</v>
      </c>
      <c r="L652" s="14" t="s">
        <v>153</v>
      </c>
      <c r="M652" s="292" t="s">
        <v>147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>x</v>
      </c>
      <c r="X652" s="25" t="str">
        <f>IF(AND(OR(LEFT(TH!L652,2)="15",LEFT(TH!M652,2)="15"),TK!$E$7=TH!F652),"x","")</f>
        <v/>
      </c>
      <c r="Y652" s="25" t="str">
        <f>IF(AND(B652&lt;=NKC!$N$8,B652&gt;=NKC!$M$8),"x","")</f>
        <v/>
      </c>
      <c r="Z652" s="121"/>
    </row>
    <row r="653" spans="1:26" ht="15.75" customHeight="1">
      <c r="A653" s="125" t="str">
        <f>IF(B653&lt;&gt;"",IF(AND(B653&gt;=_TM1,B653&lt;=_TM2,OR(TH!L653="1111",TH!M653="1111")),TH!D653,""),"")</f>
        <v/>
      </c>
      <c r="B653" s="11">
        <f t="shared" si="47"/>
        <v>6</v>
      </c>
      <c r="C653" s="115">
        <f t="shared" si="51"/>
        <v>40714</v>
      </c>
      <c r="D653" s="288" t="s">
        <v>1052</v>
      </c>
      <c r="E653" s="115">
        <v>40714</v>
      </c>
      <c r="F653" s="114" t="s">
        <v>364</v>
      </c>
      <c r="G653" s="224"/>
      <c r="H653" s="242" t="s">
        <v>1037</v>
      </c>
      <c r="I653" s="315">
        <v>41</v>
      </c>
      <c r="J653" s="141">
        <v>4449</v>
      </c>
      <c r="K653" s="238">
        <f t="shared" si="52"/>
        <v>182409</v>
      </c>
      <c r="L653" s="14" t="s">
        <v>153</v>
      </c>
      <c r="M653" s="292" t="s">
        <v>147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>x</v>
      </c>
      <c r="X653" s="25" t="str">
        <f>IF(AND(OR(LEFT(TH!L653,2)="15",LEFT(TH!M653,2)="15"),TK!$E$7=TH!F653),"x","")</f>
        <v/>
      </c>
      <c r="Y653" s="25" t="str">
        <f>IF(AND(B653&lt;=NKC!$N$8,B653&gt;=NKC!$M$8),"x","")</f>
        <v/>
      </c>
      <c r="Z653" s="121"/>
    </row>
    <row r="654" spans="1:26" ht="15.75" customHeight="1">
      <c r="A654" s="125" t="str">
        <f>IF(B654&lt;&gt;"",IF(AND(B654&gt;=_TM1,B654&lt;=_TM2,OR(TH!L654="1111",TH!M654="1111")),TH!D654,""),"")</f>
        <v/>
      </c>
      <c r="B654" s="11">
        <f t="shared" si="47"/>
        <v>6</v>
      </c>
      <c r="C654" s="115">
        <f t="shared" si="51"/>
        <v>40714</v>
      </c>
      <c r="D654" s="288" t="s">
        <v>1052</v>
      </c>
      <c r="E654" s="115">
        <v>40714</v>
      </c>
      <c r="F654" s="114" t="s">
        <v>466</v>
      </c>
      <c r="G654" s="224"/>
      <c r="H654" s="242" t="s">
        <v>1037</v>
      </c>
      <c r="I654" s="141">
        <v>645</v>
      </c>
      <c r="J654" s="141">
        <v>16925</v>
      </c>
      <c r="K654" s="238">
        <f t="shared" si="52"/>
        <v>10916625</v>
      </c>
      <c r="L654" s="14" t="s">
        <v>153</v>
      </c>
      <c r="M654" s="292" t="s">
        <v>147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/>
      </c>
      <c r="Z654" s="121"/>
    </row>
    <row r="655" spans="1:26" ht="15.75" customHeight="1">
      <c r="A655" s="125" t="str">
        <f>IF(B655&lt;&gt;"",IF(AND(B655&gt;=_TM1,B655&lt;=_TM2,OR(TH!L655="1111",TH!M655="1111")),TH!D655,""),"")</f>
        <v/>
      </c>
      <c r="B655" s="11">
        <f t="shared" si="47"/>
        <v>6</v>
      </c>
      <c r="C655" s="115">
        <f t="shared" si="51"/>
        <v>40714</v>
      </c>
      <c r="D655" s="288" t="s">
        <v>1052</v>
      </c>
      <c r="E655" s="115">
        <v>40714</v>
      </c>
      <c r="F655" s="114" t="s">
        <v>364</v>
      </c>
      <c r="G655" s="224"/>
      <c r="H655" s="242" t="s">
        <v>1037</v>
      </c>
      <c r="I655" s="315">
        <v>210</v>
      </c>
      <c r="J655" s="141">
        <v>4449</v>
      </c>
      <c r="K655" s="238">
        <f t="shared" si="52"/>
        <v>934290</v>
      </c>
      <c r="L655" s="14" t="s">
        <v>153</v>
      </c>
      <c r="M655" s="292" t="s">
        <v>147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>x</v>
      </c>
      <c r="X655" s="25" t="str">
        <f>IF(AND(OR(LEFT(TH!L655,2)="15",LEFT(TH!M655,2)="15"),TK!$E$7=TH!F655),"x","")</f>
        <v/>
      </c>
      <c r="Y655" s="25" t="str">
        <f>IF(AND(B655&lt;=NKC!$N$8,B655&gt;=NKC!$M$8),"x","")</f>
        <v/>
      </c>
      <c r="Z655" s="121"/>
    </row>
    <row r="656" spans="1:26" ht="15.75" customHeight="1">
      <c r="A656" s="125" t="str">
        <f>IF(B656&lt;&gt;"",IF(AND(B656&gt;=_TM1,B656&lt;=_TM2,OR(TH!L656="1111",TH!M656="1111")),TH!D656,""),"")</f>
        <v/>
      </c>
      <c r="B656" s="11">
        <f t="shared" si="47"/>
        <v>6</v>
      </c>
      <c r="C656" s="115">
        <f t="shared" si="51"/>
        <v>40714</v>
      </c>
      <c r="D656" s="288" t="s">
        <v>1052</v>
      </c>
      <c r="E656" s="115">
        <v>40714</v>
      </c>
      <c r="F656" s="114" t="s">
        <v>364</v>
      </c>
      <c r="G656" s="224"/>
      <c r="H656" s="242" t="s">
        <v>1037</v>
      </c>
      <c r="I656" s="315">
        <v>211</v>
      </c>
      <c r="J656" s="141">
        <v>4449</v>
      </c>
      <c r="K656" s="238">
        <f t="shared" si="52"/>
        <v>938739</v>
      </c>
      <c r="L656" s="14" t="s">
        <v>153</v>
      </c>
      <c r="M656" s="292" t="s">
        <v>147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>x</v>
      </c>
      <c r="X656" s="25" t="str">
        <f>IF(AND(OR(LEFT(TH!L656,2)="15",LEFT(TH!M656,2)="15"),TK!$E$7=TH!F656),"x","")</f>
        <v/>
      </c>
      <c r="Y656" s="25" t="str">
        <f>IF(AND(B656&lt;=NKC!$N$8,B656&gt;=NKC!$M$8),"x","")</f>
        <v/>
      </c>
      <c r="Z656" s="121"/>
    </row>
    <row r="657" spans="1:26" ht="15.75" customHeight="1">
      <c r="A657" s="125" t="str">
        <f>IF(B657&lt;&gt;"",IF(AND(B657&gt;=_TM1,B657&lt;=_TM2,OR(TH!L657="1111",TH!M657="1111")),TH!D657,""),"")</f>
        <v/>
      </c>
      <c r="B657" s="11">
        <f t="shared" si="47"/>
        <v>6</v>
      </c>
      <c r="C657" s="115">
        <f t="shared" si="51"/>
        <v>40714</v>
      </c>
      <c r="D657" s="288" t="s">
        <v>1052</v>
      </c>
      <c r="E657" s="115">
        <v>40714</v>
      </c>
      <c r="F657" s="15" t="s">
        <v>573</v>
      </c>
      <c r="G657" s="224"/>
      <c r="H657" s="242" t="s">
        <v>1037</v>
      </c>
      <c r="I657" s="141">
        <v>210</v>
      </c>
      <c r="J657" s="141">
        <v>15946</v>
      </c>
      <c r="K657" s="238">
        <f t="shared" si="52"/>
        <v>3348660</v>
      </c>
      <c r="L657" s="14" t="s">
        <v>153</v>
      </c>
      <c r="M657" s="292" t="s">
        <v>147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/>
      </c>
      <c r="Z657" s="121"/>
    </row>
    <row r="658" spans="1:26" ht="15.75" customHeight="1">
      <c r="A658" s="125" t="str">
        <f>IF(B658&lt;&gt;"",IF(AND(B658&gt;=_TM1,B658&lt;=_TM2,OR(TH!L658="1111",TH!M658="1111")),TH!D658,""),"")</f>
        <v/>
      </c>
      <c r="B658" s="11">
        <f t="shared" si="47"/>
        <v>6</v>
      </c>
      <c r="C658" s="115">
        <f t="shared" si="51"/>
        <v>40714</v>
      </c>
      <c r="D658" s="288" t="s">
        <v>1052</v>
      </c>
      <c r="E658" s="115">
        <v>40714</v>
      </c>
      <c r="F658" s="15" t="s">
        <v>573</v>
      </c>
      <c r="G658" s="224"/>
      <c r="H658" s="242" t="s">
        <v>1037</v>
      </c>
      <c r="I658" s="141">
        <v>56</v>
      </c>
      <c r="J658" s="141">
        <v>15946</v>
      </c>
      <c r="K658" s="238">
        <f t="shared" si="52"/>
        <v>892976</v>
      </c>
      <c r="L658" s="14" t="s">
        <v>153</v>
      </c>
      <c r="M658" s="292" t="s">
        <v>147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/>
      </c>
      <c r="Z658" s="121"/>
    </row>
    <row r="659" spans="1:26" ht="15.75" customHeight="1">
      <c r="A659" s="125" t="str">
        <f>IF(B659&lt;&gt;"",IF(AND(B659&gt;=_TM1,B659&lt;=_TM2,OR(TH!L659="1111",TH!M659="1111")),TH!D659,""),"")</f>
        <v/>
      </c>
      <c r="B659" s="11">
        <f t="shared" si="47"/>
        <v>6</v>
      </c>
      <c r="C659" s="115">
        <f t="shared" si="51"/>
        <v>40714</v>
      </c>
      <c r="D659" s="288" t="s">
        <v>1052</v>
      </c>
      <c r="E659" s="115">
        <v>40714</v>
      </c>
      <c r="F659" s="15" t="s">
        <v>534</v>
      </c>
      <c r="G659" s="224"/>
      <c r="H659" s="242" t="s">
        <v>1037</v>
      </c>
      <c r="I659" s="141">
        <v>20</v>
      </c>
      <c r="J659" s="141">
        <v>24005</v>
      </c>
      <c r="K659" s="238">
        <f t="shared" si="52"/>
        <v>480100</v>
      </c>
      <c r="L659" s="14" t="s">
        <v>153</v>
      </c>
      <c r="M659" s="292" t="s">
        <v>147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/>
      </c>
      <c r="Z659" s="121"/>
    </row>
    <row r="660" spans="1:26" ht="15.75" customHeight="1">
      <c r="A660" s="125" t="str">
        <f>IF(B660&lt;&gt;"",IF(AND(B660&gt;=_TM1,B660&lt;=_TM2,OR(TH!L660="1111",TH!M660="1111")),TH!D660,""),"")</f>
        <v/>
      </c>
      <c r="B660" s="11">
        <f t="shared" si="47"/>
        <v>6</v>
      </c>
      <c r="C660" s="115">
        <f t="shared" si="51"/>
        <v>40714</v>
      </c>
      <c r="D660" s="288" t="s">
        <v>1052</v>
      </c>
      <c r="E660" s="115">
        <v>40714</v>
      </c>
      <c r="F660" s="114" t="s">
        <v>612</v>
      </c>
      <c r="G660" s="224"/>
      <c r="H660" s="242" t="s">
        <v>1037</v>
      </c>
      <c r="I660" s="141">
        <v>2</v>
      </c>
      <c r="J660" s="141">
        <v>7207</v>
      </c>
      <c r="K660" s="238">
        <f t="shared" si="52"/>
        <v>14414</v>
      </c>
      <c r="L660" s="14" t="s">
        <v>153</v>
      </c>
      <c r="M660" s="292" t="s">
        <v>147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/>
      </c>
      <c r="Z660" s="121"/>
    </row>
    <row r="661" spans="1:26" ht="15.75" customHeight="1">
      <c r="A661" s="125" t="str">
        <f>IF(B661&lt;&gt;"",IF(AND(B661&gt;=_TM1,B661&lt;=_TM2,OR(TH!L661="1111",TH!M661="1111")),TH!D661,""),"")</f>
        <v/>
      </c>
      <c r="B661" s="11">
        <f t="shared" si="47"/>
        <v>6</v>
      </c>
      <c r="C661" s="110">
        <f t="shared" si="51"/>
        <v>40715</v>
      </c>
      <c r="D661" s="110" t="s">
        <v>311</v>
      </c>
      <c r="E661" s="110">
        <v>40715</v>
      </c>
      <c r="F661" s="114" t="s">
        <v>313</v>
      </c>
      <c r="G661" s="240" t="s">
        <v>307</v>
      </c>
      <c r="H661" s="4"/>
      <c r="I661" s="141"/>
      <c r="J661" s="141"/>
      <c r="K661" s="238">
        <v>10000</v>
      </c>
      <c r="L661" s="239" t="s">
        <v>73</v>
      </c>
      <c r="M661" s="239" t="s">
        <v>23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>x</v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>x</v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/>
      </c>
      <c r="Z661" s="235"/>
    </row>
    <row r="662" spans="1:26" ht="15.75" customHeight="1">
      <c r="A662" s="125" t="str">
        <f>IF(B662&lt;&gt;"",IF(AND(B662&gt;=_TM1,B662&lt;=_TM2,OR(TH!L662="1111",TH!M662="1111")),TH!D662,""),"")</f>
        <v/>
      </c>
      <c r="B662" s="11">
        <f t="shared" ref="B662:B725" si="53">IF(C662&lt;&gt;"",MONTH(C662),"")</f>
        <v>6</v>
      </c>
      <c r="C662" s="115">
        <f t="shared" si="51"/>
        <v>40717</v>
      </c>
      <c r="D662" s="110" t="s">
        <v>695</v>
      </c>
      <c r="E662" s="115">
        <v>40717</v>
      </c>
      <c r="F662" s="116" t="s">
        <v>572</v>
      </c>
      <c r="G662" s="224" t="s">
        <v>571</v>
      </c>
      <c r="H662" s="117" t="s">
        <v>536</v>
      </c>
      <c r="I662" s="141">
        <v>393</v>
      </c>
      <c r="J662" s="141">
        <v>16660</v>
      </c>
      <c r="K662" s="238">
        <f t="shared" ref="K662:K669" si="54">ROUND(I662*J662,0)</f>
        <v>6547380</v>
      </c>
      <c r="L662" s="118" t="s">
        <v>147</v>
      </c>
      <c r="M662" s="118" t="s">
        <v>8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/>
      </c>
      <c r="Z662" s="132">
        <v>7</v>
      </c>
    </row>
    <row r="663" spans="1:26" ht="15.75" customHeight="1">
      <c r="A663" s="125" t="str">
        <f>IF(B663&lt;&gt;"",IF(AND(B663&gt;=_TM1,B663&lt;=_TM2,OR(TH!L663="1111",TH!M663="1111")),TH!D663,""),"")</f>
        <v/>
      </c>
      <c r="B663" s="11">
        <f t="shared" si="53"/>
        <v>6</v>
      </c>
      <c r="C663" s="115">
        <f t="shared" si="51"/>
        <v>40717</v>
      </c>
      <c r="D663" s="110" t="s">
        <v>695</v>
      </c>
      <c r="E663" s="115">
        <v>40717</v>
      </c>
      <c r="F663" s="116" t="s">
        <v>573</v>
      </c>
      <c r="G663" s="224" t="s">
        <v>571</v>
      </c>
      <c r="H663" s="117" t="s">
        <v>536</v>
      </c>
      <c r="I663" s="143">
        <v>370</v>
      </c>
      <c r="J663" s="143">
        <v>15946</v>
      </c>
      <c r="K663" s="238">
        <f t="shared" si="54"/>
        <v>5900020</v>
      </c>
      <c r="L663" s="118" t="s">
        <v>147</v>
      </c>
      <c r="M663" s="118" t="s">
        <v>8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/>
      </c>
      <c r="Z663" s="132">
        <v>7</v>
      </c>
    </row>
    <row r="664" spans="1:26" ht="15.75" customHeight="1">
      <c r="A664" s="125" t="str">
        <f>IF(B664&lt;&gt;"",IF(AND(B664&gt;=_TM1,B664&lt;=_TM2,OR(TH!L664="1111",TH!M664="1111")),TH!D664,""),"")</f>
        <v/>
      </c>
      <c r="B664" s="11">
        <f t="shared" si="53"/>
        <v>6</v>
      </c>
      <c r="C664" s="115">
        <f t="shared" si="51"/>
        <v>40717</v>
      </c>
      <c r="D664" s="110" t="s">
        <v>695</v>
      </c>
      <c r="E664" s="115">
        <v>40717</v>
      </c>
      <c r="F664" s="116" t="s">
        <v>574</v>
      </c>
      <c r="G664" s="224" t="s">
        <v>571</v>
      </c>
      <c r="H664" s="117" t="s">
        <v>536</v>
      </c>
      <c r="I664" s="141">
        <v>180</v>
      </c>
      <c r="J664" s="141">
        <v>25942</v>
      </c>
      <c r="K664" s="238">
        <f t="shared" si="54"/>
        <v>4669560</v>
      </c>
      <c r="L664" s="118" t="s">
        <v>147</v>
      </c>
      <c r="M664" s="118" t="s">
        <v>8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/>
      </c>
      <c r="Z664" s="132">
        <v>7</v>
      </c>
    </row>
    <row r="665" spans="1:26" ht="15.75" customHeight="1">
      <c r="A665" s="125" t="str">
        <f>IF(B665&lt;&gt;"",IF(AND(B665&gt;=_TM1,B665&lt;=_TM2,OR(TH!L665="1111",TH!M665="1111")),TH!D665,""),"")</f>
        <v/>
      </c>
      <c r="B665" s="11">
        <f t="shared" si="53"/>
        <v>6</v>
      </c>
      <c r="C665" s="115">
        <f t="shared" si="51"/>
        <v>40717</v>
      </c>
      <c r="D665" s="110" t="s">
        <v>695</v>
      </c>
      <c r="E665" s="115">
        <v>40717</v>
      </c>
      <c r="F665" s="116" t="s">
        <v>575</v>
      </c>
      <c r="G665" s="224" t="s">
        <v>571</v>
      </c>
      <c r="H665" s="117" t="s">
        <v>536</v>
      </c>
      <c r="I665" s="143">
        <v>412</v>
      </c>
      <c r="J665" s="143">
        <v>17374</v>
      </c>
      <c r="K665" s="238">
        <f t="shared" si="54"/>
        <v>7158088</v>
      </c>
      <c r="L665" s="118" t="s">
        <v>147</v>
      </c>
      <c r="M665" s="118" t="s">
        <v>8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/>
      </c>
      <c r="Z665" s="132">
        <v>7</v>
      </c>
    </row>
    <row r="666" spans="1:26" ht="15.75" customHeight="1">
      <c r="A666" s="125" t="str">
        <f>IF(B666&lt;&gt;"",IF(AND(B666&gt;=_TM1,B666&lt;=_TM2,OR(TH!L666="1111",TH!M666="1111")),TH!D666,""),"")</f>
        <v/>
      </c>
      <c r="B666" s="11">
        <f t="shared" si="53"/>
        <v>6</v>
      </c>
      <c r="C666" s="115">
        <f t="shared" si="51"/>
        <v>40717</v>
      </c>
      <c r="D666" s="110" t="s">
        <v>695</v>
      </c>
      <c r="E666" s="115">
        <v>40717</v>
      </c>
      <c r="F666" s="116" t="s">
        <v>576</v>
      </c>
      <c r="G666" s="224" t="s">
        <v>571</v>
      </c>
      <c r="H666" s="117" t="s">
        <v>536</v>
      </c>
      <c r="I666" s="141">
        <v>10</v>
      </c>
      <c r="J666" s="141">
        <v>26894</v>
      </c>
      <c r="K666" s="238">
        <f t="shared" si="54"/>
        <v>268940</v>
      </c>
      <c r="L666" s="118" t="s">
        <v>147</v>
      </c>
      <c r="M666" s="118" t="s">
        <v>8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/>
      </c>
      <c r="Z666" s="132">
        <v>7</v>
      </c>
    </row>
    <row r="667" spans="1:26" ht="15.75" customHeight="1">
      <c r="A667" s="125" t="str">
        <f>IF(B667&lt;&gt;"",IF(AND(B667&gt;=_TM1,B667&lt;=_TM2,OR(TH!L667="1111",TH!M667="1111")),TH!D667,""),"")</f>
        <v/>
      </c>
      <c r="B667" s="11">
        <f t="shared" si="53"/>
        <v>6</v>
      </c>
      <c r="C667" s="115">
        <f t="shared" si="51"/>
        <v>40717</v>
      </c>
      <c r="D667" s="110" t="s">
        <v>695</v>
      </c>
      <c r="E667" s="115">
        <v>40717</v>
      </c>
      <c r="F667" s="116" t="s">
        <v>577</v>
      </c>
      <c r="G667" s="224" t="s">
        <v>571</v>
      </c>
      <c r="H667" s="117" t="s">
        <v>536</v>
      </c>
      <c r="I667" s="143">
        <v>55</v>
      </c>
      <c r="J667" s="143">
        <v>24276</v>
      </c>
      <c r="K667" s="238">
        <f t="shared" si="54"/>
        <v>1335180</v>
      </c>
      <c r="L667" s="118" t="s">
        <v>147</v>
      </c>
      <c r="M667" s="118" t="s">
        <v>8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/>
      </c>
      <c r="Z667" s="132">
        <v>7</v>
      </c>
    </row>
    <row r="668" spans="1:26" ht="15.75" customHeight="1">
      <c r="A668" s="125" t="str">
        <f>IF(B668&lt;&gt;"",IF(AND(B668&gt;=_TM1,B668&lt;=_TM2,OR(TH!L668="1111",TH!M668="1111")),TH!D668,""),"")</f>
        <v/>
      </c>
      <c r="B668" s="11">
        <f t="shared" si="53"/>
        <v>6</v>
      </c>
      <c r="C668" s="115">
        <f t="shared" si="51"/>
        <v>40717</v>
      </c>
      <c r="D668" s="110" t="s">
        <v>695</v>
      </c>
      <c r="E668" s="115">
        <v>40717</v>
      </c>
      <c r="F668" s="116" t="s">
        <v>578</v>
      </c>
      <c r="G668" s="224" t="s">
        <v>571</v>
      </c>
      <c r="H668" s="117" t="s">
        <v>536</v>
      </c>
      <c r="I668" s="141">
        <v>14</v>
      </c>
      <c r="J668" s="141">
        <v>16303</v>
      </c>
      <c r="K668" s="238">
        <f t="shared" si="54"/>
        <v>228242</v>
      </c>
      <c r="L668" s="118" t="s">
        <v>147</v>
      </c>
      <c r="M668" s="118" t="s">
        <v>8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/>
      </c>
      <c r="Z668" s="132">
        <v>7</v>
      </c>
    </row>
    <row r="669" spans="1:26" ht="15.75" customHeight="1">
      <c r="A669" s="125" t="str">
        <f>IF(B669&lt;&gt;"",IF(AND(B669&gt;=_TM1,B669&lt;=_TM2,OR(TH!L669="1111",TH!M669="1111")),TH!D669,""),"")</f>
        <v/>
      </c>
      <c r="B669" s="11">
        <f t="shared" si="53"/>
        <v>6</v>
      </c>
      <c r="C669" s="115">
        <f t="shared" si="51"/>
        <v>40717</v>
      </c>
      <c r="D669" s="110" t="s">
        <v>695</v>
      </c>
      <c r="E669" s="115">
        <v>40717</v>
      </c>
      <c r="F669" s="116" t="s">
        <v>579</v>
      </c>
      <c r="G669" s="224" t="s">
        <v>571</v>
      </c>
      <c r="H669" s="117" t="s">
        <v>536</v>
      </c>
      <c r="I669" s="143">
        <v>12</v>
      </c>
      <c r="J669" s="143">
        <v>13090</v>
      </c>
      <c r="K669" s="238">
        <f t="shared" si="54"/>
        <v>157080</v>
      </c>
      <c r="L669" s="118" t="s">
        <v>147</v>
      </c>
      <c r="M669" s="118" t="s">
        <v>8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/>
      </c>
      <c r="Z669" s="132">
        <v>7</v>
      </c>
    </row>
    <row r="670" spans="1:26" ht="15.75" customHeight="1">
      <c r="A670" s="125" t="str">
        <f>IF(B670&lt;&gt;"",IF(AND(B670&gt;=_TM1,B670&lt;=_TM2,OR(TH!L670="1111",TH!M670="1111")),TH!D670,""),"")</f>
        <v/>
      </c>
      <c r="B670" s="11">
        <f t="shared" si="53"/>
        <v>6</v>
      </c>
      <c r="C670" s="115">
        <f t="shared" si="51"/>
        <v>40717</v>
      </c>
      <c r="D670" s="110" t="s">
        <v>695</v>
      </c>
      <c r="E670" s="115">
        <v>40717</v>
      </c>
      <c r="F670" s="116" t="s">
        <v>537</v>
      </c>
      <c r="G670" s="224" t="s">
        <v>571</v>
      </c>
      <c r="H670" s="117" t="s">
        <v>536</v>
      </c>
      <c r="I670" s="141"/>
      <c r="J670" s="141"/>
      <c r="K670" s="13">
        <v>2626449</v>
      </c>
      <c r="L670" s="118" t="s">
        <v>9</v>
      </c>
      <c r="M670" s="118" t="s">
        <v>8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/>
      </c>
      <c r="Z670" s="132">
        <v>7</v>
      </c>
    </row>
    <row r="671" spans="1:26" ht="15.75" customHeight="1">
      <c r="A671" s="125" t="str">
        <f>IF(B671&lt;&gt;"",IF(AND(B671&gt;=_TM1,B671&lt;=_TM2,OR(TH!L671="1111",TH!M671="1111")),TH!D671,""),"")</f>
        <v/>
      </c>
      <c r="B671" s="11">
        <f t="shared" si="53"/>
        <v>6</v>
      </c>
      <c r="C671" s="115">
        <f t="shared" si="51"/>
        <v>40717</v>
      </c>
      <c r="D671" s="288" t="s">
        <v>1053</v>
      </c>
      <c r="E671" s="115">
        <v>40717</v>
      </c>
      <c r="F671" s="114" t="s">
        <v>554</v>
      </c>
      <c r="G671" s="224"/>
      <c r="H671" s="242" t="s">
        <v>1037</v>
      </c>
      <c r="I671" s="141">
        <v>210</v>
      </c>
      <c r="J671" s="141">
        <v>21481</v>
      </c>
      <c r="K671" s="238">
        <f t="shared" ref="K671:K679" si="55">ROUND(I671*J671,0)</f>
        <v>4511010</v>
      </c>
      <c r="L671" s="14" t="s">
        <v>153</v>
      </c>
      <c r="M671" s="292" t="s">
        <v>147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/>
      </c>
      <c r="Z671" s="121"/>
    </row>
    <row r="672" spans="1:26" ht="15.75" customHeight="1">
      <c r="A672" s="125" t="str">
        <f>IF(B672&lt;&gt;"",IF(AND(B672&gt;=_TM1,B672&lt;=_TM2,OR(TH!L672="1111",TH!M672="1111")),TH!D672,""),"")</f>
        <v/>
      </c>
      <c r="B672" s="11">
        <f t="shared" si="53"/>
        <v>6</v>
      </c>
      <c r="C672" s="115">
        <f t="shared" si="51"/>
        <v>40717</v>
      </c>
      <c r="D672" s="288" t="s">
        <v>1053</v>
      </c>
      <c r="E672" s="115">
        <v>40717</v>
      </c>
      <c r="F672" s="114" t="s">
        <v>539</v>
      </c>
      <c r="G672" s="224"/>
      <c r="H672" s="242" t="s">
        <v>1037</v>
      </c>
      <c r="I672" s="141">
        <v>102</v>
      </c>
      <c r="J672" s="141">
        <v>18390</v>
      </c>
      <c r="K672" s="238">
        <f t="shared" si="55"/>
        <v>1875780</v>
      </c>
      <c r="L672" s="14" t="s">
        <v>153</v>
      </c>
      <c r="M672" s="292" t="s">
        <v>147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/>
      </c>
      <c r="Z672" s="121"/>
    </row>
    <row r="673" spans="1:26" ht="15.75" customHeight="1">
      <c r="A673" s="125" t="str">
        <f>IF(B673&lt;&gt;"",IF(AND(B673&gt;=_TM1,B673&lt;=_TM2,OR(TH!L673="1111",TH!M673="1111")),TH!D673,""),"")</f>
        <v/>
      </c>
      <c r="B673" s="11">
        <f t="shared" si="53"/>
        <v>6</v>
      </c>
      <c r="C673" s="115">
        <f t="shared" si="51"/>
        <v>40717</v>
      </c>
      <c r="D673" s="288" t="s">
        <v>1053</v>
      </c>
      <c r="E673" s="115">
        <v>40717</v>
      </c>
      <c r="F673" s="114" t="s">
        <v>467</v>
      </c>
      <c r="G673" s="224"/>
      <c r="H673" s="242" t="s">
        <v>1037</v>
      </c>
      <c r="I673" s="141">
        <v>9</v>
      </c>
      <c r="J673" s="141">
        <v>17427</v>
      </c>
      <c r="K673" s="238">
        <f t="shared" si="55"/>
        <v>156843</v>
      </c>
      <c r="L673" s="14" t="s">
        <v>153</v>
      </c>
      <c r="M673" s="292" t="s">
        <v>147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/>
      </c>
      <c r="Z673" s="121"/>
    </row>
    <row r="674" spans="1:26" ht="15.75" customHeight="1">
      <c r="A674" s="125" t="str">
        <f>IF(B674&lt;&gt;"",IF(AND(B674&gt;=_TM1,B674&lt;=_TM2,OR(TH!L674="1111",TH!M674="1111")),TH!D674,""),"")</f>
        <v/>
      </c>
      <c r="B674" s="11">
        <f t="shared" si="53"/>
        <v>6</v>
      </c>
      <c r="C674" s="115">
        <f t="shared" si="51"/>
        <v>40717</v>
      </c>
      <c r="D674" s="288" t="s">
        <v>1053</v>
      </c>
      <c r="E674" s="115">
        <v>40717</v>
      </c>
      <c r="F674" s="154" t="s">
        <v>358</v>
      </c>
      <c r="G674" s="224"/>
      <c r="H674" s="242" t="s">
        <v>1037</v>
      </c>
      <c r="I674" s="141">
        <v>1</v>
      </c>
      <c r="J674" s="141">
        <v>14079</v>
      </c>
      <c r="K674" s="238">
        <f t="shared" si="55"/>
        <v>14079</v>
      </c>
      <c r="L674" s="14" t="s">
        <v>153</v>
      </c>
      <c r="M674" s="292" t="s">
        <v>147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/>
      </c>
      <c r="Z674" s="121"/>
    </row>
    <row r="675" spans="1:26" ht="15.75" customHeight="1">
      <c r="A675" s="125" t="str">
        <f>IF(B675&lt;&gt;"",IF(AND(B675&gt;=_TM1,B675&lt;=_TM2,OR(TH!L675="1111",TH!M675="1111")),TH!D675,""),"")</f>
        <v/>
      </c>
      <c r="B675" s="11">
        <f t="shared" si="53"/>
        <v>6</v>
      </c>
      <c r="C675" s="115">
        <f t="shared" si="51"/>
        <v>40717</v>
      </c>
      <c r="D675" s="288" t="s">
        <v>1053</v>
      </c>
      <c r="E675" s="115">
        <v>40717</v>
      </c>
      <c r="F675" s="114" t="s">
        <v>560</v>
      </c>
      <c r="G675" s="224"/>
      <c r="H675" s="242" t="s">
        <v>1037</v>
      </c>
      <c r="I675" s="141">
        <v>1.5</v>
      </c>
      <c r="J675" s="141">
        <v>35566</v>
      </c>
      <c r="K675" s="238">
        <f t="shared" si="55"/>
        <v>53349</v>
      </c>
      <c r="L675" s="14" t="s">
        <v>153</v>
      </c>
      <c r="M675" s="292" t="s">
        <v>147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/>
      </c>
      <c r="Z675" s="121"/>
    </row>
    <row r="676" spans="1:26" ht="15.75" customHeight="1">
      <c r="A676" s="125" t="str">
        <f>IF(B676&lt;&gt;"",IF(AND(B676&gt;=_TM1,B676&lt;=_TM2,OR(TH!L676="1111",TH!M676="1111")),TH!D676,""),"")</f>
        <v/>
      </c>
      <c r="B676" s="11">
        <f t="shared" si="53"/>
        <v>6</v>
      </c>
      <c r="C676" s="115">
        <f t="shared" si="51"/>
        <v>40717</v>
      </c>
      <c r="D676" s="288" t="s">
        <v>1053</v>
      </c>
      <c r="E676" s="115">
        <v>40717</v>
      </c>
      <c r="F676" s="15" t="s">
        <v>534</v>
      </c>
      <c r="G676" s="224"/>
      <c r="H676" s="242" t="s">
        <v>1037</v>
      </c>
      <c r="I676" s="141">
        <v>5.5</v>
      </c>
      <c r="J676" s="141">
        <v>24005</v>
      </c>
      <c r="K676" s="238">
        <f t="shared" si="55"/>
        <v>132028</v>
      </c>
      <c r="L676" s="14" t="s">
        <v>153</v>
      </c>
      <c r="M676" s="292" t="s">
        <v>147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/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/>
      </c>
      <c r="Z676" s="121"/>
    </row>
    <row r="677" spans="1:26" ht="15.75" customHeight="1">
      <c r="A677" s="125" t="str">
        <f>IF(B677&lt;&gt;"",IF(AND(B677&gt;=_TM1,B677&lt;=_TM2,OR(TH!L677="1111",TH!M677="1111")),TH!D677,""),"")</f>
        <v/>
      </c>
      <c r="B677" s="11">
        <f t="shared" si="53"/>
        <v>6</v>
      </c>
      <c r="C677" s="115">
        <f t="shared" si="51"/>
        <v>40717</v>
      </c>
      <c r="D677" s="288" t="s">
        <v>1053</v>
      </c>
      <c r="E677" s="115">
        <v>40717</v>
      </c>
      <c r="F677" s="114" t="s">
        <v>612</v>
      </c>
      <c r="G677" s="224"/>
      <c r="H677" s="242" t="s">
        <v>1037</v>
      </c>
      <c r="I677" s="141">
        <v>26</v>
      </c>
      <c r="J677" s="141">
        <v>7207</v>
      </c>
      <c r="K677" s="238">
        <f t="shared" si="55"/>
        <v>187382</v>
      </c>
      <c r="L677" s="14" t="s">
        <v>153</v>
      </c>
      <c r="M677" s="292" t="s">
        <v>147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/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/>
      </c>
      <c r="Z677" s="121"/>
    </row>
    <row r="678" spans="1:26" ht="15.75" customHeight="1">
      <c r="A678" s="125" t="str">
        <f>IF(B678&lt;&gt;"",IF(AND(B678&gt;=_TM1,B678&lt;=_TM2,OR(TH!L678="1111",TH!M678="1111")),TH!D678,""),"")</f>
        <v/>
      </c>
      <c r="B678" s="11">
        <f t="shared" si="53"/>
        <v>6</v>
      </c>
      <c r="C678" s="115">
        <f t="shared" si="51"/>
        <v>40717</v>
      </c>
      <c r="D678" s="288" t="s">
        <v>1053</v>
      </c>
      <c r="E678" s="115">
        <v>40717</v>
      </c>
      <c r="F678" s="15" t="s">
        <v>572</v>
      </c>
      <c r="G678" s="224"/>
      <c r="H678" s="242" t="s">
        <v>1037</v>
      </c>
      <c r="I678" s="141">
        <v>20</v>
      </c>
      <c r="J678" s="141">
        <v>16660</v>
      </c>
      <c r="K678" s="238">
        <f t="shared" si="55"/>
        <v>333200</v>
      </c>
      <c r="L678" s="14" t="s">
        <v>153</v>
      </c>
      <c r="M678" s="292" t="s">
        <v>147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/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/>
      </c>
      <c r="Z678" s="121"/>
    </row>
    <row r="679" spans="1:26" ht="15.75" customHeight="1">
      <c r="A679" s="125" t="str">
        <f>IF(B679&lt;&gt;"",IF(AND(B679&gt;=_TM1,B679&lt;=_TM2,OR(TH!L679="1111",TH!M679="1111")),TH!D679,""),"")</f>
        <v/>
      </c>
      <c r="B679" s="11">
        <f t="shared" si="53"/>
        <v>6</v>
      </c>
      <c r="C679" s="115">
        <f t="shared" si="51"/>
        <v>40717</v>
      </c>
      <c r="D679" s="288" t="s">
        <v>1053</v>
      </c>
      <c r="E679" s="115">
        <v>40717</v>
      </c>
      <c r="F679" s="15" t="s">
        <v>568</v>
      </c>
      <c r="G679" s="224"/>
      <c r="H679" s="242" t="s">
        <v>1037</v>
      </c>
      <c r="I679" s="141">
        <v>32</v>
      </c>
      <c r="J679" s="141">
        <v>35301</v>
      </c>
      <c r="K679" s="238">
        <f t="shared" si="55"/>
        <v>1129632</v>
      </c>
      <c r="L679" s="14" t="s">
        <v>153</v>
      </c>
      <c r="M679" s="292" t="s">
        <v>147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/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/>
      </c>
      <c r="Z679" s="121"/>
    </row>
    <row r="680" spans="1:26" ht="15.75" customHeight="1">
      <c r="A680" s="125" t="str">
        <f>IF(B680&lt;&gt;"",IF(AND(B680&gt;=_TM1,B680&lt;=_TM2,OR(TH!L680="1111",TH!M680="1111")),TH!D680,""),"")</f>
        <v/>
      </c>
      <c r="B680" s="11">
        <f t="shared" si="53"/>
        <v>6</v>
      </c>
      <c r="C680" s="115">
        <f t="shared" si="51"/>
        <v>40718</v>
      </c>
      <c r="D680" s="110" t="s">
        <v>1032</v>
      </c>
      <c r="E680" s="115">
        <v>40718</v>
      </c>
      <c r="F680" s="114" t="s">
        <v>1025</v>
      </c>
      <c r="G680" s="224" t="s">
        <v>562</v>
      </c>
      <c r="H680" s="4" t="s">
        <v>476</v>
      </c>
      <c r="I680" s="141"/>
      <c r="J680" s="141"/>
      <c r="K680" s="13">
        <v>9146239</v>
      </c>
      <c r="L680" s="118" t="s">
        <v>8</v>
      </c>
      <c r="M680" s="118" t="s">
        <v>44</v>
      </c>
      <c r="N680" s="25" t="str">
        <f>IF(AND('331-CT'!$E$7=TH!H680,OR(L680="331",M680="331")),"331",IF(AND(OR(L680="131",M680="131"),H680='131-CT'!$E$7),"131",""))</f>
        <v>331</v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>x</v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/>
      </c>
      <c r="Z680" s="235"/>
    </row>
    <row r="681" spans="1:26" ht="15.75" customHeight="1">
      <c r="A681" s="125" t="str">
        <f>IF(B681&lt;&gt;"",IF(AND(B681&gt;=_TM1,B681&lt;=_TM2,OR(TH!L681="1111",TH!M681="1111")),TH!D681,""),"")</f>
        <v/>
      </c>
      <c r="B681" s="11">
        <f t="shared" si="53"/>
        <v>6</v>
      </c>
      <c r="C681" s="115">
        <f t="shared" si="51"/>
        <v>40718</v>
      </c>
      <c r="D681" s="110" t="s">
        <v>696</v>
      </c>
      <c r="E681" s="115">
        <v>40718</v>
      </c>
      <c r="F681" s="114" t="s">
        <v>559</v>
      </c>
      <c r="G681" s="224" t="s">
        <v>562</v>
      </c>
      <c r="H681" s="4" t="s">
        <v>476</v>
      </c>
      <c r="I681" s="141">
        <v>125</v>
      </c>
      <c r="J681" s="141">
        <v>19639</v>
      </c>
      <c r="K681" s="238">
        <f>ROUND(I681*J681,0)</f>
        <v>2454875</v>
      </c>
      <c r="L681" s="118" t="s">
        <v>147</v>
      </c>
      <c r="M681" s="118" t="s">
        <v>8</v>
      </c>
      <c r="N681" s="25" t="str">
        <f>IF(AND('331-CT'!$E$7=TH!H681,OR(L681="331",M681="331")),"331",IF(AND(OR(L681="131",M681="131"),H681='131-CT'!$E$7),"131",""))</f>
        <v>331</v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/>
      </c>
      <c r="Z681" s="235">
        <v>6</v>
      </c>
    </row>
    <row r="682" spans="1:26" ht="15.75" customHeight="1">
      <c r="A682" s="125" t="str">
        <f>IF(B682&lt;&gt;"",IF(AND(B682&gt;=_TM1,B682&lt;=_TM2,OR(TH!L682="1111",TH!M682="1111")),TH!D682,""),"")</f>
        <v/>
      </c>
      <c r="B682" s="11">
        <f t="shared" si="53"/>
        <v>6</v>
      </c>
      <c r="C682" s="115">
        <f t="shared" si="51"/>
        <v>40718</v>
      </c>
      <c r="D682" s="110" t="s">
        <v>696</v>
      </c>
      <c r="E682" s="115">
        <v>40718</v>
      </c>
      <c r="F682" s="114" t="s">
        <v>560</v>
      </c>
      <c r="G682" s="224" t="s">
        <v>562</v>
      </c>
      <c r="H682" s="4" t="s">
        <v>476</v>
      </c>
      <c r="I682" s="141">
        <v>128</v>
      </c>
      <c r="J682" s="141">
        <v>35566</v>
      </c>
      <c r="K682" s="238">
        <f>ROUND(I682*J682,0)</f>
        <v>4552448</v>
      </c>
      <c r="L682" s="118" t="s">
        <v>147</v>
      </c>
      <c r="M682" s="118" t="s">
        <v>8</v>
      </c>
      <c r="N682" s="25" t="str">
        <f>IF(AND('331-CT'!$E$7=TH!H682,OR(L682="331",M682="331")),"331",IF(AND(OR(L682="131",M682="131"),H682='131-CT'!$E$7),"131",""))</f>
        <v>331</v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/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/>
      </c>
      <c r="Z682" s="235">
        <v>6</v>
      </c>
    </row>
    <row r="683" spans="1:26" ht="15.75" customHeight="1">
      <c r="A683" s="125" t="str">
        <f>IF(B683&lt;&gt;"",IF(AND(B683&gt;=_TM1,B683&lt;=_TM2,OR(TH!L683="1111",TH!M683="1111")),TH!D683,""),"")</f>
        <v/>
      </c>
      <c r="B683" s="11">
        <f t="shared" si="53"/>
        <v>6</v>
      </c>
      <c r="C683" s="115">
        <f t="shared" si="51"/>
        <v>40718</v>
      </c>
      <c r="D683" s="110" t="s">
        <v>696</v>
      </c>
      <c r="E683" s="115">
        <v>40718</v>
      </c>
      <c r="F683" s="114" t="s">
        <v>561</v>
      </c>
      <c r="G683" s="224" t="s">
        <v>562</v>
      </c>
      <c r="H683" s="4" t="s">
        <v>476</v>
      </c>
      <c r="I683" s="141">
        <v>40</v>
      </c>
      <c r="J683" s="141">
        <v>32686</v>
      </c>
      <c r="K683" s="238">
        <f>ROUND(I683*J683,0)</f>
        <v>1307440</v>
      </c>
      <c r="L683" s="118" t="s">
        <v>147</v>
      </c>
      <c r="M683" s="118" t="s">
        <v>8</v>
      </c>
      <c r="N683" s="25" t="str">
        <f>IF(AND('331-CT'!$E$7=TH!H683,OR(L683="331",M683="331")),"331",IF(AND(OR(L683="131",M683="131"),H683='131-CT'!$E$7),"131",""))</f>
        <v>331</v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/>
      </c>
      <c r="Z683" s="235">
        <v>6</v>
      </c>
    </row>
    <row r="684" spans="1:26" ht="15.75" customHeight="1">
      <c r="A684" s="125" t="str">
        <f>IF(B684&lt;&gt;"",IF(AND(B684&gt;=_TM1,B684&lt;=_TM2,OR(TH!L684="1111",TH!M684="1111")),TH!D684,""),"")</f>
        <v/>
      </c>
      <c r="B684" s="11">
        <f t="shared" si="53"/>
        <v>6</v>
      </c>
      <c r="C684" s="115">
        <f t="shared" si="51"/>
        <v>40718</v>
      </c>
      <c r="D684" s="110" t="s">
        <v>696</v>
      </c>
      <c r="E684" s="115">
        <v>40718</v>
      </c>
      <c r="F684" s="114" t="s">
        <v>357</v>
      </c>
      <c r="G684" s="224" t="s">
        <v>562</v>
      </c>
      <c r="H684" s="4" t="s">
        <v>476</v>
      </c>
      <c r="I684" s="141"/>
      <c r="J684" s="141"/>
      <c r="K684" s="13">
        <v>831476</v>
      </c>
      <c r="L684" s="118" t="s">
        <v>9</v>
      </c>
      <c r="M684" s="118" t="s">
        <v>8</v>
      </c>
      <c r="N684" s="25" t="str">
        <f>IF(AND('331-CT'!$E$7=TH!H684,OR(L684="331",M684="331")),"331",IF(AND(OR(L684="131",M684="131"),H684='131-CT'!$E$7),"131",""))</f>
        <v>331</v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/>
      </c>
      <c r="Z684" s="235">
        <v>6</v>
      </c>
    </row>
    <row r="685" spans="1:26" ht="15.75" customHeight="1">
      <c r="A685" s="125" t="str">
        <f>IF(B685&lt;&gt;"",IF(AND(B685&gt;=_TM1,B685&lt;=_TM2,OR(TH!L685="1111",TH!M685="1111")),TH!D685,""),"")</f>
        <v/>
      </c>
      <c r="B685" s="11">
        <f t="shared" si="53"/>
        <v>6</v>
      </c>
      <c r="C685" s="115">
        <f t="shared" si="51"/>
        <v>40718</v>
      </c>
      <c r="D685" s="110" t="s">
        <v>697</v>
      </c>
      <c r="E685" s="115">
        <v>40718</v>
      </c>
      <c r="F685" s="114" t="s">
        <v>605</v>
      </c>
      <c r="G685" s="224" t="s">
        <v>610</v>
      </c>
      <c r="H685" s="4" t="s">
        <v>525</v>
      </c>
      <c r="I685" s="315">
        <v>194</v>
      </c>
      <c r="J685" s="141">
        <v>32985</v>
      </c>
      <c r="K685" s="238">
        <f>ROUND(I685*J685,0)</f>
        <v>6399090</v>
      </c>
      <c r="L685" s="118" t="s">
        <v>147</v>
      </c>
      <c r="M685" s="118" t="s">
        <v>8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/>
      </c>
      <c r="Z685" s="132">
        <v>7</v>
      </c>
    </row>
    <row r="686" spans="1:26" ht="15.75" customHeight="1">
      <c r="A686" s="125" t="str">
        <f>IF(B686&lt;&gt;"",IF(AND(B686&gt;=_TM1,B686&lt;=_TM2,OR(TH!L686="1111",TH!M686="1111")),TH!D686,""),"")</f>
        <v/>
      </c>
      <c r="B686" s="11">
        <f t="shared" si="53"/>
        <v>6</v>
      </c>
      <c r="C686" s="115">
        <f t="shared" si="51"/>
        <v>40718</v>
      </c>
      <c r="D686" s="110" t="s">
        <v>697</v>
      </c>
      <c r="E686" s="115">
        <v>40718</v>
      </c>
      <c r="F686" s="114" t="s">
        <v>606</v>
      </c>
      <c r="G686" s="224" t="s">
        <v>610</v>
      </c>
      <c r="H686" s="4" t="s">
        <v>525</v>
      </c>
      <c r="I686" s="143">
        <v>94</v>
      </c>
      <c r="J686" s="143">
        <v>27175</v>
      </c>
      <c r="K686" s="238">
        <f>ROUND(I686*J686,0)</f>
        <v>2554450</v>
      </c>
      <c r="L686" s="118" t="s">
        <v>147</v>
      </c>
      <c r="M686" s="118" t="s">
        <v>8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/>
      </c>
      <c r="Z686" s="132">
        <v>7</v>
      </c>
    </row>
    <row r="687" spans="1:26" ht="15.75" customHeight="1">
      <c r="A687" s="125" t="str">
        <f>IF(B687&lt;&gt;"",IF(AND(B687&gt;=_TM1,B687&lt;=_TM2,OR(TH!L687="1111",TH!M687="1111")),TH!D687,""),"")</f>
        <v/>
      </c>
      <c r="B687" s="11">
        <f t="shared" si="53"/>
        <v>6</v>
      </c>
      <c r="C687" s="115">
        <f t="shared" si="51"/>
        <v>40718</v>
      </c>
      <c r="D687" s="110" t="s">
        <v>697</v>
      </c>
      <c r="E687" s="115">
        <v>40718</v>
      </c>
      <c r="F687" s="114" t="s">
        <v>607</v>
      </c>
      <c r="G687" s="224" t="s">
        <v>610</v>
      </c>
      <c r="H687" s="4" t="s">
        <v>525</v>
      </c>
      <c r="I687" s="141">
        <v>260</v>
      </c>
      <c r="J687" s="141">
        <v>9954</v>
      </c>
      <c r="K687" s="238">
        <f>ROUND(I687*J687,0)</f>
        <v>2588040</v>
      </c>
      <c r="L687" s="118" t="s">
        <v>147</v>
      </c>
      <c r="M687" s="118" t="s">
        <v>8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/>
      </c>
      <c r="Z687" s="132">
        <v>7</v>
      </c>
    </row>
    <row r="688" spans="1:26" ht="15.75" customHeight="1">
      <c r="A688" s="125" t="str">
        <f>IF(B688&lt;&gt;"",IF(AND(B688&gt;=_TM1,B688&lt;=_TM2,OR(TH!L688="1111",TH!M688="1111")),TH!D688,""),"")</f>
        <v/>
      </c>
      <c r="B688" s="11">
        <f t="shared" si="53"/>
        <v>6</v>
      </c>
      <c r="C688" s="115">
        <f t="shared" si="51"/>
        <v>40718</v>
      </c>
      <c r="D688" s="110" t="s">
        <v>697</v>
      </c>
      <c r="E688" s="115">
        <v>40718</v>
      </c>
      <c r="F688" s="114" t="s">
        <v>608</v>
      </c>
      <c r="G688" s="224" t="s">
        <v>610</v>
      </c>
      <c r="H688" s="4" t="s">
        <v>525</v>
      </c>
      <c r="I688" s="141">
        <v>2300</v>
      </c>
      <c r="J688" s="141">
        <v>21455</v>
      </c>
      <c r="K688" s="238">
        <f>ROUND(I688*J688,0)</f>
        <v>49346500</v>
      </c>
      <c r="L688" s="118" t="s">
        <v>147</v>
      </c>
      <c r="M688" s="118" t="s">
        <v>8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/>
      </c>
      <c r="Z688" s="132">
        <v>7</v>
      </c>
    </row>
    <row r="689" spans="1:26" ht="15.75" customHeight="1">
      <c r="A689" s="125" t="str">
        <f>IF(B689&lt;&gt;"",IF(AND(B689&gt;=_TM1,B689&lt;=_TM2,OR(TH!L689="1111",TH!M689="1111")),TH!D689,""),"")</f>
        <v/>
      </c>
      <c r="B689" s="11">
        <f t="shared" si="53"/>
        <v>6</v>
      </c>
      <c r="C689" s="115">
        <f t="shared" si="51"/>
        <v>40718</v>
      </c>
      <c r="D689" s="110" t="s">
        <v>697</v>
      </c>
      <c r="E689" s="115">
        <v>40718</v>
      </c>
      <c r="F689" s="114" t="s">
        <v>609</v>
      </c>
      <c r="G689" s="224" t="s">
        <v>610</v>
      </c>
      <c r="H689" s="4" t="s">
        <v>525</v>
      </c>
      <c r="I689" s="141">
        <v>260</v>
      </c>
      <c r="J689" s="141">
        <v>11385</v>
      </c>
      <c r="K689" s="238">
        <f>ROUND(I689*J689,0)</f>
        <v>2960100</v>
      </c>
      <c r="L689" s="118" t="s">
        <v>147</v>
      </c>
      <c r="M689" s="118" t="s">
        <v>8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/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/>
      </c>
      <c r="Z689" s="132">
        <v>7</v>
      </c>
    </row>
    <row r="690" spans="1:26" ht="15.75" customHeight="1">
      <c r="A690" s="125" t="str">
        <f>IF(B690&lt;&gt;"",IF(AND(B690&gt;=_TM1,B690&lt;=_TM2,OR(TH!L690="1111",TH!M690="1111")),TH!D690,""),"")</f>
        <v/>
      </c>
      <c r="B690" s="11">
        <f t="shared" si="53"/>
        <v>6</v>
      </c>
      <c r="C690" s="115">
        <f t="shared" si="51"/>
        <v>40718</v>
      </c>
      <c r="D690" s="110" t="s">
        <v>697</v>
      </c>
      <c r="E690" s="115">
        <v>40718</v>
      </c>
      <c r="F690" s="114" t="s">
        <v>357</v>
      </c>
      <c r="G690" s="224" t="s">
        <v>610</v>
      </c>
      <c r="H690" s="4" t="s">
        <v>525</v>
      </c>
      <c r="I690" s="141"/>
      <c r="J690" s="141"/>
      <c r="K690" s="13">
        <v>6384818</v>
      </c>
      <c r="L690" s="118" t="s">
        <v>9</v>
      </c>
      <c r="M690" s="118" t="s">
        <v>8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/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/>
      </c>
      <c r="Z690" s="132">
        <v>7</v>
      </c>
    </row>
    <row r="691" spans="1:26" ht="15.75" customHeight="1">
      <c r="A691" s="125" t="str">
        <f>IF(B691&lt;&gt;"",IF(AND(B691&gt;=_TM1,B691&lt;=_TM2,OR(TH!L691="1111",TH!M691="1111")),TH!D691,""),"")</f>
        <v/>
      </c>
      <c r="B691" s="11">
        <f t="shared" si="53"/>
        <v>6</v>
      </c>
      <c r="C691" s="110">
        <f t="shared" si="51"/>
        <v>40719</v>
      </c>
      <c r="D691" s="110" t="s">
        <v>310</v>
      </c>
      <c r="E691" s="110">
        <v>40719</v>
      </c>
      <c r="F691" s="114" t="s">
        <v>341</v>
      </c>
      <c r="G691" s="240" t="s">
        <v>307</v>
      </c>
      <c r="H691" s="117"/>
      <c r="I691" s="141"/>
      <c r="J691" s="141"/>
      <c r="K691" s="238">
        <v>82346</v>
      </c>
      <c r="L691" s="239" t="s">
        <v>23</v>
      </c>
      <c r="M691" s="239" t="s">
        <v>37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>x</v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/>
      </c>
      <c r="Z691" s="235"/>
    </row>
    <row r="692" spans="1:26" ht="15.75" customHeight="1">
      <c r="A692" s="125" t="str">
        <f>IF(B692&lt;&gt;"",IF(AND(B692&gt;=_TM1,B692&lt;=_TM2,OR(TH!L692="1111",TH!M692="1111")),TH!D692,""),"")</f>
        <v/>
      </c>
      <c r="B692" s="11">
        <f t="shared" si="53"/>
        <v>6</v>
      </c>
      <c r="C692" s="115">
        <f t="shared" si="51"/>
        <v>40719</v>
      </c>
      <c r="D692" s="110" t="s">
        <v>698</v>
      </c>
      <c r="E692" s="115">
        <v>40719</v>
      </c>
      <c r="F692" s="116" t="s">
        <v>572</v>
      </c>
      <c r="G692" s="224" t="s">
        <v>580</v>
      </c>
      <c r="H692" s="117" t="s">
        <v>536</v>
      </c>
      <c r="I692" s="143">
        <v>22</v>
      </c>
      <c r="J692" s="143">
        <v>16660</v>
      </c>
      <c r="K692" s="238">
        <f t="shared" ref="K692:K700" si="56">ROUND(I692*J692,0)</f>
        <v>366520</v>
      </c>
      <c r="L692" s="118" t="s">
        <v>147</v>
      </c>
      <c r="M692" s="118" t="s">
        <v>8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/>
      </c>
      <c r="Z692" s="132">
        <v>7</v>
      </c>
    </row>
    <row r="693" spans="1:26" ht="15.75" customHeight="1">
      <c r="A693" s="125" t="str">
        <f>IF(B693&lt;&gt;"",IF(AND(B693&gt;=_TM1,B693&lt;=_TM2,OR(TH!L693="1111",TH!M693="1111")),TH!D693,""),"")</f>
        <v/>
      </c>
      <c r="B693" s="11">
        <f t="shared" si="53"/>
        <v>6</v>
      </c>
      <c r="C693" s="115">
        <f t="shared" si="51"/>
        <v>40719</v>
      </c>
      <c r="D693" s="110" t="s">
        <v>698</v>
      </c>
      <c r="E693" s="115">
        <v>40719</v>
      </c>
      <c r="F693" s="116" t="s">
        <v>574</v>
      </c>
      <c r="G693" s="224" t="s">
        <v>580</v>
      </c>
      <c r="H693" s="117" t="s">
        <v>536</v>
      </c>
      <c r="I693" s="143">
        <v>22</v>
      </c>
      <c r="J693" s="143">
        <v>25942</v>
      </c>
      <c r="K693" s="238">
        <f t="shared" si="56"/>
        <v>570724</v>
      </c>
      <c r="L693" s="118" t="s">
        <v>147</v>
      </c>
      <c r="M693" s="118" t="s">
        <v>8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/>
      </c>
      <c r="Z693" s="132">
        <v>7</v>
      </c>
    </row>
    <row r="694" spans="1:26" ht="15.75" customHeight="1">
      <c r="A694" s="125" t="str">
        <f>IF(B694&lt;&gt;"",IF(AND(B694&gt;=_TM1,B694&lt;=_TM2,OR(TH!L694="1111",TH!M694="1111")),TH!D694,""),"")</f>
        <v/>
      </c>
      <c r="B694" s="11">
        <f t="shared" si="53"/>
        <v>6</v>
      </c>
      <c r="C694" s="115">
        <f t="shared" si="51"/>
        <v>40719</v>
      </c>
      <c r="D694" s="110" t="s">
        <v>698</v>
      </c>
      <c r="E694" s="115">
        <v>40719</v>
      </c>
      <c r="F694" s="116" t="s">
        <v>576</v>
      </c>
      <c r="G694" s="224" t="s">
        <v>580</v>
      </c>
      <c r="H694" s="117" t="s">
        <v>536</v>
      </c>
      <c r="I694" s="143">
        <v>12</v>
      </c>
      <c r="J694" s="143">
        <v>26894</v>
      </c>
      <c r="K694" s="238">
        <f t="shared" si="56"/>
        <v>322728</v>
      </c>
      <c r="L694" s="118" t="s">
        <v>147</v>
      </c>
      <c r="M694" s="118" t="s">
        <v>8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/>
      </c>
      <c r="Z694" s="132">
        <v>7</v>
      </c>
    </row>
    <row r="695" spans="1:26" ht="15.75" customHeight="1">
      <c r="A695" s="125" t="str">
        <f>IF(B695&lt;&gt;"",IF(AND(B695&gt;=_TM1,B695&lt;=_TM2,OR(TH!L695="1111",TH!M695="1111")),TH!D695,""),"")</f>
        <v/>
      </c>
      <c r="B695" s="11">
        <f t="shared" si="53"/>
        <v>6</v>
      </c>
      <c r="C695" s="115">
        <f t="shared" si="51"/>
        <v>40719</v>
      </c>
      <c r="D695" s="110" t="s">
        <v>698</v>
      </c>
      <c r="E695" s="115">
        <v>40719</v>
      </c>
      <c r="F695" s="116" t="s">
        <v>575</v>
      </c>
      <c r="G695" s="224" t="s">
        <v>580</v>
      </c>
      <c r="H695" s="117" t="s">
        <v>536</v>
      </c>
      <c r="I695" s="141">
        <v>12</v>
      </c>
      <c r="J695" s="141">
        <v>17374</v>
      </c>
      <c r="K695" s="238">
        <f t="shared" si="56"/>
        <v>208488</v>
      </c>
      <c r="L695" s="118" t="s">
        <v>147</v>
      </c>
      <c r="M695" s="118" t="s">
        <v>8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/>
      </c>
      <c r="Z695" s="132">
        <v>7</v>
      </c>
    </row>
    <row r="696" spans="1:26" ht="15.75" customHeight="1">
      <c r="A696" s="125" t="str">
        <f>IF(B696&lt;&gt;"",IF(AND(B696&gt;=_TM1,B696&lt;=_TM2,OR(TH!L696="1111",TH!M696="1111")),TH!D696,""),"")</f>
        <v/>
      </c>
      <c r="B696" s="11">
        <f t="shared" si="53"/>
        <v>6</v>
      </c>
      <c r="C696" s="115">
        <f t="shared" si="51"/>
        <v>40719</v>
      </c>
      <c r="D696" s="110" t="s">
        <v>698</v>
      </c>
      <c r="E696" s="115">
        <v>40719</v>
      </c>
      <c r="F696" s="116" t="s">
        <v>581</v>
      </c>
      <c r="G696" s="224" t="s">
        <v>580</v>
      </c>
      <c r="H696" s="117" t="s">
        <v>536</v>
      </c>
      <c r="I696" s="141">
        <v>84</v>
      </c>
      <c r="J696" s="141">
        <v>14280</v>
      </c>
      <c r="K696" s="238">
        <f t="shared" si="56"/>
        <v>1199520</v>
      </c>
      <c r="L696" s="118" t="s">
        <v>147</v>
      </c>
      <c r="M696" s="118" t="s">
        <v>8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/>
      </c>
      <c r="Z696" s="132">
        <v>7</v>
      </c>
    </row>
    <row r="697" spans="1:26" ht="15.75" customHeight="1">
      <c r="A697" s="125" t="str">
        <f>IF(B697&lt;&gt;"",IF(AND(B697&gt;=_TM1,B697&lt;=_TM2,OR(TH!L697="1111",TH!M697="1111")),TH!D697,""),"")</f>
        <v/>
      </c>
      <c r="B697" s="11">
        <f t="shared" si="53"/>
        <v>6</v>
      </c>
      <c r="C697" s="115">
        <f t="shared" si="51"/>
        <v>40719</v>
      </c>
      <c r="D697" s="110" t="s">
        <v>698</v>
      </c>
      <c r="E697" s="115">
        <v>40719</v>
      </c>
      <c r="F697" s="116" t="s">
        <v>582</v>
      </c>
      <c r="G697" s="224" t="s">
        <v>580</v>
      </c>
      <c r="H697" s="117" t="s">
        <v>536</v>
      </c>
      <c r="I697" s="141">
        <v>32</v>
      </c>
      <c r="J697" s="141">
        <v>27370</v>
      </c>
      <c r="K697" s="238">
        <f t="shared" si="56"/>
        <v>875840</v>
      </c>
      <c r="L697" s="118" t="s">
        <v>147</v>
      </c>
      <c r="M697" s="118" t="s">
        <v>8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/>
      </c>
      <c r="Z697" s="132">
        <v>7</v>
      </c>
    </row>
    <row r="698" spans="1:26" ht="15.75" customHeight="1">
      <c r="A698" s="125" t="str">
        <f>IF(B698&lt;&gt;"",IF(AND(B698&gt;=_TM1,B698&lt;=_TM2,OR(TH!L698="1111",TH!M698="1111")),TH!D698,""),"")</f>
        <v/>
      </c>
      <c r="B698" s="11">
        <f t="shared" si="53"/>
        <v>6</v>
      </c>
      <c r="C698" s="115">
        <f t="shared" si="51"/>
        <v>40719</v>
      </c>
      <c r="D698" s="110" t="s">
        <v>698</v>
      </c>
      <c r="E698" s="115">
        <v>40719</v>
      </c>
      <c r="F698" s="116" t="s">
        <v>583</v>
      </c>
      <c r="G698" s="224" t="s">
        <v>580</v>
      </c>
      <c r="H698" s="117" t="s">
        <v>536</v>
      </c>
      <c r="I698" s="141">
        <v>90</v>
      </c>
      <c r="J698" s="141">
        <v>26656</v>
      </c>
      <c r="K698" s="238">
        <f t="shared" si="56"/>
        <v>2399040</v>
      </c>
      <c r="L698" s="118" t="s">
        <v>147</v>
      </c>
      <c r="M698" s="118" t="s">
        <v>8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/>
      </c>
      <c r="Z698" s="132">
        <v>7</v>
      </c>
    </row>
    <row r="699" spans="1:26" ht="15.75" customHeight="1">
      <c r="A699" s="125" t="str">
        <f>IF(B699&lt;&gt;"",IF(AND(B699&gt;=_TM1,B699&lt;=_TM2,OR(TH!L699="1111",TH!M699="1111")),TH!D699,""),"")</f>
        <v/>
      </c>
      <c r="B699" s="11">
        <f t="shared" si="53"/>
        <v>6</v>
      </c>
      <c r="C699" s="115">
        <f t="shared" si="51"/>
        <v>40719</v>
      </c>
      <c r="D699" s="110" t="s">
        <v>698</v>
      </c>
      <c r="E699" s="115">
        <v>40719</v>
      </c>
      <c r="F699" s="116" t="s">
        <v>584</v>
      </c>
      <c r="G699" s="224" t="s">
        <v>580</v>
      </c>
      <c r="H699" s="117" t="s">
        <v>536</v>
      </c>
      <c r="I699" s="143">
        <v>132</v>
      </c>
      <c r="J699" s="143">
        <v>21098</v>
      </c>
      <c r="K699" s="238">
        <f t="shared" si="56"/>
        <v>2784936</v>
      </c>
      <c r="L699" s="118" t="s">
        <v>147</v>
      </c>
      <c r="M699" s="118" t="s">
        <v>8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/>
      </c>
      <c r="Z699" s="132">
        <v>7</v>
      </c>
    </row>
    <row r="700" spans="1:26" ht="15.75" customHeight="1">
      <c r="A700" s="125" t="str">
        <f>IF(B700&lt;&gt;"",IF(AND(B700&gt;=_TM1,B700&lt;=_TM2,OR(TH!L700="1111",TH!M700="1111")),TH!D700,""),"")</f>
        <v/>
      </c>
      <c r="B700" s="11">
        <f t="shared" si="53"/>
        <v>6</v>
      </c>
      <c r="C700" s="115">
        <f t="shared" si="51"/>
        <v>40719</v>
      </c>
      <c r="D700" s="110" t="s">
        <v>698</v>
      </c>
      <c r="E700" s="115">
        <v>40719</v>
      </c>
      <c r="F700" s="116" t="s">
        <v>573</v>
      </c>
      <c r="G700" s="224" t="s">
        <v>580</v>
      </c>
      <c r="H700" s="117" t="s">
        <v>536</v>
      </c>
      <c r="I700" s="141">
        <v>70</v>
      </c>
      <c r="J700" s="141">
        <v>15946</v>
      </c>
      <c r="K700" s="238">
        <f t="shared" si="56"/>
        <v>1116220</v>
      </c>
      <c r="L700" s="118" t="s">
        <v>147</v>
      </c>
      <c r="M700" s="118" t="s">
        <v>8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/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/>
      </c>
      <c r="Z700" s="132">
        <v>7</v>
      </c>
    </row>
    <row r="701" spans="1:26" ht="15.75" customHeight="1">
      <c r="A701" s="125" t="str">
        <f>IF(B701&lt;&gt;"",IF(AND(B701&gt;=_TM1,B701&lt;=_TM2,OR(TH!L701="1111",TH!M701="1111")),TH!D701,""),"")</f>
        <v/>
      </c>
      <c r="B701" s="11">
        <f t="shared" si="53"/>
        <v>6</v>
      </c>
      <c r="C701" s="115">
        <f t="shared" si="51"/>
        <v>40719</v>
      </c>
      <c r="D701" s="110" t="s">
        <v>698</v>
      </c>
      <c r="E701" s="115">
        <v>40719</v>
      </c>
      <c r="F701" s="116" t="s">
        <v>537</v>
      </c>
      <c r="G701" s="224" t="s">
        <v>580</v>
      </c>
      <c r="H701" s="117" t="s">
        <v>536</v>
      </c>
      <c r="I701" s="141"/>
      <c r="J701" s="141"/>
      <c r="K701" s="13">
        <v>984402</v>
      </c>
      <c r="L701" s="118" t="s">
        <v>9</v>
      </c>
      <c r="M701" s="118" t="s">
        <v>8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/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/>
      </c>
      <c r="Z701" s="132">
        <v>7</v>
      </c>
    </row>
    <row r="702" spans="1:26" ht="15.75" customHeight="1">
      <c r="A702" s="125" t="str">
        <f>IF(B702&lt;&gt;"",IF(AND(B702&gt;=_TM1,B702&lt;=_TM2,OR(TH!L702="1111",TH!M702="1111")),TH!D702,""),"")</f>
        <v/>
      </c>
      <c r="B702" s="11">
        <f t="shared" si="53"/>
        <v>6</v>
      </c>
      <c r="C702" s="115">
        <f t="shared" si="51"/>
        <v>40719</v>
      </c>
      <c r="D702" s="288" t="s">
        <v>1054</v>
      </c>
      <c r="E702" s="115">
        <v>40719</v>
      </c>
      <c r="F702" s="114" t="s">
        <v>364</v>
      </c>
      <c r="G702" s="224"/>
      <c r="H702" s="242" t="s">
        <v>1037</v>
      </c>
      <c r="I702" s="328">
        <v>35</v>
      </c>
      <c r="J702" s="141">
        <v>4449</v>
      </c>
      <c r="K702" s="238">
        <f t="shared" ref="K702:K715" si="57">ROUND(I702*J702,0)</f>
        <v>155715</v>
      </c>
      <c r="L702" s="14" t="s">
        <v>153</v>
      </c>
      <c r="M702" s="292" t="s">
        <v>147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/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>x</v>
      </c>
      <c r="X702" s="25" t="str">
        <f>IF(AND(OR(LEFT(TH!L702,2)="15",LEFT(TH!M702,2)="15"),TK!$E$7=TH!F702),"x","")</f>
        <v/>
      </c>
      <c r="Y702" s="25" t="str">
        <f>IF(AND(B702&lt;=NKC!$N$8,B702&gt;=NKC!$M$8),"x","")</f>
        <v/>
      </c>
      <c r="Z702" s="121"/>
    </row>
    <row r="703" spans="1:26" ht="15.75" customHeight="1">
      <c r="A703" s="125" t="str">
        <f>IF(B703&lt;&gt;"",IF(AND(B703&gt;=_TM1,B703&lt;=_TM2,OR(TH!L703="1111",TH!M703="1111")),TH!D703,""),"")</f>
        <v/>
      </c>
      <c r="B703" s="11">
        <f t="shared" si="53"/>
        <v>6</v>
      </c>
      <c r="C703" s="115">
        <f t="shared" si="51"/>
        <v>40719</v>
      </c>
      <c r="D703" s="288" t="s">
        <v>1054</v>
      </c>
      <c r="E703" s="115">
        <v>40719</v>
      </c>
      <c r="F703" s="114" t="s">
        <v>598</v>
      </c>
      <c r="G703" s="224"/>
      <c r="H703" s="242" t="s">
        <v>1037</v>
      </c>
      <c r="I703" s="141">
        <v>20</v>
      </c>
      <c r="J703" s="141">
        <v>31640</v>
      </c>
      <c r="K703" s="238">
        <f t="shared" si="57"/>
        <v>632800</v>
      </c>
      <c r="L703" s="14" t="s">
        <v>153</v>
      </c>
      <c r="M703" s="292" t="s">
        <v>147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/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/>
      </c>
      <c r="Z703" s="121"/>
    </row>
    <row r="704" spans="1:26" ht="15.75" customHeight="1">
      <c r="A704" s="125" t="str">
        <f>IF(B704&lt;&gt;"",IF(AND(B704&gt;=_TM1,B704&lt;=_TM2,OR(TH!L704="1111",TH!M704="1111")),TH!D704,""),"")</f>
        <v/>
      </c>
      <c r="B704" s="11">
        <f t="shared" si="53"/>
        <v>6</v>
      </c>
      <c r="C704" s="115">
        <f t="shared" si="51"/>
        <v>40719</v>
      </c>
      <c r="D704" s="288" t="s">
        <v>1054</v>
      </c>
      <c r="E704" s="115">
        <v>40719</v>
      </c>
      <c r="F704" s="15" t="s">
        <v>534</v>
      </c>
      <c r="G704" s="224"/>
      <c r="H704" s="242" t="s">
        <v>1037</v>
      </c>
      <c r="I704" s="141">
        <v>48</v>
      </c>
      <c r="J704" s="141">
        <v>24005</v>
      </c>
      <c r="K704" s="238">
        <f t="shared" si="57"/>
        <v>1152240</v>
      </c>
      <c r="L704" s="14" t="s">
        <v>153</v>
      </c>
      <c r="M704" s="292" t="s">
        <v>147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/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/>
      </c>
      <c r="Z704" s="121"/>
    </row>
    <row r="705" spans="1:26" ht="15.75" customHeight="1">
      <c r="A705" s="125" t="str">
        <f>IF(B705&lt;&gt;"",IF(AND(B705&gt;=_TM1,B705&lt;=_TM2,OR(TH!L705="1111",TH!M705="1111")),TH!D705,""),"")</f>
        <v/>
      </c>
      <c r="B705" s="11">
        <f t="shared" si="53"/>
        <v>6</v>
      </c>
      <c r="C705" s="115">
        <f t="shared" si="51"/>
        <v>40719</v>
      </c>
      <c r="D705" s="288" t="s">
        <v>1054</v>
      </c>
      <c r="E705" s="115">
        <v>40719</v>
      </c>
      <c r="F705" s="114" t="s">
        <v>455</v>
      </c>
      <c r="G705" s="224"/>
      <c r="H705" s="242" t="s">
        <v>1037</v>
      </c>
      <c r="I705" s="141">
        <v>2000</v>
      </c>
      <c r="J705" s="141">
        <v>4592</v>
      </c>
      <c r="K705" s="238">
        <f t="shared" si="57"/>
        <v>9184000</v>
      </c>
      <c r="L705" s="14" t="s">
        <v>153</v>
      </c>
      <c r="M705" s="292" t="s">
        <v>147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/>
      </c>
      <c r="Y705" s="25" t="str">
        <f>IF(AND(B705&lt;=NKC!$N$8,B705&gt;=NKC!$M$8),"x","")</f>
        <v/>
      </c>
      <c r="Z705" s="121"/>
    </row>
    <row r="706" spans="1:26" ht="15.75" customHeight="1">
      <c r="A706" s="125" t="str">
        <f>IF(B706&lt;&gt;"",IF(AND(B706&gt;=_TM1,B706&lt;=_TM2,OR(TH!L706="1111",TH!M706="1111")),TH!D706,""),"")</f>
        <v/>
      </c>
      <c r="B706" s="11">
        <f t="shared" si="53"/>
        <v>6</v>
      </c>
      <c r="C706" s="115">
        <f t="shared" si="51"/>
        <v>40719</v>
      </c>
      <c r="D706" s="288" t="s">
        <v>1054</v>
      </c>
      <c r="E706" s="115">
        <v>40719</v>
      </c>
      <c r="F706" s="15" t="s">
        <v>534</v>
      </c>
      <c r="G706" s="224"/>
      <c r="H706" s="242" t="s">
        <v>1037</v>
      </c>
      <c r="I706" s="141">
        <v>153</v>
      </c>
      <c r="J706" s="141">
        <v>24005</v>
      </c>
      <c r="K706" s="238">
        <f t="shared" si="57"/>
        <v>3672765</v>
      </c>
      <c r="L706" s="14" t="s">
        <v>153</v>
      </c>
      <c r="M706" s="292" t="s">
        <v>147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/>
      </c>
      <c r="Z706" s="121"/>
    </row>
    <row r="707" spans="1:26" ht="15.75" customHeight="1">
      <c r="A707" s="125" t="str">
        <f>IF(B707&lt;&gt;"",IF(AND(B707&gt;=_TM1,B707&lt;=_TM2,OR(TH!L707="1111",TH!M707="1111")),TH!D707,""),"")</f>
        <v/>
      </c>
      <c r="B707" s="11">
        <f t="shared" si="53"/>
        <v>6</v>
      </c>
      <c r="C707" s="115">
        <f t="shared" si="51"/>
        <v>40721</v>
      </c>
      <c r="D707" s="110" t="s">
        <v>699</v>
      </c>
      <c r="E707" s="115">
        <v>40721</v>
      </c>
      <c r="F707" s="116" t="s">
        <v>586</v>
      </c>
      <c r="G707" s="224" t="s">
        <v>585</v>
      </c>
      <c r="H707" s="117" t="s">
        <v>536</v>
      </c>
      <c r="I707" s="141">
        <v>182</v>
      </c>
      <c r="J707" s="141">
        <v>19418</v>
      </c>
      <c r="K707" s="238">
        <f t="shared" si="57"/>
        <v>3534076</v>
      </c>
      <c r="L707" s="118" t="s">
        <v>147</v>
      </c>
      <c r="M707" s="118" t="s">
        <v>8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/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/>
      </c>
      <c r="Z707" s="132">
        <v>7</v>
      </c>
    </row>
    <row r="708" spans="1:26" ht="15.75" customHeight="1">
      <c r="A708" s="125" t="str">
        <f>IF(B708&lt;&gt;"",IF(AND(B708&gt;=_TM1,B708&lt;=_TM2,OR(TH!L708="1111",TH!M708="1111")),TH!D708,""),"")</f>
        <v/>
      </c>
      <c r="B708" s="11">
        <f t="shared" si="53"/>
        <v>6</v>
      </c>
      <c r="C708" s="115">
        <f t="shared" si="51"/>
        <v>40721</v>
      </c>
      <c r="D708" s="110" t="s">
        <v>699</v>
      </c>
      <c r="E708" s="115">
        <v>40721</v>
      </c>
      <c r="F708" s="116" t="s">
        <v>587</v>
      </c>
      <c r="G708" s="224" t="s">
        <v>585</v>
      </c>
      <c r="H708" s="117" t="s">
        <v>536</v>
      </c>
      <c r="I708" s="141">
        <v>487</v>
      </c>
      <c r="J708" s="141">
        <v>22484</v>
      </c>
      <c r="K708" s="238">
        <f t="shared" si="57"/>
        <v>10949708</v>
      </c>
      <c r="L708" s="118" t="s">
        <v>147</v>
      </c>
      <c r="M708" s="118" t="s">
        <v>8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/>
      </c>
      <c r="Z708" s="132">
        <v>7</v>
      </c>
    </row>
    <row r="709" spans="1:26" ht="15.75" customHeight="1">
      <c r="A709" s="125" t="str">
        <f>IF(B709&lt;&gt;"",IF(AND(B709&gt;=_TM1,B709&lt;=_TM2,OR(TH!L709="1111",TH!M709="1111")),TH!D709,""),"")</f>
        <v/>
      </c>
      <c r="B709" s="11">
        <f t="shared" si="53"/>
        <v>6</v>
      </c>
      <c r="C709" s="115">
        <f t="shared" si="51"/>
        <v>40721</v>
      </c>
      <c r="D709" s="110" t="s">
        <v>699</v>
      </c>
      <c r="E709" s="115">
        <v>40721</v>
      </c>
      <c r="F709" s="116" t="s">
        <v>588</v>
      </c>
      <c r="G709" s="224" t="s">
        <v>585</v>
      </c>
      <c r="H709" s="117" t="s">
        <v>536</v>
      </c>
      <c r="I709" s="141">
        <v>38</v>
      </c>
      <c r="J709" s="141">
        <v>18396</v>
      </c>
      <c r="K709" s="238">
        <f t="shared" si="57"/>
        <v>699048</v>
      </c>
      <c r="L709" s="118" t="s">
        <v>147</v>
      </c>
      <c r="M709" s="118" t="s">
        <v>8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/>
      </c>
      <c r="Z709" s="132">
        <v>7</v>
      </c>
    </row>
    <row r="710" spans="1:26" ht="15.75" customHeight="1">
      <c r="A710" s="125" t="str">
        <f>IF(B710&lt;&gt;"",IF(AND(B710&gt;=_TM1,B710&lt;=_TM2,OR(TH!L710="1111",TH!M710="1111")),TH!D710,""),"")</f>
        <v/>
      </c>
      <c r="B710" s="11">
        <f t="shared" si="53"/>
        <v>6</v>
      </c>
      <c r="C710" s="115">
        <f t="shared" si="51"/>
        <v>40721</v>
      </c>
      <c r="D710" s="110" t="s">
        <v>699</v>
      </c>
      <c r="E710" s="115">
        <v>40721</v>
      </c>
      <c r="F710" s="116" t="s">
        <v>589</v>
      </c>
      <c r="G710" s="224" t="s">
        <v>585</v>
      </c>
      <c r="H710" s="117" t="s">
        <v>536</v>
      </c>
      <c r="I710" s="141">
        <v>45</v>
      </c>
      <c r="J710" s="141">
        <v>29792</v>
      </c>
      <c r="K710" s="238">
        <f t="shared" si="57"/>
        <v>1340640</v>
      </c>
      <c r="L710" s="118" t="s">
        <v>147</v>
      </c>
      <c r="M710" s="118" t="s">
        <v>8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/>
      </c>
      <c r="Z710" s="132">
        <v>7</v>
      </c>
    </row>
    <row r="711" spans="1:26" ht="15.75" customHeight="1">
      <c r="A711" s="125" t="str">
        <f>IF(B711&lt;&gt;"",IF(AND(B711&gt;=_TM1,B711&lt;=_TM2,OR(TH!L711="1111",TH!M711="1111")),TH!D711,""),"")</f>
        <v/>
      </c>
      <c r="B711" s="11">
        <f t="shared" si="53"/>
        <v>6</v>
      </c>
      <c r="C711" s="115">
        <f t="shared" si="51"/>
        <v>40721</v>
      </c>
      <c r="D711" s="110" t="s">
        <v>699</v>
      </c>
      <c r="E711" s="115">
        <v>40721</v>
      </c>
      <c r="F711" s="116" t="s">
        <v>590</v>
      </c>
      <c r="G711" s="224" t="s">
        <v>585</v>
      </c>
      <c r="H711" s="117" t="s">
        <v>536</v>
      </c>
      <c r="I711" s="141">
        <v>391</v>
      </c>
      <c r="J711" s="141">
        <v>19180</v>
      </c>
      <c r="K711" s="238">
        <f t="shared" si="57"/>
        <v>7499380</v>
      </c>
      <c r="L711" s="118" t="s">
        <v>147</v>
      </c>
      <c r="M711" s="118" t="s">
        <v>8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/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/>
      </c>
      <c r="Z711" s="132">
        <v>7</v>
      </c>
    </row>
    <row r="712" spans="1:26" ht="15.75" customHeight="1">
      <c r="A712" s="125" t="str">
        <f>IF(B712&lt;&gt;"",IF(AND(B712&gt;=_TM1,B712&lt;=_TM2,OR(TH!L712="1111",TH!M712="1111")),TH!D712,""),"")</f>
        <v/>
      </c>
      <c r="B712" s="11">
        <f t="shared" si="53"/>
        <v>6</v>
      </c>
      <c r="C712" s="115">
        <f t="shared" si="51"/>
        <v>40721</v>
      </c>
      <c r="D712" s="110" t="s">
        <v>699</v>
      </c>
      <c r="E712" s="115">
        <v>40721</v>
      </c>
      <c r="F712" s="116" t="s">
        <v>591</v>
      </c>
      <c r="G712" s="224" t="s">
        <v>585</v>
      </c>
      <c r="H712" s="117" t="s">
        <v>536</v>
      </c>
      <c r="I712" s="141">
        <v>20</v>
      </c>
      <c r="J712" s="141">
        <v>31360</v>
      </c>
      <c r="K712" s="238">
        <f t="shared" si="57"/>
        <v>627200</v>
      </c>
      <c r="L712" s="118" t="s">
        <v>147</v>
      </c>
      <c r="M712" s="118" t="s">
        <v>8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/>
      </c>
      <c r="Z712" s="132">
        <v>7</v>
      </c>
    </row>
    <row r="713" spans="1:26" ht="15.75" customHeight="1">
      <c r="A713" s="125" t="str">
        <f>IF(B713&lt;&gt;"",IF(AND(B713&gt;=_TM1,B713&lt;=_TM2,OR(TH!L713="1111",TH!M713="1111")),TH!D713,""),"")</f>
        <v/>
      </c>
      <c r="B713" s="11">
        <f t="shared" si="53"/>
        <v>6</v>
      </c>
      <c r="C713" s="115">
        <f t="shared" si="51"/>
        <v>40721</v>
      </c>
      <c r="D713" s="110" t="s">
        <v>699</v>
      </c>
      <c r="E713" s="115">
        <v>40721</v>
      </c>
      <c r="F713" s="116" t="s">
        <v>592</v>
      </c>
      <c r="G713" s="224" t="s">
        <v>585</v>
      </c>
      <c r="H713" s="117" t="s">
        <v>536</v>
      </c>
      <c r="I713" s="141">
        <v>50</v>
      </c>
      <c r="J713" s="141">
        <v>28476</v>
      </c>
      <c r="K713" s="238">
        <f t="shared" si="57"/>
        <v>1423800</v>
      </c>
      <c r="L713" s="118" t="s">
        <v>147</v>
      </c>
      <c r="M713" s="118" t="s">
        <v>8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/>
      </c>
      <c r="Z713" s="132">
        <v>7</v>
      </c>
    </row>
    <row r="714" spans="1:26" ht="15.75" customHeight="1">
      <c r="A714" s="125" t="str">
        <f>IF(B714&lt;&gt;"",IF(AND(B714&gt;=_TM1,B714&lt;=_TM2,OR(TH!L714="1111",TH!M714="1111")),TH!D714,""),"")</f>
        <v/>
      </c>
      <c r="B714" s="11">
        <f t="shared" si="53"/>
        <v>6</v>
      </c>
      <c r="C714" s="115">
        <f t="shared" si="51"/>
        <v>40721</v>
      </c>
      <c r="D714" s="110" t="s">
        <v>699</v>
      </c>
      <c r="E714" s="115">
        <v>40721</v>
      </c>
      <c r="F714" s="116" t="s">
        <v>593</v>
      </c>
      <c r="G714" s="224" t="s">
        <v>585</v>
      </c>
      <c r="H714" s="117" t="s">
        <v>536</v>
      </c>
      <c r="I714" s="141">
        <v>92</v>
      </c>
      <c r="J714" s="141">
        <v>30058</v>
      </c>
      <c r="K714" s="238">
        <f t="shared" si="57"/>
        <v>2765336</v>
      </c>
      <c r="L714" s="118" t="s">
        <v>147</v>
      </c>
      <c r="M714" s="118" t="s">
        <v>8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/>
      </c>
      <c r="Z714" s="132">
        <v>7</v>
      </c>
    </row>
    <row r="715" spans="1:26" ht="15.75" customHeight="1">
      <c r="A715" s="125" t="str">
        <f>IF(B715&lt;&gt;"",IF(AND(B715&gt;=_TM1,B715&lt;=_TM2,OR(TH!L715="1111",TH!M715="1111")),TH!D715,""),"")</f>
        <v/>
      </c>
      <c r="B715" s="11">
        <f t="shared" si="53"/>
        <v>6</v>
      </c>
      <c r="C715" s="115">
        <f t="shared" si="51"/>
        <v>40721</v>
      </c>
      <c r="D715" s="110" t="s">
        <v>699</v>
      </c>
      <c r="E715" s="115">
        <v>40721</v>
      </c>
      <c r="F715" s="116" t="s">
        <v>588</v>
      </c>
      <c r="G715" s="224" t="s">
        <v>585</v>
      </c>
      <c r="H715" s="117" t="s">
        <v>536</v>
      </c>
      <c r="I715" s="141">
        <v>182</v>
      </c>
      <c r="J715" s="141">
        <v>18396</v>
      </c>
      <c r="K715" s="238">
        <f t="shared" si="57"/>
        <v>3348072</v>
      </c>
      <c r="L715" s="118" t="s">
        <v>147</v>
      </c>
      <c r="M715" s="118" t="s">
        <v>8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/>
      </c>
      <c r="Z715" s="132">
        <v>7</v>
      </c>
    </row>
    <row r="716" spans="1:26" ht="15.75" customHeight="1">
      <c r="A716" s="125" t="str">
        <f>IF(B716&lt;&gt;"",IF(AND(B716&gt;=_TM1,B716&lt;=_TM2,OR(TH!L716="1111",TH!M716="1111")),TH!D716,""),"")</f>
        <v/>
      </c>
      <c r="B716" s="11">
        <f t="shared" si="53"/>
        <v>6</v>
      </c>
      <c r="C716" s="115">
        <f t="shared" ref="C716:C740" si="58">E716</f>
        <v>40721</v>
      </c>
      <c r="D716" s="110" t="s">
        <v>699</v>
      </c>
      <c r="E716" s="115">
        <v>40721</v>
      </c>
      <c r="F716" s="116" t="s">
        <v>537</v>
      </c>
      <c r="G716" s="224" t="s">
        <v>585</v>
      </c>
      <c r="H716" s="117" t="s">
        <v>536</v>
      </c>
      <c r="I716" s="141"/>
      <c r="J716" s="141"/>
      <c r="K716" s="13">
        <v>3218726</v>
      </c>
      <c r="L716" s="118" t="s">
        <v>9</v>
      </c>
      <c r="M716" s="118" t="s">
        <v>8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/>
      </c>
      <c r="Z716" s="132">
        <v>7</v>
      </c>
    </row>
    <row r="717" spans="1:26" ht="15.75" customHeight="1">
      <c r="A717" s="125" t="str">
        <f>IF(B717&lt;&gt;"",IF(AND(B717&gt;=_TM1,B717&lt;=_TM2,OR(TH!L717="1111",TH!M717="1111")),TH!D717,""),"")</f>
        <v/>
      </c>
      <c r="B717" s="11">
        <f t="shared" si="53"/>
        <v>6</v>
      </c>
      <c r="C717" s="115">
        <f t="shared" si="58"/>
        <v>40721</v>
      </c>
      <c r="D717" s="288" t="s">
        <v>1054</v>
      </c>
      <c r="E717" s="115">
        <v>40721</v>
      </c>
      <c r="F717" s="114" t="s">
        <v>362</v>
      </c>
      <c r="G717" s="224"/>
      <c r="H717" s="242" t="s">
        <v>1037</v>
      </c>
      <c r="I717" s="141">
        <v>391</v>
      </c>
      <c r="J717" s="141">
        <v>6124</v>
      </c>
      <c r="K717" s="238">
        <f t="shared" ref="K717:K731" si="59">ROUND(I717*J717,0)</f>
        <v>2394484</v>
      </c>
      <c r="L717" s="14" t="s">
        <v>153</v>
      </c>
      <c r="M717" s="292" t="s">
        <v>147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/>
      </c>
      <c r="Z717" s="121"/>
    </row>
    <row r="718" spans="1:26" ht="15.75" customHeight="1">
      <c r="A718" s="125" t="str">
        <f>IF(B718&lt;&gt;"",IF(AND(B718&gt;=_TM1,B718&lt;=_TM2,OR(TH!L718="1111",TH!M718="1111")),TH!D718,""),"")</f>
        <v/>
      </c>
      <c r="B718" s="11">
        <f t="shared" si="53"/>
        <v>6</v>
      </c>
      <c r="C718" s="115">
        <f t="shared" si="58"/>
        <v>40721</v>
      </c>
      <c r="D718" s="288" t="s">
        <v>1055</v>
      </c>
      <c r="E718" s="115">
        <v>40721</v>
      </c>
      <c r="F718" s="154" t="s">
        <v>456</v>
      </c>
      <c r="G718" s="224"/>
      <c r="H718" s="242" t="s">
        <v>1037</v>
      </c>
      <c r="I718" s="141">
        <v>297</v>
      </c>
      <c r="J718" s="141">
        <v>6026</v>
      </c>
      <c r="K718" s="238">
        <f t="shared" si="59"/>
        <v>1789722</v>
      </c>
      <c r="L718" s="14" t="s">
        <v>153</v>
      </c>
      <c r="M718" s="292" t="s">
        <v>147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/>
      </c>
      <c r="Z718" s="121"/>
    </row>
    <row r="719" spans="1:26" ht="15.75" customHeight="1">
      <c r="A719" s="125" t="str">
        <f>IF(B719&lt;&gt;"",IF(AND(B719&gt;=_TM1,B719&lt;=_TM2,OR(TH!L719="1111",TH!M719="1111")),TH!D719,""),"")</f>
        <v/>
      </c>
      <c r="B719" s="11">
        <f t="shared" si="53"/>
        <v>6</v>
      </c>
      <c r="C719" s="115">
        <f t="shared" si="58"/>
        <v>40721</v>
      </c>
      <c r="D719" s="288" t="s">
        <v>1055</v>
      </c>
      <c r="E719" s="115">
        <v>40721</v>
      </c>
      <c r="F719" s="154" t="s">
        <v>456</v>
      </c>
      <c r="G719" s="224"/>
      <c r="H719" s="242" t="s">
        <v>1037</v>
      </c>
      <c r="I719" s="141">
        <v>101</v>
      </c>
      <c r="J719" s="141">
        <v>6026</v>
      </c>
      <c r="K719" s="238">
        <f t="shared" si="59"/>
        <v>608626</v>
      </c>
      <c r="L719" s="14" t="s">
        <v>153</v>
      </c>
      <c r="M719" s="292" t="s">
        <v>147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/>
      </c>
      <c r="Z719" s="121"/>
    </row>
    <row r="720" spans="1:26" ht="15.75" customHeight="1">
      <c r="A720" s="125" t="str">
        <f>IF(B720&lt;&gt;"",IF(AND(B720&gt;=_TM1,B720&lt;=_TM2,OR(TH!L720="1111",TH!M720="1111")),TH!D720,""),"")</f>
        <v/>
      </c>
      <c r="B720" s="11">
        <f t="shared" si="53"/>
        <v>6</v>
      </c>
      <c r="C720" s="115">
        <f t="shared" si="58"/>
        <v>40721</v>
      </c>
      <c r="D720" s="288" t="s">
        <v>1055</v>
      </c>
      <c r="E720" s="115">
        <v>40721</v>
      </c>
      <c r="F720" s="154" t="s">
        <v>456</v>
      </c>
      <c r="G720" s="224"/>
      <c r="H720" s="242" t="s">
        <v>1037</v>
      </c>
      <c r="I720" s="141">
        <v>103</v>
      </c>
      <c r="J720" s="141">
        <v>6026</v>
      </c>
      <c r="K720" s="238">
        <f t="shared" si="59"/>
        <v>620678</v>
      </c>
      <c r="L720" s="14" t="s">
        <v>153</v>
      </c>
      <c r="M720" s="292" t="s">
        <v>147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/>
      </c>
      <c r="Z720" s="121"/>
    </row>
    <row r="721" spans="1:26" ht="15.75" customHeight="1">
      <c r="A721" s="125" t="str">
        <f>IF(B721&lt;&gt;"",IF(AND(B721&gt;=_TM1,B721&lt;=_TM2,OR(TH!L721="1111",TH!M721="1111")),TH!D721,""),"")</f>
        <v/>
      </c>
      <c r="B721" s="11">
        <f t="shared" si="53"/>
        <v>6</v>
      </c>
      <c r="C721" s="115">
        <f t="shared" si="58"/>
        <v>40721</v>
      </c>
      <c r="D721" s="288" t="s">
        <v>1055</v>
      </c>
      <c r="E721" s="115">
        <v>40721</v>
      </c>
      <c r="F721" s="15" t="s">
        <v>593</v>
      </c>
      <c r="G721" s="224"/>
      <c r="H721" s="242" t="s">
        <v>1037</v>
      </c>
      <c r="I721" s="141">
        <v>55</v>
      </c>
      <c r="J721" s="141">
        <v>30058</v>
      </c>
      <c r="K721" s="238">
        <f t="shared" si="59"/>
        <v>1653190</v>
      </c>
      <c r="L721" s="14" t="s">
        <v>153</v>
      </c>
      <c r="M721" s="292" t="s">
        <v>147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/>
      </c>
      <c r="Z721" s="121"/>
    </row>
    <row r="722" spans="1:26" ht="15.75" customHeight="1">
      <c r="A722" s="125" t="str">
        <f>IF(B722&lt;&gt;"",IF(AND(B722&gt;=_TM1,B722&lt;=_TM2,OR(TH!L722="1111",TH!M722="1111")),TH!D722,""),"")</f>
        <v/>
      </c>
      <c r="B722" s="11">
        <f t="shared" si="53"/>
        <v>6</v>
      </c>
      <c r="C722" s="115">
        <f t="shared" si="58"/>
        <v>40721</v>
      </c>
      <c r="D722" s="288" t="s">
        <v>1055</v>
      </c>
      <c r="E722" s="115">
        <v>40721</v>
      </c>
      <c r="F722" s="114" t="s">
        <v>549</v>
      </c>
      <c r="G722" s="224"/>
      <c r="H722" s="242" t="s">
        <v>1037</v>
      </c>
      <c r="I722" s="141">
        <v>104</v>
      </c>
      <c r="J722" s="141">
        <v>20236</v>
      </c>
      <c r="K722" s="238">
        <f t="shared" si="59"/>
        <v>2104544</v>
      </c>
      <c r="L722" s="14" t="s">
        <v>153</v>
      </c>
      <c r="M722" s="292" t="s">
        <v>147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/>
      </c>
      <c r="Z722" s="121"/>
    </row>
    <row r="723" spans="1:26" ht="15.75" customHeight="1">
      <c r="A723" s="125" t="str">
        <f>IF(B723&lt;&gt;"",IF(AND(B723&gt;=_TM1,B723&lt;=_TM2,OR(TH!L723="1111",TH!M723="1111")),TH!D723,""),"")</f>
        <v/>
      </c>
      <c r="B723" s="11">
        <f t="shared" si="53"/>
        <v>6</v>
      </c>
      <c r="C723" s="115">
        <f t="shared" si="58"/>
        <v>40721</v>
      </c>
      <c r="D723" s="288" t="s">
        <v>1056</v>
      </c>
      <c r="E723" s="115">
        <v>40721</v>
      </c>
      <c r="F723" s="154" t="s">
        <v>456</v>
      </c>
      <c r="G723" s="224"/>
      <c r="H723" s="242" t="s">
        <v>1037</v>
      </c>
      <c r="I723" s="143">
        <v>778</v>
      </c>
      <c r="J723" s="143">
        <v>6026</v>
      </c>
      <c r="K723" s="238">
        <f t="shared" si="59"/>
        <v>4688228</v>
      </c>
      <c r="L723" s="14" t="s">
        <v>153</v>
      </c>
      <c r="M723" s="292" t="s">
        <v>147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/>
      </c>
      <c r="Z723" s="121"/>
    </row>
    <row r="724" spans="1:26" ht="15.75" customHeight="1">
      <c r="A724" s="125" t="str">
        <f>IF(B724&lt;&gt;"",IF(AND(B724&gt;=_TM1,B724&lt;=_TM2,OR(TH!L724="1111",TH!M724="1111")),TH!D724,""),"")</f>
        <v/>
      </c>
      <c r="B724" s="11">
        <f t="shared" si="53"/>
        <v>6</v>
      </c>
      <c r="C724" s="115">
        <f t="shared" si="58"/>
        <v>40722</v>
      </c>
      <c r="D724" s="110" t="s">
        <v>700</v>
      </c>
      <c r="E724" s="115">
        <v>40722</v>
      </c>
      <c r="F724" s="116" t="s">
        <v>595</v>
      </c>
      <c r="G724" s="224" t="s">
        <v>594</v>
      </c>
      <c r="H724" s="117" t="s">
        <v>536</v>
      </c>
      <c r="I724" s="141">
        <v>20</v>
      </c>
      <c r="J724" s="141">
        <v>28560</v>
      </c>
      <c r="K724" s="238">
        <f t="shared" si="59"/>
        <v>571200</v>
      </c>
      <c r="L724" s="118" t="s">
        <v>147</v>
      </c>
      <c r="M724" s="118" t="s">
        <v>8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/>
      </c>
      <c r="Z724" s="132">
        <v>7</v>
      </c>
    </row>
    <row r="725" spans="1:26" ht="15.75" customHeight="1">
      <c r="A725" s="125" t="str">
        <f>IF(B725&lt;&gt;"",IF(AND(B725&gt;=_TM1,B725&lt;=_TM2,OR(TH!L725="1111",TH!M725="1111")),TH!D725,""),"")</f>
        <v/>
      </c>
      <c r="B725" s="11">
        <f t="shared" si="53"/>
        <v>6</v>
      </c>
      <c r="C725" s="115">
        <f t="shared" si="58"/>
        <v>40722</v>
      </c>
      <c r="D725" s="110" t="s">
        <v>700</v>
      </c>
      <c r="E725" s="115">
        <v>40722</v>
      </c>
      <c r="F725" s="116" t="s">
        <v>570</v>
      </c>
      <c r="G725" s="224" t="s">
        <v>594</v>
      </c>
      <c r="H725" s="117" t="s">
        <v>536</v>
      </c>
      <c r="I725" s="141">
        <v>224</v>
      </c>
      <c r="J725" s="141">
        <v>23506</v>
      </c>
      <c r="K725" s="238">
        <f t="shared" si="59"/>
        <v>5265344</v>
      </c>
      <c r="L725" s="118" t="s">
        <v>147</v>
      </c>
      <c r="M725" s="118" t="s">
        <v>8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/>
      </c>
      <c r="Z725" s="132">
        <v>7</v>
      </c>
    </row>
    <row r="726" spans="1:26" ht="15.75" customHeight="1">
      <c r="A726" s="125" t="str">
        <f>IF(B726&lt;&gt;"",IF(AND(B726&gt;=_TM1,B726&lt;=_TM2,OR(TH!L726="1111",TH!M726="1111")),TH!D726,""),"")</f>
        <v/>
      </c>
      <c r="B726" s="11">
        <f t="shared" ref="B726:B789" si="60">IF(C726&lt;&gt;"",MONTH(C726),"")</f>
        <v>6</v>
      </c>
      <c r="C726" s="115">
        <f t="shared" si="58"/>
        <v>40722</v>
      </c>
      <c r="D726" s="110" t="s">
        <v>700</v>
      </c>
      <c r="E726" s="115">
        <v>40722</v>
      </c>
      <c r="F726" s="116" t="s">
        <v>596</v>
      </c>
      <c r="G726" s="224" t="s">
        <v>594</v>
      </c>
      <c r="H726" s="117" t="s">
        <v>536</v>
      </c>
      <c r="I726" s="141">
        <v>10</v>
      </c>
      <c r="J726" s="141">
        <v>32844</v>
      </c>
      <c r="K726" s="238">
        <f t="shared" si="59"/>
        <v>328440</v>
      </c>
      <c r="L726" s="118" t="s">
        <v>147</v>
      </c>
      <c r="M726" s="118" t="s">
        <v>8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/>
      </c>
      <c r="Z726" s="132">
        <v>7</v>
      </c>
    </row>
    <row r="727" spans="1:26" ht="15.75" customHeight="1">
      <c r="A727" s="125" t="str">
        <f>IF(B727&lt;&gt;"",IF(AND(B727&gt;=_TM1,B727&lt;=_TM2,OR(TH!L727="1111",TH!M727="1111")),TH!D727,""),"")</f>
        <v/>
      </c>
      <c r="B727" s="11">
        <f t="shared" si="60"/>
        <v>6</v>
      </c>
      <c r="C727" s="115">
        <f t="shared" si="58"/>
        <v>40722</v>
      </c>
      <c r="D727" s="110" t="s">
        <v>700</v>
      </c>
      <c r="E727" s="115">
        <v>40722</v>
      </c>
      <c r="F727" s="116" t="s">
        <v>592</v>
      </c>
      <c r="G727" s="224" t="s">
        <v>594</v>
      </c>
      <c r="H727" s="117" t="s">
        <v>536</v>
      </c>
      <c r="I727" s="141">
        <v>8</v>
      </c>
      <c r="J727" s="141">
        <v>28476</v>
      </c>
      <c r="K727" s="238">
        <f t="shared" si="59"/>
        <v>227808</v>
      </c>
      <c r="L727" s="118" t="s">
        <v>147</v>
      </c>
      <c r="M727" s="118" t="s">
        <v>8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/>
      </c>
      <c r="Z727" s="132">
        <v>7</v>
      </c>
    </row>
    <row r="728" spans="1:26" ht="15.75" customHeight="1">
      <c r="A728" s="125" t="str">
        <f>IF(B728&lt;&gt;"",IF(AND(B728&gt;=_TM1,B728&lt;=_TM2,OR(TH!L728="1111",TH!M728="1111")),TH!D728,""),"")</f>
        <v/>
      </c>
      <c r="B728" s="11">
        <f t="shared" si="60"/>
        <v>6</v>
      </c>
      <c r="C728" s="115">
        <f t="shared" si="58"/>
        <v>40722</v>
      </c>
      <c r="D728" s="110" t="s">
        <v>700</v>
      </c>
      <c r="E728" s="115">
        <v>40722</v>
      </c>
      <c r="F728" s="116" t="s">
        <v>597</v>
      </c>
      <c r="G728" s="224" t="s">
        <v>594</v>
      </c>
      <c r="H728" s="117" t="s">
        <v>536</v>
      </c>
      <c r="I728" s="141">
        <v>192</v>
      </c>
      <c r="J728" s="141">
        <v>20440</v>
      </c>
      <c r="K728" s="238">
        <f t="shared" si="59"/>
        <v>3924480</v>
      </c>
      <c r="L728" s="118" t="s">
        <v>147</v>
      </c>
      <c r="M728" s="118" t="s">
        <v>8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/>
      </c>
      <c r="Z728" s="132">
        <v>7</v>
      </c>
    </row>
    <row r="729" spans="1:26" ht="15.75" customHeight="1">
      <c r="A729" s="125" t="str">
        <f>IF(B729&lt;&gt;"",IF(AND(B729&gt;=_TM1,B729&lt;=_TM2,OR(TH!L729="1111",TH!M729="1111")),TH!D729,""),"")</f>
        <v/>
      </c>
      <c r="B729" s="11">
        <f t="shared" si="60"/>
        <v>6</v>
      </c>
      <c r="C729" s="115">
        <f t="shared" si="58"/>
        <v>40722</v>
      </c>
      <c r="D729" s="110" t="s">
        <v>700</v>
      </c>
      <c r="E729" s="115">
        <v>40722</v>
      </c>
      <c r="F729" s="116" t="s">
        <v>598</v>
      </c>
      <c r="G729" s="224" t="s">
        <v>594</v>
      </c>
      <c r="H729" s="117" t="s">
        <v>536</v>
      </c>
      <c r="I729" s="141">
        <v>20</v>
      </c>
      <c r="J729" s="141">
        <v>31640</v>
      </c>
      <c r="K729" s="238">
        <f t="shared" si="59"/>
        <v>632800</v>
      </c>
      <c r="L729" s="118" t="s">
        <v>147</v>
      </c>
      <c r="M729" s="118" t="s">
        <v>8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/>
      </c>
      <c r="Z729" s="132">
        <v>7</v>
      </c>
    </row>
    <row r="730" spans="1:26" ht="15.75" customHeight="1">
      <c r="A730" s="125" t="str">
        <f>IF(B730&lt;&gt;"",IF(AND(B730&gt;=_TM1,B730&lt;=_TM2,OR(TH!L730="1111",TH!M730="1111")),TH!D730,""),"")</f>
        <v/>
      </c>
      <c r="B730" s="11">
        <f t="shared" si="60"/>
        <v>6</v>
      </c>
      <c r="C730" s="115">
        <f t="shared" si="58"/>
        <v>40722</v>
      </c>
      <c r="D730" s="110" t="s">
        <v>700</v>
      </c>
      <c r="E730" s="115">
        <v>40722</v>
      </c>
      <c r="F730" s="116" t="s">
        <v>588</v>
      </c>
      <c r="G730" s="224" t="s">
        <v>594</v>
      </c>
      <c r="H730" s="117" t="s">
        <v>536</v>
      </c>
      <c r="I730" s="141">
        <v>14</v>
      </c>
      <c r="J730" s="141">
        <v>18396</v>
      </c>
      <c r="K730" s="238">
        <f t="shared" si="59"/>
        <v>257544</v>
      </c>
      <c r="L730" s="118" t="s">
        <v>147</v>
      </c>
      <c r="M730" s="118" t="s">
        <v>8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/>
      </c>
      <c r="Z730" s="132">
        <v>7</v>
      </c>
    </row>
    <row r="731" spans="1:26" ht="15.75" customHeight="1">
      <c r="A731" s="125" t="str">
        <f>IF(B731&lt;&gt;"",IF(AND(B731&gt;=_TM1,B731&lt;=_TM2,OR(TH!L731="1111",TH!M731="1111")),TH!D731,""),"")</f>
        <v/>
      </c>
      <c r="B731" s="11">
        <f t="shared" si="60"/>
        <v>6</v>
      </c>
      <c r="C731" s="115">
        <f t="shared" si="58"/>
        <v>40722</v>
      </c>
      <c r="D731" s="110" t="s">
        <v>700</v>
      </c>
      <c r="E731" s="115">
        <v>40722</v>
      </c>
      <c r="F731" s="116" t="s">
        <v>599</v>
      </c>
      <c r="G731" s="224" t="s">
        <v>594</v>
      </c>
      <c r="H731" s="117" t="s">
        <v>536</v>
      </c>
      <c r="I731" s="318">
        <v>55</v>
      </c>
      <c r="J731" s="144">
        <v>23906</v>
      </c>
      <c r="K731" s="238">
        <f t="shared" si="59"/>
        <v>1314830</v>
      </c>
      <c r="L731" s="118" t="s">
        <v>147</v>
      </c>
      <c r="M731" s="118" t="s">
        <v>8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/>
      </c>
      <c r="Z731" s="132">
        <v>7</v>
      </c>
    </row>
    <row r="732" spans="1:26" ht="15.75" customHeight="1">
      <c r="A732" s="125" t="str">
        <f>IF(B732&lt;&gt;"",IF(AND(B732&gt;=_TM1,B732&lt;=_TM2,OR(TH!L732="1111",TH!M732="1111")),TH!D732,""),"")</f>
        <v/>
      </c>
      <c r="B732" s="11">
        <f t="shared" si="60"/>
        <v>6</v>
      </c>
      <c r="C732" s="115">
        <f t="shared" si="58"/>
        <v>40722</v>
      </c>
      <c r="D732" s="110" t="s">
        <v>700</v>
      </c>
      <c r="E732" s="115">
        <v>40722</v>
      </c>
      <c r="F732" s="116" t="s">
        <v>537</v>
      </c>
      <c r="G732" s="224" t="s">
        <v>594</v>
      </c>
      <c r="H732" s="117" t="s">
        <v>536</v>
      </c>
      <c r="I732" s="141"/>
      <c r="J732" s="141"/>
      <c r="K732" s="13">
        <v>1252245</v>
      </c>
      <c r="L732" s="118" t="s">
        <v>9</v>
      </c>
      <c r="M732" s="118" t="s">
        <v>8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/>
      </c>
      <c r="Z732" s="132">
        <v>7</v>
      </c>
    </row>
    <row r="733" spans="1:26" ht="15.75" customHeight="1">
      <c r="A733" s="125" t="str">
        <f>IF(B733&lt;&gt;"",IF(AND(B733&gt;=_TM1,B733&lt;=_TM2,OR(TH!L733="1111",TH!M733="1111")),TH!D733,""),"")</f>
        <v/>
      </c>
      <c r="B733" s="11">
        <f t="shared" si="60"/>
        <v>6</v>
      </c>
      <c r="C733" s="115">
        <f t="shared" si="58"/>
        <v>40723</v>
      </c>
      <c r="D733" s="110" t="s">
        <v>701</v>
      </c>
      <c r="E733" s="115">
        <v>40723</v>
      </c>
      <c r="F733" s="116" t="s">
        <v>601</v>
      </c>
      <c r="G733" s="224" t="s">
        <v>600</v>
      </c>
      <c r="H733" s="117" t="s">
        <v>536</v>
      </c>
      <c r="I733" s="144">
        <v>100</v>
      </c>
      <c r="J733" s="144">
        <v>23688</v>
      </c>
      <c r="K733" s="238">
        <f>ROUND(I733*J733,0)</f>
        <v>2368800</v>
      </c>
      <c r="L733" s="118" t="s">
        <v>147</v>
      </c>
      <c r="M733" s="118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/>
      </c>
      <c r="Z733" s="132">
        <v>7</v>
      </c>
    </row>
    <row r="734" spans="1:26" ht="15.75" customHeight="1">
      <c r="A734" s="125" t="str">
        <f>IF(B734&lt;&gt;"",IF(AND(B734&gt;=_TM1,B734&lt;=_TM2,OR(TH!L734="1111",TH!M734="1111")),TH!D734,""),"")</f>
        <v/>
      </c>
      <c r="B734" s="11">
        <f t="shared" si="60"/>
        <v>6</v>
      </c>
      <c r="C734" s="115">
        <f t="shared" si="58"/>
        <v>40723</v>
      </c>
      <c r="D734" s="110" t="s">
        <v>701</v>
      </c>
      <c r="E734" s="115">
        <v>40723</v>
      </c>
      <c r="F734" s="116" t="s">
        <v>602</v>
      </c>
      <c r="G734" s="224" t="s">
        <v>600</v>
      </c>
      <c r="H734" s="117" t="s">
        <v>536</v>
      </c>
      <c r="I734" s="141">
        <v>94</v>
      </c>
      <c r="J734" s="141">
        <v>28980</v>
      </c>
      <c r="K734" s="238">
        <f>ROUND(I734*J734,0)</f>
        <v>2724120</v>
      </c>
      <c r="L734" s="118" t="s">
        <v>147</v>
      </c>
      <c r="M734" s="118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/>
      </c>
      <c r="Z734" s="132">
        <v>7</v>
      </c>
    </row>
    <row r="735" spans="1:26" ht="15.75" customHeight="1">
      <c r="A735" s="125" t="str">
        <f>IF(B735&lt;&gt;"",IF(AND(B735&gt;=_TM1,B735&lt;=_TM2,OR(TH!L735="1111",TH!M735="1111")),TH!D735,""),"")</f>
        <v/>
      </c>
      <c r="B735" s="11">
        <f t="shared" si="60"/>
        <v>6</v>
      </c>
      <c r="C735" s="115">
        <f t="shared" si="58"/>
        <v>40723</v>
      </c>
      <c r="D735" s="110" t="s">
        <v>701</v>
      </c>
      <c r="E735" s="115">
        <v>40723</v>
      </c>
      <c r="F735" s="116" t="s">
        <v>603</v>
      </c>
      <c r="G735" s="224" t="s">
        <v>600</v>
      </c>
      <c r="H735" s="117" t="s">
        <v>536</v>
      </c>
      <c r="I735" s="141">
        <v>640</v>
      </c>
      <c r="J735" s="141">
        <v>23975</v>
      </c>
      <c r="K735" s="238">
        <f>ROUND(I735*J735,0)</f>
        <v>15344000</v>
      </c>
      <c r="L735" s="118" t="s">
        <v>147</v>
      </c>
      <c r="M735" s="118" t="s">
        <v>8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/>
      </c>
      <c r="Z735" s="132">
        <v>7</v>
      </c>
    </row>
    <row r="736" spans="1:26" ht="15.75" customHeight="1">
      <c r="A736" s="125" t="str">
        <f>IF(B736&lt;&gt;"",IF(AND(B736&gt;=_TM1,B736&lt;=_TM2,OR(TH!L736="1111",TH!M736="1111")),TH!D736,""),"")</f>
        <v/>
      </c>
      <c r="B736" s="11">
        <f t="shared" si="60"/>
        <v>6</v>
      </c>
      <c r="C736" s="115">
        <f t="shared" si="58"/>
        <v>40723</v>
      </c>
      <c r="D736" s="110" t="s">
        <v>701</v>
      </c>
      <c r="E736" s="115">
        <v>40723</v>
      </c>
      <c r="F736" s="116" t="s">
        <v>604</v>
      </c>
      <c r="G736" s="224" t="s">
        <v>600</v>
      </c>
      <c r="H736" s="117" t="s">
        <v>536</v>
      </c>
      <c r="I736" s="141">
        <v>170</v>
      </c>
      <c r="J736" s="141">
        <v>16703</v>
      </c>
      <c r="K736" s="238">
        <f>ROUND(I736*J736,0)</f>
        <v>2839510</v>
      </c>
      <c r="L736" s="118" t="s">
        <v>147</v>
      </c>
      <c r="M736" s="118" t="s">
        <v>8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/>
      </c>
      <c r="Z736" s="132">
        <v>7</v>
      </c>
    </row>
    <row r="737" spans="1:26" ht="15.75" customHeight="1">
      <c r="A737" s="125" t="str">
        <f>IF(B737&lt;&gt;"",IF(AND(B737&gt;=_TM1,B737&lt;=_TM2,OR(TH!L737="1111",TH!M737="1111")),TH!D737,""),"")</f>
        <v/>
      </c>
      <c r="B737" s="11">
        <f t="shared" si="60"/>
        <v>6</v>
      </c>
      <c r="C737" s="115">
        <f t="shared" si="58"/>
        <v>40723</v>
      </c>
      <c r="D737" s="110" t="s">
        <v>701</v>
      </c>
      <c r="E737" s="115">
        <v>40723</v>
      </c>
      <c r="F737" s="116" t="s">
        <v>537</v>
      </c>
      <c r="G737" s="224" t="s">
        <v>600</v>
      </c>
      <c r="H737" s="117" t="s">
        <v>536</v>
      </c>
      <c r="I737" s="141"/>
      <c r="J737" s="141"/>
      <c r="K737" s="13">
        <v>2327643</v>
      </c>
      <c r="L737" s="118" t="s">
        <v>9</v>
      </c>
      <c r="M737" s="118" t="s">
        <v>8</v>
      </c>
      <c r="N737" s="25" t="str">
        <f>IF(AND('331-CT'!$E$7=TH!H737,OR(L737="331",M737="331")),"331",IF(AND(OR(L737="131",M737="131"),H737='131-CT'!$E$7),"131",""))</f>
        <v/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/>
      </c>
      <c r="Z737" s="132">
        <v>7</v>
      </c>
    </row>
    <row r="738" spans="1:26" ht="15.75" customHeight="1">
      <c r="A738" s="125" t="str">
        <f>IF(B738&lt;&gt;"",IF(AND(B738&gt;=_TM1,B738&lt;=_TM2,OR(TH!L738="1111",TH!M738="1111")),TH!D738,""),"")</f>
        <v/>
      </c>
      <c r="B738" s="11">
        <f t="shared" si="60"/>
        <v>6</v>
      </c>
      <c r="C738" s="115">
        <f t="shared" si="58"/>
        <v>40723</v>
      </c>
      <c r="D738" s="110" t="s">
        <v>702</v>
      </c>
      <c r="E738" s="305">
        <v>40723</v>
      </c>
      <c r="F738" s="114" t="s">
        <v>612</v>
      </c>
      <c r="G738" s="224" t="s">
        <v>611</v>
      </c>
      <c r="H738" s="4" t="s">
        <v>476</v>
      </c>
      <c r="I738" s="145">
        <v>510</v>
      </c>
      <c r="J738" s="145">
        <v>7207</v>
      </c>
      <c r="K738" s="238">
        <f>ROUND(I738*J738,0)</f>
        <v>3675570</v>
      </c>
      <c r="L738" s="118" t="s">
        <v>147</v>
      </c>
      <c r="M738" s="118" t="s">
        <v>8</v>
      </c>
      <c r="N738" s="25" t="str">
        <f>IF(AND('331-CT'!$E$7=TH!H738,OR(L738="331",M738="331")),"331",IF(AND(OR(L738="131",M738="131"),H738='131-CT'!$E$7),"131",""))</f>
        <v>331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/>
      </c>
      <c r="Z738" s="132">
        <v>7</v>
      </c>
    </row>
    <row r="739" spans="1:26" ht="15.75" customHeight="1">
      <c r="A739" s="125" t="str">
        <f>IF(B739&lt;&gt;"",IF(AND(B739&gt;=_TM1,B739&lt;=_TM2,OR(TH!L739="1111",TH!M739="1111")),TH!D739,""),"")</f>
        <v/>
      </c>
      <c r="B739" s="11">
        <f t="shared" si="60"/>
        <v>6</v>
      </c>
      <c r="C739" s="115">
        <f t="shared" si="58"/>
        <v>40723</v>
      </c>
      <c r="D739" s="110" t="s">
        <v>702</v>
      </c>
      <c r="E739" s="305">
        <v>40723</v>
      </c>
      <c r="F739" s="114" t="s">
        <v>613</v>
      </c>
      <c r="G739" s="224" t="s">
        <v>611</v>
      </c>
      <c r="H739" s="4" t="s">
        <v>476</v>
      </c>
      <c r="I739" s="141">
        <v>123</v>
      </c>
      <c r="J739" s="141">
        <v>35812</v>
      </c>
      <c r="K739" s="238">
        <f>ROUND(I739*J739,0)</f>
        <v>4404876</v>
      </c>
      <c r="L739" s="118" t="s">
        <v>147</v>
      </c>
      <c r="M739" s="118" t="s">
        <v>8</v>
      </c>
      <c r="N739" s="25" t="str">
        <f>IF(AND('331-CT'!$E$7=TH!H739,OR(L739="331",M739="331")),"331",IF(AND(OR(L739="131",M739="131"),H739='131-CT'!$E$7),"131",""))</f>
        <v>331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/>
      </c>
      <c r="Z739" s="132">
        <v>7</v>
      </c>
    </row>
    <row r="740" spans="1:26" ht="15.75" customHeight="1">
      <c r="A740" s="125" t="str">
        <f>IF(B740&lt;&gt;"",IF(AND(B740&gt;=_TM1,B740&lt;=_TM2,OR(TH!L740="1111",TH!M740="1111")),TH!D740,""),"")</f>
        <v/>
      </c>
      <c r="B740" s="11">
        <f t="shared" si="60"/>
        <v>6</v>
      </c>
      <c r="C740" s="115">
        <f t="shared" si="58"/>
        <v>40723</v>
      </c>
      <c r="D740" s="110" t="s">
        <v>702</v>
      </c>
      <c r="E740" s="305">
        <v>40723</v>
      </c>
      <c r="F740" s="114" t="s">
        <v>357</v>
      </c>
      <c r="G740" s="224" t="s">
        <v>611</v>
      </c>
      <c r="H740" s="4" t="s">
        <v>476</v>
      </c>
      <c r="I740" s="141"/>
      <c r="J740" s="141"/>
      <c r="K740" s="13">
        <v>808045</v>
      </c>
      <c r="L740" s="118" t="s">
        <v>9</v>
      </c>
      <c r="M740" s="118" t="s">
        <v>8</v>
      </c>
      <c r="N740" s="25" t="str">
        <f>IF(AND('331-CT'!$E$7=TH!H740,OR(L740="331",M740="331")),"331",IF(AND(OR(L740="131",M740="131"),H740='131-CT'!$E$7),"131",""))</f>
        <v>331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/>
      </c>
      <c r="Z740" s="132">
        <v>7</v>
      </c>
    </row>
    <row r="741" spans="1:26" ht="15.75" customHeight="1">
      <c r="A741" s="125" t="str">
        <f>IF(B741&lt;&gt;"",IF(AND(B741&gt;=_TM1,B741&lt;=_TM2,OR(TH!L741="1111",TH!M741="1111")),TH!D741,""),"")</f>
        <v/>
      </c>
      <c r="B741" s="11">
        <f t="shared" si="60"/>
        <v>6</v>
      </c>
      <c r="C741" s="115">
        <v>40723</v>
      </c>
      <c r="D741" s="115" t="s">
        <v>900</v>
      </c>
      <c r="E741" s="110">
        <v>40723</v>
      </c>
      <c r="F741" s="116" t="s">
        <v>855</v>
      </c>
      <c r="G741" s="224" t="s">
        <v>868</v>
      </c>
      <c r="H741" s="131" t="s">
        <v>854</v>
      </c>
      <c r="I741" s="141"/>
      <c r="J741" s="141"/>
      <c r="K741" s="238">
        <v>15903800</v>
      </c>
      <c r="L741" s="118" t="s">
        <v>44</v>
      </c>
      <c r="M741" s="118" t="s">
        <v>237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/>
      </c>
      <c r="Z741" s="121"/>
    </row>
    <row r="742" spans="1:26" ht="15.75" customHeight="1">
      <c r="A742" s="125" t="str">
        <f>IF(B742&lt;&gt;"",IF(AND(B742&gt;=_TM1,B742&lt;=_TM2,OR(TH!L742="1111",TH!M742="1111")),TH!D742,""),"")</f>
        <v/>
      </c>
      <c r="B742" s="11">
        <f t="shared" si="60"/>
        <v>6</v>
      </c>
      <c r="C742" s="115">
        <v>40723</v>
      </c>
      <c r="D742" s="115" t="s">
        <v>922</v>
      </c>
      <c r="E742" s="110">
        <v>40723</v>
      </c>
      <c r="F742" s="114" t="s">
        <v>859</v>
      </c>
      <c r="G742" s="224" t="s">
        <v>370</v>
      </c>
      <c r="H742" s="4" t="s">
        <v>709</v>
      </c>
      <c r="I742" s="141">
        <v>17</v>
      </c>
      <c r="J742" s="141">
        <v>23643</v>
      </c>
      <c r="K742" s="238">
        <v>401931</v>
      </c>
      <c r="L742" s="118" t="s">
        <v>237</v>
      </c>
      <c r="M742" s="118" t="s">
        <v>163</v>
      </c>
      <c r="N742" s="25" t="str">
        <f>IF(AND('331-CT'!$E$7=TH!H742,OR(L742="331",M742="331")),"331",IF(AND(OR(L742="131",M742="131"),H742='131-CT'!$E$7),"131",""))</f>
        <v>131</v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/>
      </c>
      <c r="Z742" s="310"/>
    </row>
    <row r="743" spans="1:26" ht="15.75" customHeight="1">
      <c r="A743" s="125" t="str">
        <f>IF(B743&lt;&gt;"",IF(AND(B743&gt;=_TM1,B743&lt;=_TM2,OR(TH!L743="1111",TH!M743="1111")),TH!D743,""),"")</f>
        <v/>
      </c>
      <c r="B743" s="11">
        <f t="shared" si="60"/>
        <v>6</v>
      </c>
      <c r="C743" s="115">
        <v>40723</v>
      </c>
      <c r="D743" s="115" t="s">
        <v>922</v>
      </c>
      <c r="E743" s="110">
        <v>40723</v>
      </c>
      <c r="F743" s="114" t="s">
        <v>843</v>
      </c>
      <c r="G743" s="224" t="s">
        <v>370</v>
      </c>
      <c r="H743" s="4" t="s">
        <v>709</v>
      </c>
      <c r="I743" s="141">
        <v>8</v>
      </c>
      <c r="J743" s="141">
        <v>26855</v>
      </c>
      <c r="K743" s="238">
        <v>214840</v>
      </c>
      <c r="L743" s="118" t="s">
        <v>237</v>
      </c>
      <c r="M743" s="118" t="s">
        <v>163</v>
      </c>
      <c r="N743" s="25" t="str">
        <f>IF(AND('331-CT'!$E$7=TH!H743,OR(L743="331",M743="331")),"331",IF(AND(OR(L743="131",M743="131"),H743='131-CT'!$E$7),"131",""))</f>
        <v>131</v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/>
      </c>
      <c r="Z743" s="310"/>
    </row>
    <row r="744" spans="1:26" ht="15.75" customHeight="1">
      <c r="A744" s="125" t="str">
        <f>IF(B744&lt;&gt;"",IF(AND(B744&gt;=_TM1,B744&lt;=_TM2,OR(TH!L744="1111",TH!M744="1111")),TH!D744,""),"")</f>
        <v/>
      </c>
      <c r="B744" s="11">
        <f t="shared" si="60"/>
        <v>6</v>
      </c>
      <c r="C744" s="115">
        <v>40723</v>
      </c>
      <c r="D744" s="115" t="s">
        <v>922</v>
      </c>
      <c r="E744" s="110">
        <v>40723</v>
      </c>
      <c r="F744" s="114" t="s">
        <v>833</v>
      </c>
      <c r="G744" s="224" t="s">
        <v>370</v>
      </c>
      <c r="H744" s="4" t="s">
        <v>709</v>
      </c>
      <c r="I744" s="141">
        <v>38</v>
      </c>
      <c r="J744" s="141">
        <v>25535</v>
      </c>
      <c r="K744" s="238">
        <v>970330</v>
      </c>
      <c r="L744" s="118" t="s">
        <v>237</v>
      </c>
      <c r="M744" s="118" t="s">
        <v>163</v>
      </c>
      <c r="N744" s="25" t="str">
        <f>IF(AND('331-CT'!$E$7=TH!H744,OR(L744="331",M744="331")),"331",IF(AND(OR(L744="131",M744="131"),H744='131-CT'!$E$7),"131",""))</f>
        <v>131</v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/>
      </c>
      <c r="Z744" s="310"/>
    </row>
    <row r="745" spans="1:26" ht="15.75" customHeight="1">
      <c r="A745" s="125" t="str">
        <f>IF(B745&lt;&gt;"",IF(AND(B745&gt;=_TM1,B745&lt;=_TM2,OR(TH!L745="1111",TH!M745="1111")),TH!D745,""),"")</f>
        <v/>
      </c>
      <c r="B745" s="11">
        <f t="shared" si="60"/>
        <v>6</v>
      </c>
      <c r="C745" s="115">
        <v>40723</v>
      </c>
      <c r="D745" s="115" t="s">
        <v>922</v>
      </c>
      <c r="E745" s="110">
        <v>40723</v>
      </c>
      <c r="F745" s="114" t="s">
        <v>860</v>
      </c>
      <c r="G745" s="224" t="s">
        <v>370</v>
      </c>
      <c r="H745" s="4" t="s">
        <v>709</v>
      </c>
      <c r="I745" s="141">
        <v>47</v>
      </c>
      <c r="J745" s="141">
        <v>21721</v>
      </c>
      <c r="K745" s="238">
        <v>1020887</v>
      </c>
      <c r="L745" s="118" t="s">
        <v>237</v>
      </c>
      <c r="M745" s="118" t="s">
        <v>163</v>
      </c>
      <c r="N745" s="25" t="str">
        <f>IF(AND('331-CT'!$E$7=TH!H745,OR(L745="331",M745="331")),"331",IF(AND(OR(L745="131",M745="131"),H745='131-CT'!$E$7),"131",""))</f>
        <v>131</v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/>
      </c>
      <c r="Z745" s="310"/>
    </row>
    <row r="746" spans="1:26" ht="15.75" customHeight="1">
      <c r="A746" s="125" t="str">
        <f>IF(B746&lt;&gt;"",IF(AND(B746&gt;=_TM1,B746&lt;=_TM2,OR(TH!L746="1111",TH!M746="1111")),TH!D746,""),"")</f>
        <v/>
      </c>
      <c r="B746" s="11">
        <f t="shared" si="60"/>
        <v>6</v>
      </c>
      <c r="C746" s="115">
        <v>40723</v>
      </c>
      <c r="D746" s="115" t="s">
        <v>922</v>
      </c>
      <c r="E746" s="110">
        <v>40723</v>
      </c>
      <c r="F746" s="114" t="s">
        <v>861</v>
      </c>
      <c r="G746" s="224" t="s">
        <v>370</v>
      </c>
      <c r="H746" s="4" t="s">
        <v>709</v>
      </c>
      <c r="I746" s="141">
        <v>830</v>
      </c>
      <c r="J746" s="141">
        <v>14435</v>
      </c>
      <c r="K746" s="238">
        <v>11981050</v>
      </c>
      <c r="L746" s="118" t="s">
        <v>237</v>
      </c>
      <c r="M746" s="118" t="s">
        <v>163</v>
      </c>
      <c r="N746" s="25" t="str">
        <f>IF(AND('331-CT'!$E$7=TH!H746,OR(L746="331",M746="331")),"331",IF(AND(OR(L746="131",M746="131"),H746='131-CT'!$E$7),"131",""))</f>
        <v>131</v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/>
      </c>
      <c r="Z746" s="310"/>
    </row>
    <row r="747" spans="1:26" ht="15.75" customHeight="1">
      <c r="A747" s="125" t="str">
        <f>IF(B747&lt;&gt;"",IF(AND(B747&gt;=_TM1,B747&lt;=_TM2,OR(TH!L747="1111",TH!M747="1111")),TH!D747,""),"")</f>
        <v/>
      </c>
      <c r="B747" s="11">
        <f t="shared" si="60"/>
        <v>6</v>
      </c>
      <c r="C747" s="115">
        <v>40723</v>
      </c>
      <c r="D747" s="115" t="s">
        <v>922</v>
      </c>
      <c r="E747" s="110">
        <v>40723</v>
      </c>
      <c r="F747" s="114" t="s">
        <v>727</v>
      </c>
      <c r="G747" s="224" t="s">
        <v>370</v>
      </c>
      <c r="H747" s="4" t="s">
        <v>709</v>
      </c>
      <c r="I747" s="141">
        <v>738</v>
      </c>
      <c r="J747" s="141">
        <v>14011</v>
      </c>
      <c r="K747" s="238">
        <v>10340118</v>
      </c>
      <c r="L747" s="118" t="s">
        <v>237</v>
      </c>
      <c r="M747" s="118" t="s">
        <v>163</v>
      </c>
      <c r="N747" s="25" t="str">
        <f>IF(AND('331-CT'!$E$7=TH!H747,OR(L747="331",M747="331")),"331",IF(AND(OR(L747="131",M747="131"),H747='131-CT'!$E$7),"131",""))</f>
        <v>131</v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/>
      </c>
      <c r="Z747" s="310"/>
    </row>
    <row r="748" spans="1:26" ht="15.75" customHeight="1">
      <c r="A748" s="125" t="str">
        <f>IF(B748&lt;&gt;"",IF(AND(B748&gt;=_TM1,B748&lt;=_TM2,OR(TH!L748="1111",TH!M748="1111")),TH!D748,""),"")</f>
        <v/>
      </c>
      <c r="B748" s="11">
        <f t="shared" si="60"/>
        <v>6</v>
      </c>
      <c r="C748" s="115">
        <v>40723</v>
      </c>
      <c r="D748" s="115" t="s">
        <v>922</v>
      </c>
      <c r="E748" s="110">
        <v>40723</v>
      </c>
      <c r="F748" s="114" t="s">
        <v>731</v>
      </c>
      <c r="G748" s="224" t="s">
        <v>370</v>
      </c>
      <c r="H748" s="4" t="s">
        <v>709</v>
      </c>
      <c r="I748" s="141">
        <v>2</v>
      </c>
      <c r="J748" s="141">
        <v>12177</v>
      </c>
      <c r="K748" s="238">
        <v>24354</v>
      </c>
      <c r="L748" s="118" t="s">
        <v>237</v>
      </c>
      <c r="M748" s="118" t="s">
        <v>163</v>
      </c>
      <c r="N748" s="25" t="str">
        <f>IF(AND('331-CT'!$E$7=TH!H748,OR(L748="331",M748="331")),"331",IF(AND(OR(L748="131",M748="131"),H748='131-CT'!$E$7),"131",""))</f>
        <v>131</v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/>
      </c>
      <c r="Z748" s="310"/>
    </row>
    <row r="749" spans="1:26" ht="15.75" customHeight="1">
      <c r="A749" s="125" t="str">
        <f>IF(B749&lt;&gt;"",IF(AND(B749&gt;=_TM1,B749&lt;=_TM2,OR(TH!L749="1111",TH!M749="1111")),TH!D749,""),"")</f>
        <v/>
      </c>
      <c r="B749" s="11">
        <f t="shared" si="60"/>
        <v>6</v>
      </c>
      <c r="C749" s="115">
        <v>40723</v>
      </c>
      <c r="D749" s="115" t="s">
        <v>922</v>
      </c>
      <c r="E749" s="110">
        <v>40723</v>
      </c>
      <c r="F749" s="114" t="s">
        <v>862</v>
      </c>
      <c r="G749" s="224" t="s">
        <v>370</v>
      </c>
      <c r="H749" s="4" t="s">
        <v>709</v>
      </c>
      <c r="I749" s="141">
        <v>2</v>
      </c>
      <c r="J749" s="141">
        <v>12562</v>
      </c>
      <c r="K749" s="238">
        <v>25124</v>
      </c>
      <c r="L749" s="118" t="s">
        <v>237</v>
      </c>
      <c r="M749" s="118" t="s">
        <v>163</v>
      </c>
      <c r="N749" s="25" t="str">
        <f>IF(AND('331-CT'!$E$7=TH!H749,OR(L749="331",M749="331")),"331",IF(AND(OR(L749="131",M749="131"),H749='131-CT'!$E$7),"131",""))</f>
        <v>131</v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/>
      </c>
      <c r="Z749" s="310"/>
    </row>
    <row r="750" spans="1:26" ht="15.75" customHeight="1">
      <c r="A750" s="125" t="str">
        <f>IF(B750&lt;&gt;"",IF(AND(B750&gt;=_TM1,B750&lt;=_TM2,OR(TH!L750="1111",TH!M750="1111")),TH!D750,""),"")</f>
        <v/>
      </c>
      <c r="B750" s="11">
        <f t="shared" si="60"/>
        <v>6</v>
      </c>
      <c r="C750" s="115">
        <v>40723</v>
      </c>
      <c r="D750" s="115" t="s">
        <v>922</v>
      </c>
      <c r="E750" s="110">
        <v>40723</v>
      </c>
      <c r="F750" s="116" t="s">
        <v>796</v>
      </c>
      <c r="G750" s="224" t="s">
        <v>370</v>
      </c>
      <c r="H750" s="4" t="s">
        <v>709</v>
      </c>
      <c r="I750" s="141"/>
      <c r="J750" s="141"/>
      <c r="K750" s="238">
        <v>2497863</v>
      </c>
      <c r="L750" s="118" t="s">
        <v>237</v>
      </c>
      <c r="M750" s="118" t="s">
        <v>707</v>
      </c>
      <c r="N750" s="25" t="str">
        <f>IF(AND('331-CT'!$E$7=TH!H750,OR(L750="331",M750="331")),"331",IF(AND(OR(L750="131",M750="131"),H750='131-CT'!$E$7),"131",""))</f>
        <v>131</v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/>
      </c>
      <c r="Z750" s="310"/>
    </row>
    <row r="751" spans="1:26" ht="15.75" customHeight="1">
      <c r="A751" s="125" t="str">
        <f>IF(B751&lt;&gt;"",IF(AND(B751&gt;=_TM1,B751&lt;=_TM2,OR(TH!L751="1111",TH!M751="1111")),TH!D751,""),"")</f>
        <v/>
      </c>
      <c r="B751" s="11">
        <f t="shared" si="60"/>
        <v>6</v>
      </c>
      <c r="C751" s="115">
        <v>40723</v>
      </c>
      <c r="D751" s="115" t="s">
        <v>923</v>
      </c>
      <c r="E751" s="110">
        <v>40723</v>
      </c>
      <c r="F751" s="114" t="s">
        <v>862</v>
      </c>
      <c r="G751" s="224" t="s">
        <v>829</v>
      </c>
      <c r="H751" s="4" t="s">
        <v>709</v>
      </c>
      <c r="I751" s="141">
        <v>21</v>
      </c>
      <c r="J751" s="141">
        <v>17837</v>
      </c>
      <c r="K751" s="238">
        <v>374577</v>
      </c>
      <c r="L751" s="118" t="s">
        <v>237</v>
      </c>
      <c r="M751" s="118" t="s">
        <v>163</v>
      </c>
      <c r="N751" s="25" t="str">
        <f>IF(AND('331-CT'!$E$7=TH!H751,OR(L751="331",M751="331")),"331",IF(AND(OR(L751="131",M751="131"),H751='131-CT'!$E$7),"131",""))</f>
        <v>131</v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/>
      </c>
      <c r="Z751" s="310"/>
    </row>
    <row r="752" spans="1:26" ht="15.75" customHeight="1">
      <c r="A752" s="125" t="str">
        <f>IF(B752&lt;&gt;"",IF(AND(B752&gt;=_TM1,B752&lt;=_TM2,OR(TH!L752="1111",TH!M752="1111")),TH!D752,""),"")</f>
        <v/>
      </c>
      <c r="B752" s="11">
        <f t="shared" si="60"/>
        <v>6</v>
      </c>
      <c r="C752" s="115">
        <v>40723</v>
      </c>
      <c r="D752" s="115" t="s">
        <v>923</v>
      </c>
      <c r="E752" s="110">
        <v>40723</v>
      </c>
      <c r="F752" s="114" t="s">
        <v>869</v>
      </c>
      <c r="G752" s="224" t="s">
        <v>829</v>
      </c>
      <c r="H752" s="4" t="s">
        <v>709</v>
      </c>
      <c r="I752" s="141">
        <v>33</v>
      </c>
      <c r="J752" s="141">
        <v>17008</v>
      </c>
      <c r="K752" s="238">
        <v>561264</v>
      </c>
      <c r="L752" s="118" t="s">
        <v>237</v>
      </c>
      <c r="M752" s="118" t="s">
        <v>163</v>
      </c>
      <c r="N752" s="25" t="str">
        <f>IF(AND('331-CT'!$E$7=TH!H752,OR(L752="331",M752="331")),"331",IF(AND(OR(L752="131",M752="131"),H752='131-CT'!$E$7),"131",""))</f>
        <v>131</v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/>
      </c>
      <c r="Z752" s="310"/>
    </row>
    <row r="753" spans="1:26" ht="15.75" customHeight="1">
      <c r="A753" s="125" t="str">
        <f>IF(B753&lt;&gt;"",IF(AND(B753&gt;=_TM1,B753&lt;=_TM2,OR(TH!L753="1111",TH!M753="1111")),TH!D753,""),"")</f>
        <v/>
      </c>
      <c r="B753" s="11">
        <f t="shared" si="60"/>
        <v>6</v>
      </c>
      <c r="C753" s="115">
        <v>40723</v>
      </c>
      <c r="D753" s="115" t="s">
        <v>923</v>
      </c>
      <c r="E753" s="110">
        <v>40723</v>
      </c>
      <c r="F753" s="114" t="s">
        <v>718</v>
      </c>
      <c r="G753" s="224" t="s">
        <v>829</v>
      </c>
      <c r="H753" s="4" t="s">
        <v>709</v>
      </c>
      <c r="I753" s="141">
        <v>390</v>
      </c>
      <c r="J753" s="141">
        <v>19820</v>
      </c>
      <c r="K753" s="238">
        <v>7729800</v>
      </c>
      <c r="L753" s="118" t="s">
        <v>237</v>
      </c>
      <c r="M753" s="118" t="s">
        <v>163</v>
      </c>
      <c r="N753" s="25" t="str">
        <f>IF(AND('331-CT'!$E$7=TH!H753,OR(L753="331",M753="331")),"331",IF(AND(OR(L753="131",M753="131"),H753='131-CT'!$E$7),"131",""))</f>
        <v>131</v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/>
      </c>
      <c r="Z753" s="310"/>
    </row>
    <row r="754" spans="1:26" ht="15.75" customHeight="1">
      <c r="A754" s="125" t="str">
        <f>IF(B754&lt;&gt;"",IF(AND(B754&gt;=_TM1,B754&lt;=_TM2,OR(TH!L754="1111",TH!M754="1111")),TH!D754,""),"")</f>
        <v/>
      </c>
      <c r="B754" s="11">
        <f t="shared" si="60"/>
        <v>6</v>
      </c>
      <c r="C754" s="115">
        <v>40723</v>
      </c>
      <c r="D754" s="115" t="s">
        <v>923</v>
      </c>
      <c r="E754" s="110">
        <v>40723</v>
      </c>
      <c r="F754" s="114" t="s">
        <v>722</v>
      </c>
      <c r="G754" s="224" t="s">
        <v>829</v>
      </c>
      <c r="H754" s="4" t="s">
        <v>709</v>
      </c>
      <c r="I754" s="141">
        <v>482</v>
      </c>
      <c r="J754" s="141">
        <v>10600</v>
      </c>
      <c r="K754" s="238">
        <v>5109200</v>
      </c>
      <c r="L754" s="118" t="s">
        <v>237</v>
      </c>
      <c r="M754" s="118" t="s">
        <v>163</v>
      </c>
      <c r="N754" s="25" t="str">
        <f>IF(AND('331-CT'!$E$7=TH!H754,OR(L754="331",M754="331")),"331",IF(AND(OR(L754="131",M754="131"),H754='131-CT'!$E$7),"131",""))</f>
        <v>131</v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/>
      </c>
      <c r="Z754" s="310"/>
    </row>
    <row r="755" spans="1:26" ht="15.75" customHeight="1">
      <c r="A755" s="125" t="str">
        <f>IF(B755&lt;&gt;"",IF(AND(B755&gt;=_TM1,B755&lt;=_TM2,OR(TH!L755="1111",TH!M755="1111")),TH!D755,""),"")</f>
        <v/>
      </c>
      <c r="B755" s="11">
        <f t="shared" si="60"/>
        <v>6</v>
      </c>
      <c r="C755" s="115">
        <v>40723</v>
      </c>
      <c r="D755" s="115" t="s">
        <v>923</v>
      </c>
      <c r="E755" s="110">
        <v>40723</v>
      </c>
      <c r="F755" s="114" t="s">
        <v>862</v>
      </c>
      <c r="G755" s="224" t="s">
        <v>829</v>
      </c>
      <c r="H755" s="4" t="s">
        <v>709</v>
      </c>
      <c r="I755" s="141">
        <v>56</v>
      </c>
      <c r="J755" s="141">
        <v>16713</v>
      </c>
      <c r="K755" s="238">
        <v>935928</v>
      </c>
      <c r="L755" s="118" t="s">
        <v>237</v>
      </c>
      <c r="M755" s="118" t="s">
        <v>163</v>
      </c>
      <c r="N755" s="25" t="str">
        <f>IF(AND('331-CT'!$E$7=TH!H755,OR(L755="331",M755="331")),"331",IF(AND(OR(L755="131",M755="131"),H755='131-CT'!$E$7),"131",""))</f>
        <v>131</v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/>
      </c>
      <c r="Z755" s="310"/>
    </row>
    <row r="756" spans="1:26" ht="15.75" customHeight="1">
      <c r="A756" s="125" t="str">
        <f>IF(B756&lt;&gt;"",IF(AND(B756&gt;=_TM1,B756&lt;=_TM2,OR(TH!L756="1111",TH!M756="1111")),TH!D756,""),"")</f>
        <v/>
      </c>
      <c r="B756" s="11">
        <f t="shared" si="60"/>
        <v>6</v>
      </c>
      <c r="C756" s="115">
        <v>40723</v>
      </c>
      <c r="D756" s="115" t="s">
        <v>923</v>
      </c>
      <c r="E756" s="110">
        <v>40723</v>
      </c>
      <c r="F756" s="116" t="s">
        <v>870</v>
      </c>
      <c r="G756" s="224" t="s">
        <v>829</v>
      </c>
      <c r="H756" s="4" t="s">
        <v>709</v>
      </c>
      <c r="I756" s="141">
        <v>203</v>
      </c>
      <c r="J756" s="141">
        <v>8450</v>
      </c>
      <c r="K756" s="238">
        <v>1715350</v>
      </c>
      <c r="L756" s="118" t="s">
        <v>237</v>
      </c>
      <c r="M756" s="118" t="s">
        <v>163</v>
      </c>
      <c r="N756" s="25" t="str">
        <f>IF(AND('331-CT'!$E$7=TH!H756,OR(L756="331",M756="331")),"331",IF(AND(OR(L756="131",M756="131"),H756='131-CT'!$E$7),"131",""))</f>
        <v>131</v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/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/>
      </c>
      <c r="Z756" s="310"/>
    </row>
    <row r="757" spans="1:26" ht="15.75" customHeight="1">
      <c r="A757" s="125" t="str">
        <f>IF(B757&lt;&gt;"",IF(AND(B757&gt;=_TM1,B757&lt;=_TM2,OR(TH!L757="1111",TH!M757="1111")),TH!D757,""),"")</f>
        <v/>
      </c>
      <c r="B757" s="11">
        <f t="shared" si="60"/>
        <v>6</v>
      </c>
      <c r="C757" s="115">
        <v>40723</v>
      </c>
      <c r="D757" s="115" t="s">
        <v>923</v>
      </c>
      <c r="E757" s="110">
        <v>40723</v>
      </c>
      <c r="F757" s="114" t="s">
        <v>871</v>
      </c>
      <c r="G757" s="224" t="s">
        <v>829</v>
      </c>
      <c r="H757" s="4" t="s">
        <v>709</v>
      </c>
      <c r="I757" s="141">
        <v>1</v>
      </c>
      <c r="J757" s="141">
        <v>5778</v>
      </c>
      <c r="K757" s="238">
        <v>5778</v>
      </c>
      <c r="L757" s="118" t="s">
        <v>237</v>
      </c>
      <c r="M757" s="118" t="s">
        <v>163</v>
      </c>
      <c r="N757" s="25" t="str">
        <f>IF(AND('331-CT'!$E$7=TH!H757,OR(L757="331",M757="331")),"331",IF(AND(OR(L757="131",M757="131"),H757='131-CT'!$E$7),"131",""))</f>
        <v>131</v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/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/>
      </c>
      <c r="Z757" s="310"/>
    </row>
    <row r="758" spans="1:26" ht="15.75" customHeight="1">
      <c r="A758" s="125" t="str">
        <f>IF(B758&lt;&gt;"",IF(AND(B758&gt;=_TM1,B758&lt;=_TM2,OR(TH!L758="1111",TH!M758="1111")),TH!D758,""),"")</f>
        <v/>
      </c>
      <c r="B758" s="11">
        <f t="shared" si="60"/>
        <v>6</v>
      </c>
      <c r="C758" s="115">
        <v>40723</v>
      </c>
      <c r="D758" s="115" t="s">
        <v>923</v>
      </c>
      <c r="E758" s="110">
        <v>40723</v>
      </c>
      <c r="F758" s="114" t="s">
        <v>724</v>
      </c>
      <c r="G758" s="224" t="s">
        <v>829</v>
      </c>
      <c r="H758" s="4" t="s">
        <v>709</v>
      </c>
      <c r="I758" s="141">
        <v>1</v>
      </c>
      <c r="J758" s="141">
        <v>10255</v>
      </c>
      <c r="K758" s="238">
        <v>10255</v>
      </c>
      <c r="L758" s="118" t="s">
        <v>237</v>
      </c>
      <c r="M758" s="118" t="s">
        <v>163</v>
      </c>
      <c r="N758" s="25" t="str">
        <f>IF(AND('331-CT'!$E$7=TH!H758,OR(L758="331",M758="331")),"331",IF(AND(OR(L758="131",M758="131"),H758='131-CT'!$E$7),"131",""))</f>
        <v>131</v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/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/>
      </c>
      <c r="Z758" s="310"/>
    </row>
    <row r="759" spans="1:26" ht="15.75" customHeight="1">
      <c r="A759" s="125" t="str">
        <f>IF(B759&lt;&gt;"",IF(AND(B759&gt;=_TM1,B759&lt;=_TM2,OR(TH!L759="1111",TH!M759="1111")),TH!D759,""),"")</f>
        <v/>
      </c>
      <c r="B759" s="11">
        <f t="shared" si="60"/>
        <v>6</v>
      </c>
      <c r="C759" s="115">
        <v>40723</v>
      </c>
      <c r="D759" s="115" t="s">
        <v>923</v>
      </c>
      <c r="E759" s="110">
        <v>40723</v>
      </c>
      <c r="F759" s="116" t="s">
        <v>796</v>
      </c>
      <c r="G759" s="224" t="s">
        <v>829</v>
      </c>
      <c r="H759" s="4" t="s">
        <v>709</v>
      </c>
      <c r="I759" s="141"/>
      <c r="J759" s="141"/>
      <c r="K759" s="238">
        <v>1644215</v>
      </c>
      <c r="L759" s="118" t="s">
        <v>237</v>
      </c>
      <c r="M759" s="118" t="s">
        <v>707</v>
      </c>
      <c r="N759" s="25" t="str">
        <f>IF(AND('331-CT'!$E$7=TH!H759,OR(L759="331",M759="331")),"331",IF(AND(OR(L759="131",M759="131"),H759='131-CT'!$E$7),"131",""))</f>
        <v>131</v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/>
      </c>
      <c r="Z759" s="310"/>
    </row>
    <row r="760" spans="1:26" ht="15.75" customHeight="1">
      <c r="A760" s="125" t="str">
        <f>IF(B760&lt;&gt;"",IF(AND(B760&gt;=_TM1,B760&lt;=_TM2,OR(TH!L760="1111",TH!M760="1111")),TH!D760,""),"")</f>
        <v/>
      </c>
      <c r="B760" s="11">
        <f t="shared" si="60"/>
        <v>6</v>
      </c>
      <c r="C760" s="115">
        <v>40723</v>
      </c>
      <c r="D760" s="115" t="s">
        <v>924</v>
      </c>
      <c r="E760" s="110">
        <v>40723</v>
      </c>
      <c r="F760" s="114" t="s">
        <v>872</v>
      </c>
      <c r="G760" s="224" t="s">
        <v>836</v>
      </c>
      <c r="H760" s="4" t="s">
        <v>709</v>
      </c>
      <c r="I760" s="141">
        <v>2</v>
      </c>
      <c r="J760" s="141">
        <v>7089</v>
      </c>
      <c r="K760" s="238">
        <v>14178</v>
      </c>
      <c r="L760" s="118" t="s">
        <v>237</v>
      </c>
      <c r="M760" s="118" t="s">
        <v>163</v>
      </c>
      <c r="N760" s="25" t="str">
        <f>IF(AND('331-CT'!$E$7=TH!H760,OR(L760="331",M760="331")),"331",IF(AND(OR(L760="131",M760="131"),H760='131-CT'!$E$7),"131",""))</f>
        <v>131</v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/>
      </c>
      <c r="Z760" s="310"/>
    </row>
    <row r="761" spans="1:26" ht="15.75" customHeight="1">
      <c r="A761" s="125" t="str">
        <f>IF(B761&lt;&gt;"",IF(AND(B761&gt;=_TM1,B761&lt;=_TM2,OR(TH!L761="1111",TH!M761="1111")),TH!D761,""),"")</f>
        <v/>
      </c>
      <c r="B761" s="11">
        <f t="shared" si="60"/>
        <v>6</v>
      </c>
      <c r="C761" s="115">
        <v>40723</v>
      </c>
      <c r="D761" s="115" t="s">
        <v>924</v>
      </c>
      <c r="E761" s="110">
        <v>40723</v>
      </c>
      <c r="F761" s="114" t="s">
        <v>735</v>
      </c>
      <c r="G761" s="224" t="s">
        <v>836</v>
      </c>
      <c r="H761" s="4" t="s">
        <v>709</v>
      </c>
      <c r="I761" s="141">
        <v>1</v>
      </c>
      <c r="J761" s="141">
        <v>15135</v>
      </c>
      <c r="K761" s="238">
        <v>15135</v>
      </c>
      <c r="L761" s="118" t="s">
        <v>237</v>
      </c>
      <c r="M761" s="118" t="s">
        <v>163</v>
      </c>
      <c r="N761" s="25" t="str">
        <f>IF(AND('331-CT'!$E$7=TH!H761,OR(L761="331",M761="331")),"331",IF(AND(OR(L761="131",M761="131"),H761='131-CT'!$E$7),"131",""))</f>
        <v>131</v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/>
      </c>
      <c r="Z761" s="310"/>
    </row>
    <row r="762" spans="1:26" ht="15.75" customHeight="1">
      <c r="A762" s="125" t="str">
        <f>IF(B762&lt;&gt;"",IF(AND(B762&gt;=_TM1,B762&lt;=_TM2,OR(TH!L762="1111",TH!M762="1111")),TH!D762,""),"")</f>
        <v/>
      </c>
      <c r="B762" s="11">
        <f t="shared" si="60"/>
        <v>6</v>
      </c>
      <c r="C762" s="115">
        <v>40723</v>
      </c>
      <c r="D762" s="115" t="s">
        <v>924</v>
      </c>
      <c r="E762" s="110">
        <v>40723</v>
      </c>
      <c r="F762" s="114" t="s">
        <v>873</v>
      </c>
      <c r="G762" s="224" t="s">
        <v>836</v>
      </c>
      <c r="H762" s="4" t="s">
        <v>709</v>
      </c>
      <c r="I762" s="141">
        <v>9</v>
      </c>
      <c r="J762" s="141">
        <v>15056</v>
      </c>
      <c r="K762" s="238">
        <v>135504</v>
      </c>
      <c r="L762" s="118" t="s">
        <v>237</v>
      </c>
      <c r="M762" s="118" t="s">
        <v>163</v>
      </c>
      <c r="N762" s="25" t="str">
        <f>IF(AND('331-CT'!$E$7=TH!H762,OR(L762="331",M762="331")),"331",IF(AND(OR(L762="131",M762="131"),H762='131-CT'!$E$7),"131",""))</f>
        <v>131</v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/>
      </c>
      <c r="Z762" s="310"/>
    </row>
    <row r="763" spans="1:26" ht="15.75" customHeight="1">
      <c r="A763" s="125" t="str">
        <f>IF(B763&lt;&gt;"",IF(AND(B763&gt;=_TM1,B763&lt;=_TM2,OR(TH!L763="1111",TH!M763="1111")),TH!D763,""),"")</f>
        <v/>
      </c>
      <c r="B763" s="11">
        <f t="shared" si="60"/>
        <v>6</v>
      </c>
      <c r="C763" s="115">
        <v>40723</v>
      </c>
      <c r="D763" s="115" t="s">
        <v>924</v>
      </c>
      <c r="E763" s="110">
        <v>40723</v>
      </c>
      <c r="F763" s="116" t="s">
        <v>874</v>
      </c>
      <c r="G763" s="224" t="s">
        <v>836</v>
      </c>
      <c r="H763" s="4" t="s">
        <v>709</v>
      </c>
      <c r="I763" s="141">
        <v>291</v>
      </c>
      <c r="J763" s="141">
        <v>9880</v>
      </c>
      <c r="K763" s="238">
        <v>2875080</v>
      </c>
      <c r="L763" s="118" t="s">
        <v>237</v>
      </c>
      <c r="M763" s="118" t="s">
        <v>163</v>
      </c>
      <c r="N763" s="25" t="str">
        <f>IF(AND('331-CT'!$E$7=TH!H763,OR(L763="331",M763="331")),"331",IF(AND(OR(L763="131",M763="131"),H763='131-CT'!$E$7),"131",""))</f>
        <v>131</v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/>
      </c>
      <c r="Z763" s="310"/>
    </row>
    <row r="764" spans="1:26" ht="15.75" customHeight="1">
      <c r="A764" s="125" t="str">
        <f>IF(B764&lt;&gt;"",IF(AND(B764&gt;=_TM1,B764&lt;=_TM2,OR(TH!L764="1111",TH!M764="1111")),TH!D764,""),"")</f>
        <v/>
      </c>
      <c r="B764" s="11">
        <f t="shared" si="60"/>
        <v>6</v>
      </c>
      <c r="C764" s="115">
        <v>40723</v>
      </c>
      <c r="D764" s="115" t="s">
        <v>924</v>
      </c>
      <c r="E764" s="110">
        <v>40723</v>
      </c>
      <c r="F764" s="114" t="s">
        <v>862</v>
      </c>
      <c r="G764" s="224" t="s">
        <v>836</v>
      </c>
      <c r="H764" s="4" t="s">
        <v>709</v>
      </c>
      <c r="I764" s="141">
        <v>1</v>
      </c>
      <c r="J764" s="141">
        <v>9259</v>
      </c>
      <c r="K764" s="238">
        <v>9259</v>
      </c>
      <c r="L764" s="118" t="s">
        <v>237</v>
      </c>
      <c r="M764" s="118" t="s">
        <v>163</v>
      </c>
      <c r="N764" s="25" t="str">
        <f>IF(AND('331-CT'!$E$7=TH!H764,OR(L764="331",M764="331")),"331",IF(AND(OR(L764="131",M764="131"),H764='131-CT'!$E$7),"131",""))</f>
        <v>131</v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/>
      </c>
      <c r="Z764" s="310"/>
    </row>
    <row r="765" spans="1:26" ht="15.75" customHeight="1">
      <c r="A765" s="125" t="str">
        <f>IF(B765&lt;&gt;"",IF(AND(B765&gt;=_TM1,B765&lt;=_TM2,OR(TH!L765="1111",TH!M765="1111")),TH!D765,""),"")</f>
        <v/>
      </c>
      <c r="B765" s="11">
        <f t="shared" si="60"/>
        <v>6</v>
      </c>
      <c r="C765" s="115">
        <v>40723</v>
      </c>
      <c r="D765" s="115" t="s">
        <v>924</v>
      </c>
      <c r="E765" s="110">
        <v>40723</v>
      </c>
      <c r="F765" s="114" t="s">
        <v>717</v>
      </c>
      <c r="G765" s="224" t="s">
        <v>836</v>
      </c>
      <c r="H765" s="4" t="s">
        <v>709</v>
      </c>
      <c r="I765" s="141">
        <v>119</v>
      </c>
      <c r="J765" s="141">
        <v>17330</v>
      </c>
      <c r="K765" s="238">
        <v>2062270</v>
      </c>
      <c r="L765" s="118" t="s">
        <v>237</v>
      </c>
      <c r="M765" s="118" t="s">
        <v>163</v>
      </c>
      <c r="N765" s="25" t="str">
        <f>IF(AND('331-CT'!$E$7=TH!H765,OR(L765="331",M765="331")),"331",IF(AND(OR(L765="131",M765="131"),H765='131-CT'!$E$7),"131",""))</f>
        <v>131</v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310"/>
    </row>
    <row r="766" spans="1:26" ht="15.75" customHeight="1">
      <c r="A766" s="125" t="str">
        <f>IF(B766&lt;&gt;"",IF(AND(B766&gt;=_TM1,B766&lt;=_TM2,OR(TH!L766="1111",TH!M766="1111")),TH!D766,""),"")</f>
        <v/>
      </c>
      <c r="B766" s="11">
        <f t="shared" si="60"/>
        <v>6</v>
      </c>
      <c r="C766" s="115">
        <v>40723</v>
      </c>
      <c r="D766" s="115" t="s">
        <v>924</v>
      </c>
      <c r="E766" s="110">
        <v>40723</v>
      </c>
      <c r="F766" s="114" t="s">
        <v>852</v>
      </c>
      <c r="G766" s="224" t="s">
        <v>836</v>
      </c>
      <c r="H766" s="4" t="s">
        <v>709</v>
      </c>
      <c r="I766" s="141">
        <v>304</v>
      </c>
      <c r="J766" s="141">
        <v>13172</v>
      </c>
      <c r="K766" s="238">
        <v>4004288</v>
      </c>
      <c r="L766" s="118" t="s">
        <v>237</v>
      </c>
      <c r="M766" s="118" t="s">
        <v>163</v>
      </c>
      <c r="N766" s="25" t="str">
        <f>IF(AND('331-CT'!$E$7=TH!H766,OR(L766="331",M766="331")),"331",IF(AND(OR(L766="131",M766="131"),H766='131-CT'!$E$7),"131",""))</f>
        <v>131</v>
      </c>
      <c r="O766" s="25" t="str">
        <f>IF(AND($B766&gt;='111'!$N$11,$B766&lt;='111'!$O$11,OR($L766=$O$7,$M766=$O$7)),"x","")</f>
        <v/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310"/>
    </row>
    <row r="767" spans="1:26" ht="15.75" customHeight="1">
      <c r="A767" s="125" t="str">
        <f>IF(B767&lt;&gt;"",IF(AND(B767&gt;=_TM1,B767&lt;=_TM2,OR(TH!L767="1111",TH!M767="1111")),TH!D767,""),"")</f>
        <v/>
      </c>
      <c r="B767" s="11">
        <f t="shared" si="60"/>
        <v>6</v>
      </c>
      <c r="C767" s="115">
        <v>40723</v>
      </c>
      <c r="D767" s="115" t="s">
        <v>924</v>
      </c>
      <c r="E767" s="110">
        <v>40723</v>
      </c>
      <c r="F767" s="114" t="s">
        <v>851</v>
      </c>
      <c r="G767" s="224" t="s">
        <v>836</v>
      </c>
      <c r="H767" s="4" t="s">
        <v>709</v>
      </c>
      <c r="I767" s="141">
        <v>65</v>
      </c>
      <c r="J767" s="141">
        <v>10433</v>
      </c>
      <c r="K767" s="238">
        <v>678145</v>
      </c>
      <c r="L767" s="118" t="s">
        <v>237</v>
      </c>
      <c r="M767" s="118" t="s">
        <v>163</v>
      </c>
      <c r="N767" s="25" t="str">
        <f>IF(AND('331-CT'!$E$7=TH!H767,OR(L767="331",M767="331")),"331",IF(AND(OR(L767="131",M767="131"),H767='131-CT'!$E$7),"131",""))</f>
        <v>131</v>
      </c>
      <c r="O767" s="25" t="str">
        <f>IF(AND($B767&gt;='111'!$N$11,$B767&lt;='111'!$O$11,OR($L767=$O$7,$M767=$O$7)),"x","")</f>
        <v/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310"/>
    </row>
    <row r="768" spans="1:26" ht="15.75" customHeight="1">
      <c r="A768" s="125" t="str">
        <f>IF(B768&lt;&gt;"",IF(AND(B768&gt;=_TM1,B768&lt;=_TM2,OR(TH!L768="1111",TH!M768="1111")),TH!D768,""),"")</f>
        <v/>
      </c>
      <c r="B768" s="11">
        <f t="shared" si="60"/>
        <v>6</v>
      </c>
      <c r="C768" s="115">
        <v>40723</v>
      </c>
      <c r="D768" s="115" t="s">
        <v>924</v>
      </c>
      <c r="E768" s="110">
        <v>40723</v>
      </c>
      <c r="F768" s="116" t="s">
        <v>796</v>
      </c>
      <c r="G768" s="224" t="s">
        <v>836</v>
      </c>
      <c r="H768" s="4" t="s">
        <v>709</v>
      </c>
      <c r="I768" s="141"/>
      <c r="J768" s="141"/>
      <c r="K768" s="238">
        <v>979386</v>
      </c>
      <c r="L768" s="118" t="s">
        <v>237</v>
      </c>
      <c r="M768" s="118" t="s">
        <v>707</v>
      </c>
      <c r="N768" s="25" t="str">
        <f>IF(AND('331-CT'!$E$7=TH!H768,OR(L768="331",M768="331")),"331",IF(AND(OR(L768="131",M768="131"),H768='131-CT'!$E$7),"131",""))</f>
        <v>131</v>
      </c>
      <c r="O768" s="25" t="str">
        <f>IF(AND($B768&gt;='111'!$N$11,$B768&lt;='111'!$O$11,OR($L768=$O$7,$M768=$O$7)),"x","")</f>
        <v/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310"/>
    </row>
    <row r="769" spans="1:26" ht="15.75" customHeight="1">
      <c r="A769" s="125" t="str">
        <f>IF(B769&lt;&gt;"",IF(AND(B769&gt;=_TM1,B769&lt;=_TM2,OR(TH!L769="1111",TH!M769="1111")),TH!D769,""),"")</f>
        <v/>
      </c>
      <c r="B769" s="11">
        <f t="shared" si="60"/>
        <v>6</v>
      </c>
      <c r="C769" s="115">
        <v>40723</v>
      </c>
      <c r="D769" s="115" t="s">
        <v>925</v>
      </c>
      <c r="E769" s="110">
        <v>40723</v>
      </c>
      <c r="F769" s="114" t="s">
        <v>873</v>
      </c>
      <c r="G769" s="224" t="s">
        <v>842</v>
      </c>
      <c r="H769" s="4" t="s">
        <v>709</v>
      </c>
      <c r="I769" s="141">
        <v>32</v>
      </c>
      <c r="J769" s="141">
        <v>15175</v>
      </c>
      <c r="K769" s="238">
        <v>485600</v>
      </c>
      <c r="L769" s="118" t="s">
        <v>237</v>
      </c>
      <c r="M769" s="118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21"/>
    </row>
    <row r="770" spans="1:26" ht="15.75" customHeight="1">
      <c r="A770" s="125" t="str">
        <f>IF(B770&lt;&gt;"",IF(AND(B770&gt;=_TM1,B770&lt;=_TM2,OR(TH!L770="1111",TH!M770="1111")),TH!D770,""),"")</f>
        <v/>
      </c>
      <c r="B770" s="11">
        <f t="shared" si="60"/>
        <v>6</v>
      </c>
      <c r="C770" s="115">
        <v>40723</v>
      </c>
      <c r="D770" s="115" t="s">
        <v>925</v>
      </c>
      <c r="E770" s="110">
        <v>40723</v>
      </c>
      <c r="F770" s="114" t="s">
        <v>726</v>
      </c>
      <c r="G770" s="224" t="s">
        <v>842</v>
      </c>
      <c r="H770" s="4" t="s">
        <v>709</v>
      </c>
      <c r="I770" s="141">
        <v>5</v>
      </c>
      <c r="J770" s="141">
        <v>15756</v>
      </c>
      <c r="K770" s="238">
        <v>78780</v>
      </c>
      <c r="L770" s="118" t="s">
        <v>237</v>
      </c>
      <c r="M770" s="118" t="s">
        <v>163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21"/>
    </row>
    <row r="771" spans="1:26" ht="15.75" customHeight="1">
      <c r="A771" s="125" t="str">
        <f>IF(B771&lt;&gt;"",IF(AND(B771&gt;=_TM1,B771&lt;=_TM2,OR(TH!L771="1111",TH!M771="1111")),TH!D771,""),"")</f>
        <v/>
      </c>
      <c r="B771" s="11">
        <f t="shared" si="60"/>
        <v>6</v>
      </c>
      <c r="C771" s="115">
        <v>40723</v>
      </c>
      <c r="D771" s="115" t="s">
        <v>925</v>
      </c>
      <c r="E771" s="110">
        <v>40723</v>
      </c>
      <c r="F771" s="114" t="s">
        <v>861</v>
      </c>
      <c r="G771" s="224" t="s">
        <v>842</v>
      </c>
      <c r="H771" s="4" t="s">
        <v>709</v>
      </c>
      <c r="I771" s="141">
        <v>80</v>
      </c>
      <c r="J771" s="141">
        <v>14563</v>
      </c>
      <c r="K771" s="238">
        <v>1165040</v>
      </c>
      <c r="L771" s="118" t="s">
        <v>237</v>
      </c>
      <c r="M771" s="118" t="s">
        <v>163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21"/>
    </row>
    <row r="772" spans="1:26" ht="15.75" customHeight="1">
      <c r="A772" s="125" t="str">
        <f>IF(B772&lt;&gt;"",IF(AND(B772&gt;=_TM1,B772&lt;=_TM2,OR(TH!L772="1111",TH!M772="1111")),TH!D772,""),"")</f>
        <v/>
      </c>
      <c r="B772" s="11">
        <f t="shared" si="60"/>
        <v>6</v>
      </c>
      <c r="C772" s="115">
        <v>40723</v>
      </c>
      <c r="D772" s="115" t="s">
        <v>925</v>
      </c>
      <c r="E772" s="110">
        <v>40723</v>
      </c>
      <c r="F772" s="114" t="s">
        <v>722</v>
      </c>
      <c r="G772" s="224" t="s">
        <v>842</v>
      </c>
      <c r="H772" s="4" t="s">
        <v>709</v>
      </c>
      <c r="I772" s="141">
        <v>49</v>
      </c>
      <c r="J772" s="141">
        <v>10698</v>
      </c>
      <c r="K772" s="238">
        <v>524202</v>
      </c>
      <c r="L772" s="118" t="s">
        <v>237</v>
      </c>
      <c r="M772" s="118" t="s">
        <v>163</v>
      </c>
      <c r="N772" s="25" t="str">
        <f>IF(AND('331-CT'!$E$7=TH!H772,OR(L772="331",M772="331")),"331",IF(AND(OR(L772="131",M772="131"),H772='131-CT'!$E$7),"131",""))</f>
        <v>131</v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21"/>
    </row>
    <row r="773" spans="1:26" ht="15.75" customHeight="1">
      <c r="A773" s="125" t="str">
        <f>IF(B773&lt;&gt;"",IF(AND(B773&gt;=_TM1,B773&lt;=_TM2,OR(TH!L773="1111",TH!M773="1111")),TH!D773,""),"")</f>
        <v/>
      </c>
      <c r="B773" s="11">
        <f t="shared" si="60"/>
        <v>6</v>
      </c>
      <c r="C773" s="115">
        <v>40723</v>
      </c>
      <c r="D773" s="115" t="s">
        <v>925</v>
      </c>
      <c r="E773" s="110">
        <v>40723</v>
      </c>
      <c r="F773" s="114" t="s">
        <v>734</v>
      </c>
      <c r="G773" s="224" t="s">
        <v>842</v>
      </c>
      <c r="H773" s="4" t="s">
        <v>709</v>
      </c>
      <c r="I773" s="141">
        <v>2</v>
      </c>
      <c r="J773" s="141">
        <v>7435</v>
      </c>
      <c r="K773" s="238">
        <v>14870</v>
      </c>
      <c r="L773" s="118" t="s">
        <v>237</v>
      </c>
      <c r="M773" s="118" t="s">
        <v>163</v>
      </c>
      <c r="N773" s="25" t="str">
        <f>IF(AND('331-CT'!$E$7=TH!H773,OR(L773="331",M773="331")),"331",IF(AND(OR(L773="131",M773="131"),H773='131-CT'!$E$7),"131",""))</f>
        <v>131</v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21"/>
    </row>
    <row r="774" spans="1:26" ht="15.75" customHeight="1">
      <c r="A774" s="125" t="str">
        <f>IF(B774&lt;&gt;"",IF(AND(B774&gt;=_TM1,B774&lt;=_TM2,OR(TH!L774="1111",TH!M774="1111")),TH!D774,""),"")</f>
        <v/>
      </c>
      <c r="B774" s="11">
        <f t="shared" si="60"/>
        <v>6</v>
      </c>
      <c r="C774" s="115">
        <v>40723</v>
      </c>
      <c r="D774" s="115" t="s">
        <v>925</v>
      </c>
      <c r="E774" s="110">
        <v>40723</v>
      </c>
      <c r="F774" s="114" t="s">
        <v>876</v>
      </c>
      <c r="G774" s="224" t="s">
        <v>842</v>
      </c>
      <c r="H774" s="4" t="s">
        <v>709</v>
      </c>
      <c r="I774" s="141">
        <v>2</v>
      </c>
      <c r="J774" s="141">
        <v>10116</v>
      </c>
      <c r="K774" s="238">
        <v>20232</v>
      </c>
      <c r="L774" s="118" t="s">
        <v>237</v>
      </c>
      <c r="M774" s="118" t="s">
        <v>163</v>
      </c>
      <c r="N774" s="25" t="str">
        <f>IF(AND('331-CT'!$E$7=TH!H774,OR(L774="331",M774="331")),"331",IF(AND(OR(L774="131",M774="131"),H774='131-CT'!$E$7),"131",""))</f>
        <v>131</v>
      </c>
      <c r="O774" s="25" t="str">
        <f>IF(AND($B774&gt;='111'!$N$11,$B774&lt;='111'!$O$11,OR($L774=$O$7,$M774=$O$7)),"x","")</f>
        <v/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21"/>
    </row>
    <row r="775" spans="1:26" ht="15.75" customHeight="1">
      <c r="A775" s="125" t="str">
        <f>IF(B775&lt;&gt;"",IF(AND(B775&gt;=_TM1,B775&lt;=_TM2,OR(TH!L775="1111",TH!M775="1111")),TH!D775,""),"")</f>
        <v/>
      </c>
      <c r="B775" s="11">
        <f t="shared" si="60"/>
        <v>6</v>
      </c>
      <c r="C775" s="115">
        <v>40723</v>
      </c>
      <c r="D775" s="115" t="s">
        <v>925</v>
      </c>
      <c r="E775" s="110">
        <v>40723</v>
      </c>
      <c r="F775" s="116" t="s">
        <v>874</v>
      </c>
      <c r="G775" s="224" t="s">
        <v>842</v>
      </c>
      <c r="H775" s="4" t="s">
        <v>709</v>
      </c>
      <c r="I775" s="141">
        <v>5</v>
      </c>
      <c r="J775" s="141">
        <v>9692</v>
      </c>
      <c r="K775" s="238">
        <v>48460</v>
      </c>
      <c r="L775" s="118" t="s">
        <v>237</v>
      </c>
      <c r="M775" s="118" t="s">
        <v>163</v>
      </c>
      <c r="N775" s="25" t="str">
        <f>IF(AND('331-CT'!$E$7=TH!H775,OR(L775="331",M775="331")),"331",IF(AND(OR(L775="131",M775="131"),H775='131-CT'!$E$7),"131",""))</f>
        <v>131</v>
      </c>
      <c r="O775" s="25" t="str">
        <f>IF(AND($B775&gt;='111'!$N$11,$B775&lt;='111'!$O$11,OR($L775=$O$7,$M775=$O$7)),"x","")</f>
        <v/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310"/>
    </row>
    <row r="776" spans="1:26" ht="15.75" customHeight="1">
      <c r="A776" s="125" t="str">
        <f>IF(B776&lt;&gt;"",IF(AND(B776&gt;=_TM1,B776&lt;=_TM2,OR(TH!L776="1111",TH!M776="1111")),TH!D776,""),"")</f>
        <v/>
      </c>
      <c r="B776" s="11">
        <f t="shared" si="60"/>
        <v>6</v>
      </c>
      <c r="C776" s="115">
        <v>40723</v>
      </c>
      <c r="D776" s="115" t="s">
        <v>925</v>
      </c>
      <c r="E776" s="110">
        <v>40723</v>
      </c>
      <c r="F776" s="114" t="s">
        <v>731</v>
      </c>
      <c r="G776" s="224" t="s">
        <v>842</v>
      </c>
      <c r="H776" s="4" t="s">
        <v>709</v>
      </c>
      <c r="I776" s="141">
        <v>1</v>
      </c>
      <c r="J776" s="141">
        <v>12286</v>
      </c>
      <c r="K776" s="238">
        <v>12286</v>
      </c>
      <c r="L776" s="118" t="s">
        <v>237</v>
      </c>
      <c r="M776" s="118" t="s">
        <v>163</v>
      </c>
      <c r="N776" s="25" t="str">
        <f>IF(AND('331-CT'!$E$7=TH!H776,OR(L776="331",M776="331")),"331",IF(AND(OR(L776="131",M776="131"),H776='131-CT'!$E$7),"131",""))</f>
        <v>131</v>
      </c>
      <c r="O776" s="25" t="str">
        <f>IF(AND($B776&gt;='111'!$N$11,$B776&lt;='111'!$O$11,OR($L776=$O$7,$M776=$O$7)),"x","")</f>
        <v/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310"/>
    </row>
    <row r="777" spans="1:26" ht="15.75" customHeight="1">
      <c r="A777" s="125" t="str">
        <f>IF(B777&lt;&gt;"",IF(AND(B777&gt;=_TM1,B777&lt;=_TM2,OR(TH!L777="1111",TH!M777="1111")),TH!D777,""),"")</f>
        <v/>
      </c>
      <c r="B777" s="11">
        <f t="shared" si="60"/>
        <v>6</v>
      </c>
      <c r="C777" s="115">
        <v>40723</v>
      </c>
      <c r="D777" s="115" t="s">
        <v>925</v>
      </c>
      <c r="E777" s="110">
        <v>40723</v>
      </c>
      <c r="F777" s="116" t="s">
        <v>796</v>
      </c>
      <c r="G777" s="224" t="s">
        <v>842</v>
      </c>
      <c r="H777" s="4" t="s">
        <v>709</v>
      </c>
      <c r="I777" s="142"/>
      <c r="J777" s="142"/>
      <c r="K777" s="238">
        <v>234947</v>
      </c>
      <c r="L777" s="118" t="s">
        <v>237</v>
      </c>
      <c r="M777" s="118" t="s">
        <v>707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/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310"/>
    </row>
    <row r="778" spans="1:26" ht="15.75" customHeight="1">
      <c r="A778" s="125" t="str">
        <f>IF(B778&lt;&gt;"",IF(AND(B778&gt;=_TM1,B778&lt;=_TM2,OR(TH!L778="1111",TH!M778="1111")),TH!D778,""),"")</f>
        <v/>
      </c>
      <c r="B778" s="11">
        <f t="shared" si="60"/>
        <v>6</v>
      </c>
      <c r="C778" s="115">
        <v>40723</v>
      </c>
      <c r="D778" s="115" t="s">
        <v>926</v>
      </c>
      <c r="E778" s="110">
        <v>40723</v>
      </c>
      <c r="F778" s="114" t="s">
        <v>733</v>
      </c>
      <c r="G778" s="224" t="s">
        <v>863</v>
      </c>
      <c r="H778" s="4" t="s">
        <v>709</v>
      </c>
      <c r="I778" s="141">
        <v>1</v>
      </c>
      <c r="J778" s="141">
        <v>5285</v>
      </c>
      <c r="K778" s="238">
        <v>5285</v>
      </c>
      <c r="L778" s="118" t="s">
        <v>237</v>
      </c>
      <c r="M778" s="118" t="s">
        <v>163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310"/>
    </row>
    <row r="779" spans="1:26" ht="15.75" customHeight="1">
      <c r="A779" s="125" t="str">
        <f>IF(B779&lt;&gt;"",IF(AND(B779&gt;=_TM1,B779&lt;=_TM2,OR(TH!L779="1111",TH!M779="1111")),TH!D779,""),"")</f>
        <v/>
      </c>
      <c r="B779" s="11">
        <f t="shared" si="60"/>
        <v>6</v>
      </c>
      <c r="C779" s="115">
        <v>40723</v>
      </c>
      <c r="D779" s="115" t="s">
        <v>926</v>
      </c>
      <c r="E779" s="110">
        <v>40723</v>
      </c>
      <c r="F779" s="114" t="s">
        <v>729</v>
      </c>
      <c r="G779" s="224" t="s">
        <v>863</v>
      </c>
      <c r="H779" s="4" t="s">
        <v>709</v>
      </c>
      <c r="I779" s="141">
        <v>3</v>
      </c>
      <c r="J779" s="141">
        <v>16841</v>
      </c>
      <c r="K779" s="238">
        <v>50523</v>
      </c>
      <c r="L779" s="118" t="s">
        <v>237</v>
      </c>
      <c r="M779" s="118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310"/>
    </row>
    <row r="780" spans="1:26" ht="15.75" customHeight="1">
      <c r="A780" s="125" t="str">
        <f>IF(B780&lt;&gt;"",IF(AND(B780&gt;=_TM1,B780&lt;=_TM2,OR(TH!L780="1111",TH!M780="1111")),TH!D780,""),"")</f>
        <v/>
      </c>
      <c r="B780" s="11">
        <f t="shared" si="60"/>
        <v>6</v>
      </c>
      <c r="C780" s="115">
        <v>40723</v>
      </c>
      <c r="D780" s="115" t="s">
        <v>926</v>
      </c>
      <c r="E780" s="110">
        <v>40723</v>
      </c>
      <c r="F780" s="114" t="s">
        <v>723</v>
      </c>
      <c r="G780" s="224" t="s">
        <v>863</v>
      </c>
      <c r="H780" s="4" t="s">
        <v>709</v>
      </c>
      <c r="I780" s="141">
        <v>2</v>
      </c>
      <c r="J780" s="141">
        <v>11428</v>
      </c>
      <c r="K780" s="238">
        <v>22856</v>
      </c>
      <c r="L780" s="118" t="s">
        <v>237</v>
      </c>
      <c r="M780" s="118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310"/>
    </row>
    <row r="781" spans="1:26" ht="15.75" customHeight="1">
      <c r="A781" s="125" t="str">
        <f>IF(B781&lt;&gt;"",IF(AND(B781&gt;=_TM1,B781&lt;=_TM2,OR(TH!L781="1111",TH!M781="1111")),TH!D781,""),"")</f>
        <v/>
      </c>
      <c r="B781" s="11">
        <f t="shared" si="60"/>
        <v>6</v>
      </c>
      <c r="C781" s="115">
        <v>40723</v>
      </c>
      <c r="D781" s="115" t="s">
        <v>926</v>
      </c>
      <c r="E781" s="110">
        <v>40723</v>
      </c>
      <c r="F781" s="116" t="s">
        <v>870</v>
      </c>
      <c r="G781" s="224" t="s">
        <v>863</v>
      </c>
      <c r="H781" s="4" t="s">
        <v>709</v>
      </c>
      <c r="I781" s="141">
        <v>8</v>
      </c>
      <c r="J781" s="141">
        <v>8549</v>
      </c>
      <c r="K781" s="238">
        <v>68392</v>
      </c>
      <c r="L781" s="118" t="s">
        <v>237</v>
      </c>
      <c r="M781" s="118" t="s">
        <v>163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310"/>
    </row>
    <row r="782" spans="1:26" ht="15.75" customHeight="1">
      <c r="A782" s="125" t="str">
        <f>IF(B782&lt;&gt;"",IF(AND(B782&gt;=_TM1,B782&lt;=_TM2,OR(TH!L782="1111",TH!M782="1111")),TH!D782,""),"")</f>
        <v/>
      </c>
      <c r="B782" s="11">
        <f t="shared" si="60"/>
        <v>6</v>
      </c>
      <c r="C782" s="115">
        <v>40723</v>
      </c>
      <c r="D782" s="115" t="s">
        <v>926</v>
      </c>
      <c r="E782" s="110">
        <v>40723</v>
      </c>
      <c r="F782" s="114" t="s">
        <v>721</v>
      </c>
      <c r="G782" s="224" t="s">
        <v>863</v>
      </c>
      <c r="H782" s="4" t="s">
        <v>709</v>
      </c>
      <c r="I782" s="141">
        <v>1</v>
      </c>
      <c r="J782" s="141">
        <v>9357</v>
      </c>
      <c r="K782" s="238">
        <v>9357</v>
      </c>
      <c r="L782" s="118" t="s">
        <v>237</v>
      </c>
      <c r="M782" s="118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310"/>
    </row>
    <row r="783" spans="1:26" ht="15.75" customHeight="1">
      <c r="A783" s="125" t="str">
        <f>IF(B783&lt;&gt;"",IF(AND(B783&gt;=_TM1,B783&lt;=_TM2,OR(TH!L783="1111",TH!M783="1111")),TH!D783,""),"")</f>
        <v/>
      </c>
      <c r="B783" s="11">
        <f t="shared" si="60"/>
        <v>6</v>
      </c>
      <c r="C783" s="115">
        <v>40723</v>
      </c>
      <c r="D783" s="115" t="s">
        <v>926</v>
      </c>
      <c r="E783" s="110">
        <v>40723</v>
      </c>
      <c r="F783" s="114" t="s">
        <v>724</v>
      </c>
      <c r="G783" s="224" t="s">
        <v>863</v>
      </c>
      <c r="H783" s="4" t="s">
        <v>709</v>
      </c>
      <c r="I783" s="141">
        <v>1</v>
      </c>
      <c r="J783" s="141">
        <v>10343</v>
      </c>
      <c r="K783" s="238">
        <v>10343</v>
      </c>
      <c r="L783" s="118" t="s">
        <v>237</v>
      </c>
      <c r="M783" s="118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310"/>
    </row>
    <row r="784" spans="1:26" ht="15.75" customHeight="1">
      <c r="A784" s="125" t="str">
        <f>IF(B784&lt;&gt;"",IF(AND(B784&gt;=_TM1,B784&lt;=_TM2,OR(TH!L784="1111",TH!M784="1111")),TH!D784,""),"")</f>
        <v/>
      </c>
      <c r="B784" s="11">
        <f t="shared" si="60"/>
        <v>6</v>
      </c>
      <c r="C784" s="115">
        <v>40723</v>
      </c>
      <c r="D784" s="115" t="s">
        <v>926</v>
      </c>
      <c r="E784" s="110">
        <v>40723</v>
      </c>
      <c r="F784" s="114" t="s">
        <v>725</v>
      </c>
      <c r="G784" s="224" t="s">
        <v>863</v>
      </c>
      <c r="H784" s="4" t="s">
        <v>709</v>
      </c>
      <c r="I784" s="141">
        <v>4</v>
      </c>
      <c r="J784" s="141">
        <v>12670</v>
      </c>
      <c r="K784" s="238">
        <v>50680</v>
      </c>
      <c r="L784" s="118" t="s">
        <v>237</v>
      </c>
      <c r="M784" s="118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310"/>
    </row>
    <row r="785" spans="1:26" ht="15.75" customHeight="1">
      <c r="A785" s="125" t="str">
        <f>IF(B785&lt;&gt;"",IF(AND(B785&gt;=_TM1,B785&lt;=_TM2,OR(TH!L785="1111",TH!M785="1111")),TH!D785,""),"")</f>
        <v/>
      </c>
      <c r="B785" s="11">
        <f t="shared" si="60"/>
        <v>6</v>
      </c>
      <c r="C785" s="115">
        <v>40723</v>
      </c>
      <c r="D785" s="115" t="s">
        <v>926</v>
      </c>
      <c r="E785" s="110">
        <v>40723</v>
      </c>
      <c r="F785" s="114" t="s">
        <v>730</v>
      </c>
      <c r="G785" s="224" t="s">
        <v>863</v>
      </c>
      <c r="H785" s="4" t="s">
        <v>709</v>
      </c>
      <c r="I785" s="141">
        <v>1</v>
      </c>
      <c r="J785" s="141">
        <v>12305</v>
      </c>
      <c r="K785" s="238">
        <v>12305</v>
      </c>
      <c r="L785" s="118" t="s">
        <v>237</v>
      </c>
      <c r="M785" s="118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310"/>
    </row>
    <row r="786" spans="1:26" ht="15.75" customHeight="1">
      <c r="A786" s="125" t="str">
        <f>IF(B786&lt;&gt;"",IF(AND(B786&gt;=_TM1,B786&lt;=_TM2,OR(TH!L786="1111",TH!M786="1111")),TH!D786,""),"")</f>
        <v/>
      </c>
      <c r="B786" s="11">
        <f t="shared" si="60"/>
        <v>6</v>
      </c>
      <c r="C786" s="115">
        <v>40723</v>
      </c>
      <c r="D786" s="115" t="s">
        <v>926</v>
      </c>
      <c r="E786" s="110">
        <v>40723</v>
      </c>
      <c r="F786" s="116" t="s">
        <v>796</v>
      </c>
      <c r="G786" s="224" t="s">
        <v>863</v>
      </c>
      <c r="H786" s="4" t="s">
        <v>709</v>
      </c>
      <c r="I786" s="141"/>
      <c r="J786" s="141"/>
      <c r="K786" s="238">
        <v>22974</v>
      </c>
      <c r="L786" s="118" t="s">
        <v>237</v>
      </c>
      <c r="M786" s="118" t="s">
        <v>707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310"/>
    </row>
    <row r="787" spans="1:26" ht="15.75" customHeight="1">
      <c r="A787" s="125" t="str">
        <f>IF(B787&lt;&gt;"",IF(AND(B787&gt;=_TM1,B787&lt;=_TM2,OR(TH!L787="1111",TH!M787="1111")),TH!D787,""),"")</f>
        <v/>
      </c>
      <c r="B787" s="11">
        <f t="shared" si="60"/>
        <v>6</v>
      </c>
      <c r="C787" s="115">
        <v>40723</v>
      </c>
      <c r="D787" s="115" t="s">
        <v>927</v>
      </c>
      <c r="E787" s="110">
        <v>40723</v>
      </c>
      <c r="F787" s="114" t="s">
        <v>878</v>
      </c>
      <c r="G787" s="224" t="s">
        <v>864</v>
      </c>
      <c r="H787" s="4" t="s">
        <v>709</v>
      </c>
      <c r="I787" s="141">
        <v>2</v>
      </c>
      <c r="J787" s="141">
        <v>6113</v>
      </c>
      <c r="K787" s="238">
        <v>12226</v>
      </c>
      <c r="L787" s="118" t="s">
        <v>237</v>
      </c>
      <c r="M787" s="118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310"/>
    </row>
    <row r="788" spans="1:26" ht="15.75" customHeight="1">
      <c r="A788" s="125" t="str">
        <f>IF(B788&lt;&gt;"",IF(AND(B788&gt;=_TM1,B788&lt;=_TM2,OR(TH!L788="1111",TH!M788="1111")),TH!D788,""),"")</f>
        <v/>
      </c>
      <c r="B788" s="11">
        <f t="shared" si="60"/>
        <v>6</v>
      </c>
      <c r="C788" s="115">
        <v>40723</v>
      </c>
      <c r="D788" s="115" t="s">
        <v>927</v>
      </c>
      <c r="E788" s="110">
        <v>40723</v>
      </c>
      <c r="F788" s="114" t="s">
        <v>879</v>
      </c>
      <c r="G788" s="224" t="s">
        <v>864</v>
      </c>
      <c r="H788" s="4" t="s">
        <v>709</v>
      </c>
      <c r="I788" s="141">
        <v>2</v>
      </c>
      <c r="J788" s="141">
        <v>12824</v>
      </c>
      <c r="K788" s="238">
        <v>25648</v>
      </c>
      <c r="L788" s="118" t="s">
        <v>237</v>
      </c>
      <c r="M788" s="118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310"/>
    </row>
    <row r="789" spans="1:26" ht="15.75" customHeight="1">
      <c r="A789" s="125" t="str">
        <f>IF(B789&lt;&gt;"",IF(AND(B789&gt;=_TM1,B789&lt;=_TM2,OR(TH!L789="1111",TH!M789="1111")),TH!D789,""),"")</f>
        <v/>
      </c>
      <c r="B789" s="11">
        <f t="shared" si="60"/>
        <v>6</v>
      </c>
      <c r="C789" s="115">
        <v>40723</v>
      </c>
      <c r="D789" s="115" t="s">
        <v>927</v>
      </c>
      <c r="E789" s="110">
        <v>40723</v>
      </c>
      <c r="F789" s="114" t="s">
        <v>720</v>
      </c>
      <c r="G789" s="224" t="s">
        <v>864</v>
      </c>
      <c r="H789" s="4" t="s">
        <v>709</v>
      </c>
      <c r="I789" s="141">
        <v>37</v>
      </c>
      <c r="J789" s="141">
        <v>14591</v>
      </c>
      <c r="K789" s="238">
        <v>539867</v>
      </c>
      <c r="L789" s="118" t="s">
        <v>237</v>
      </c>
      <c r="M789" s="118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310"/>
    </row>
    <row r="790" spans="1:26" ht="15.75" customHeight="1">
      <c r="A790" s="125" t="str">
        <f>IF(B790&lt;&gt;"",IF(AND(B790&gt;=_TM1,B790&lt;=_TM2,OR(TH!L790="1111",TH!M790="1111")),TH!D790,""),"")</f>
        <v/>
      </c>
      <c r="B790" s="11">
        <f t="shared" ref="B790:B853" si="61">IF(C790&lt;&gt;"",MONTH(C790),"")</f>
        <v>6</v>
      </c>
      <c r="C790" s="115">
        <v>40723</v>
      </c>
      <c r="D790" s="115" t="s">
        <v>927</v>
      </c>
      <c r="E790" s="110">
        <v>40723</v>
      </c>
      <c r="F790" s="114" t="s">
        <v>880</v>
      </c>
      <c r="G790" s="224" t="s">
        <v>864</v>
      </c>
      <c r="H790" s="4" t="s">
        <v>709</v>
      </c>
      <c r="I790" s="141">
        <v>897</v>
      </c>
      <c r="J790" s="141">
        <v>11877</v>
      </c>
      <c r="K790" s="238">
        <v>10653669</v>
      </c>
      <c r="L790" s="118" t="s">
        <v>237</v>
      </c>
      <c r="M790" s="118" t="s">
        <v>163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310"/>
    </row>
    <row r="791" spans="1:26" ht="15.75" customHeight="1">
      <c r="A791" s="125" t="str">
        <f>IF(B791&lt;&gt;"",IF(AND(B791&gt;=_TM1,B791&lt;=_TM2,OR(TH!L791="1111",TH!M791="1111")),TH!D791,""),"")</f>
        <v/>
      </c>
      <c r="B791" s="11">
        <f t="shared" si="61"/>
        <v>6</v>
      </c>
      <c r="C791" s="115">
        <v>40723</v>
      </c>
      <c r="D791" s="115" t="s">
        <v>927</v>
      </c>
      <c r="E791" s="110">
        <v>40723</v>
      </c>
      <c r="F791" s="114" t="s">
        <v>877</v>
      </c>
      <c r="G791" s="224" t="s">
        <v>864</v>
      </c>
      <c r="H791" s="4" t="s">
        <v>709</v>
      </c>
      <c r="I791" s="141">
        <v>917</v>
      </c>
      <c r="J791" s="141">
        <v>2866</v>
      </c>
      <c r="K791" s="238">
        <v>2628122</v>
      </c>
      <c r="L791" s="118" t="s">
        <v>237</v>
      </c>
      <c r="M791" s="118" t="s">
        <v>163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310"/>
    </row>
    <row r="792" spans="1:26" ht="15.75" customHeight="1">
      <c r="A792" s="125" t="str">
        <f>IF(B792&lt;&gt;"",IF(AND(B792&gt;=_TM1,B792&lt;=_TM2,OR(TH!L792="1111",TH!M792="1111")),TH!D792,""),"")</f>
        <v/>
      </c>
      <c r="B792" s="11">
        <f t="shared" si="61"/>
        <v>6</v>
      </c>
      <c r="C792" s="115">
        <v>40723</v>
      </c>
      <c r="D792" s="115" t="s">
        <v>927</v>
      </c>
      <c r="E792" s="110">
        <v>40723</v>
      </c>
      <c r="F792" s="114" t="s">
        <v>881</v>
      </c>
      <c r="G792" s="224" t="s">
        <v>864</v>
      </c>
      <c r="H792" s="4" t="s">
        <v>709</v>
      </c>
      <c r="I792" s="141">
        <v>169</v>
      </c>
      <c r="J792" s="141">
        <v>8678</v>
      </c>
      <c r="K792" s="238">
        <v>1466582</v>
      </c>
      <c r="L792" s="118" t="s">
        <v>237</v>
      </c>
      <c r="M792" s="118" t="s">
        <v>163</v>
      </c>
      <c r="N792" s="25" t="str">
        <f>IF(AND('331-CT'!$E$7=TH!H792,OR(L792="331",M792="331")),"331",IF(AND(OR(L792="131",M792="131"),H792='131-CT'!$E$7),"131",""))</f>
        <v>131</v>
      </c>
      <c r="O792" s="25" t="str">
        <f>IF(AND($B792&gt;='111'!$N$11,$B792&lt;='111'!$O$11,OR($L792=$O$7,$M792=$O$7)),"x","")</f>
        <v/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310"/>
    </row>
    <row r="793" spans="1:26" ht="15.75" customHeight="1">
      <c r="A793" s="125" t="str">
        <f>IF(B793&lt;&gt;"",IF(AND(B793&gt;=_TM1,B793&lt;=_TM2,OR(TH!L793="1111",TH!M793="1111")),TH!D793,""),"")</f>
        <v/>
      </c>
      <c r="B793" s="11">
        <f t="shared" si="61"/>
        <v>6</v>
      </c>
      <c r="C793" s="115">
        <v>40723</v>
      </c>
      <c r="D793" s="115" t="s">
        <v>927</v>
      </c>
      <c r="E793" s="110">
        <v>40723</v>
      </c>
      <c r="F793" s="114" t="s">
        <v>877</v>
      </c>
      <c r="G793" s="224" t="s">
        <v>864</v>
      </c>
      <c r="H793" s="4" t="s">
        <v>709</v>
      </c>
      <c r="I793" s="141">
        <v>170</v>
      </c>
      <c r="J793" s="141">
        <v>2457</v>
      </c>
      <c r="K793" s="238">
        <v>417690</v>
      </c>
      <c r="L793" s="118" t="s">
        <v>237</v>
      </c>
      <c r="M793" s="118" t="s">
        <v>163</v>
      </c>
      <c r="N793" s="25" t="str">
        <f>IF(AND('331-CT'!$E$7=TH!H793,OR(L793="331",M793="331")),"331",IF(AND(OR(L793="131",M793="131"),H793='131-CT'!$E$7),"131",""))</f>
        <v>131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310"/>
    </row>
    <row r="794" spans="1:26" ht="15.75" customHeight="1">
      <c r="A794" s="125" t="str">
        <f>IF(B794&lt;&gt;"",IF(AND(B794&gt;=_TM1,B794&lt;=_TM2,OR(TH!L794="1111",TH!M794="1111")),TH!D794,""),"")</f>
        <v/>
      </c>
      <c r="B794" s="11">
        <f t="shared" si="61"/>
        <v>6</v>
      </c>
      <c r="C794" s="115">
        <v>40723</v>
      </c>
      <c r="D794" s="115" t="s">
        <v>927</v>
      </c>
      <c r="E794" s="110">
        <v>40723</v>
      </c>
      <c r="F794" s="114" t="s">
        <v>718</v>
      </c>
      <c r="G794" s="224" t="s">
        <v>864</v>
      </c>
      <c r="H794" s="4" t="s">
        <v>709</v>
      </c>
      <c r="I794" s="141">
        <v>442</v>
      </c>
      <c r="J794" s="141">
        <v>19814</v>
      </c>
      <c r="K794" s="238">
        <v>8757788</v>
      </c>
      <c r="L794" s="118" t="s">
        <v>237</v>
      </c>
      <c r="M794" s="118" t="s">
        <v>163</v>
      </c>
      <c r="N794" s="25" t="str">
        <f>IF(AND('331-CT'!$E$7=TH!H794,OR(L794="331",M794="331")),"331",IF(AND(OR(L794="131",M794="131"),H794='131-CT'!$E$7),"131",""))</f>
        <v>131</v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310"/>
    </row>
    <row r="795" spans="1:26" ht="15.75" customHeight="1">
      <c r="A795" s="125" t="str">
        <f>IF(B795&lt;&gt;"",IF(AND(B795&gt;=_TM1,B795&lt;=_TM2,OR(TH!L795="1111",TH!M795="1111")),TH!D795,""),"")</f>
        <v/>
      </c>
      <c r="B795" s="11">
        <f t="shared" si="61"/>
        <v>6</v>
      </c>
      <c r="C795" s="115">
        <v>40723</v>
      </c>
      <c r="D795" s="115" t="s">
        <v>927</v>
      </c>
      <c r="E795" s="110">
        <v>40723</v>
      </c>
      <c r="F795" s="116" t="s">
        <v>796</v>
      </c>
      <c r="G795" s="224" t="s">
        <v>864</v>
      </c>
      <c r="H795" s="4" t="s">
        <v>709</v>
      </c>
      <c r="I795" s="141"/>
      <c r="J795" s="141"/>
      <c r="K795" s="238">
        <v>2450159</v>
      </c>
      <c r="L795" s="118" t="s">
        <v>237</v>
      </c>
      <c r="M795" s="118" t="s">
        <v>707</v>
      </c>
      <c r="N795" s="25" t="str">
        <f>IF(AND('331-CT'!$E$7=TH!H795,OR(L795="331",M795="331")),"331",IF(AND(OR(L795="131",M795="131"),H795='131-CT'!$E$7),"131",""))</f>
        <v>131</v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310"/>
    </row>
    <row r="796" spans="1:26" ht="15.75" customHeight="1">
      <c r="A796" s="125" t="str">
        <f>IF(B796&lt;&gt;"",IF(AND(B796&gt;=_TM1,B796&lt;=_TM2,OR(TH!L796="1111",TH!M796="1111")),TH!D796,""),"")</f>
        <v/>
      </c>
      <c r="B796" s="11">
        <f t="shared" si="61"/>
        <v>6</v>
      </c>
      <c r="C796" s="115">
        <v>40723</v>
      </c>
      <c r="D796" s="115" t="s">
        <v>928</v>
      </c>
      <c r="E796" s="110">
        <v>40723</v>
      </c>
      <c r="F796" s="114" t="s">
        <v>882</v>
      </c>
      <c r="G796" s="224" t="s">
        <v>865</v>
      </c>
      <c r="H796" s="4" t="s">
        <v>709</v>
      </c>
      <c r="I796" s="141">
        <v>36</v>
      </c>
      <c r="J796" s="141">
        <v>18185</v>
      </c>
      <c r="K796" s="238">
        <v>654660</v>
      </c>
      <c r="L796" s="118" t="s">
        <v>237</v>
      </c>
      <c r="M796" s="118" t="s">
        <v>163</v>
      </c>
      <c r="N796" s="25" t="str">
        <f>IF(AND('331-CT'!$E$7=TH!H796,OR(L796="331",M796="331")),"331",IF(AND(OR(L796="131",M796="131"),H796='131-CT'!$E$7),"131",""))</f>
        <v>131</v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310"/>
    </row>
    <row r="797" spans="1:26" ht="15.75" customHeight="1">
      <c r="A797" s="125" t="str">
        <f>IF(B797&lt;&gt;"",IF(AND(B797&gt;=_TM1,B797&lt;=_TM2,OR(TH!L797="1111",TH!M797="1111")),TH!D797,""),"")</f>
        <v/>
      </c>
      <c r="B797" s="11">
        <f t="shared" si="61"/>
        <v>6</v>
      </c>
      <c r="C797" s="115">
        <v>40723</v>
      </c>
      <c r="D797" s="115" t="s">
        <v>928</v>
      </c>
      <c r="E797" s="110">
        <v>40723</v>
      </c>
      <c r="F797" s="114" t="s">
        <v>877</v>
      </c>
      <c r="G797" s="224" t="s">
        <v>865</v>
      </c>
      <c r="H797" s="4" t="s">
        <v>709</v>
      </c>
      <c r="I797" s="141">
        <v>90</v>
      </c>
      <c r="J797" s="141">
        <v>2734</v>
      </c>
      <c r="K797" s="238">
        <v>246060</v>
      </c>
      <c r="L797" s="118" t="s">
        <v>237</v>
      </c>
      <c r="M797" s="118" t="s">
        <v>163</v>
      </c>
      <c r="N797" s="25" t="str">
        <f>IF(AND('331-CT'!$E$7=TH!H797,OR(L797="331",M797="331")),"331",IF(AND(OR(L797="131",M797="131"),H797='131-CT'!$E$7),"131",""))</f>
        <v>131</v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310"/>
    </row>
    <row r="798" spans="1:26" ht="15.75" customHeight="1">
      <c r="A798" s="125" t="str">
        <f>IF(B798&lt;&gt;"",IF(AND(B798&gt;=_TM1,B798&lt;=_TM2,OR(TH!L798="1111",TH!M798="1111")),TH!D798,""),"")</f>
        <v/>
      </c>
      <c r="B798" s="11">
        <f t="shared" si="61"/>
        <v>6</v>
      </c>
      <c r="C798" s="115">
        <v>40723</v>
      </c>
      <c r="D798" s="115" t="s">
        <v>928</v>
      </c>
      <c r="E798" s="110">
        <v>40723</v>
      </c>
      <c r="F798" s="114" t="s">
        <v>877</v>
      </c>
      <c r="G798" s="224" t="s">
        <v>865</v>
      </c>
      <c r="H798" s="4" t="s">
        <v>709</v>
      </c>
      <c r="I798" s="141">
        <v>164</v>
      </c>
      <c r="J798" s="141">
        <v>3065</v>
      </c>
      <c r="K798" s="238">
        <v>502660</v>
      </c>
      <c r="L798" s="118" t="s">
        <v>237</v>
      </c>
      <c r="M798" s="118" t="s">
        <v>163</v>
      </c>
      <c r="N798" s="25" t="str">
        <f>IF(AND('331-CT'!$E$7=TH!H798,OR(L798="331",M798="331")),"331",IF(AND(OR(L798="131",M798="131"),H798='131-CT'!$E$7),"131",""))</f>
        <v>131</v>
      </c>
      <c r="O798" s="25" t="str">
        <f>IF(AND($B798&gt;='111'!$N$11,$B798&lt;='111'!$O$11,OR($L798=$O$7,$M798=$O$7)),"x","")</f>
        <v/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310"/>
    </row>
    <row r="799" spans="1:26" ht="15.75" customHeight="1">
      <c r="A799" s="125" t="str">
        <f>IF(B799&lt;&gt;"",IF(AND(B799&gt;=_TM1,B799&lt;=_TM2,OR(TH!L799="1111",TH!M799="1111")),TH!D799,""),"")</f>
        <v/>
      </c>
      <c r="B799" s="11">
        <f t="shared" si="61"/>
        <v>6</v>
      </c>
      <c r="C799" s="115">
        <v>40723</v>
      </c>
      <c r="D799" s="115" t="s">
        <v>928</v>
      </c>
      <c r="E799" s="110">
        <v>40723</v>
      </c>
      <c r="F799" s="114" t="s">
        <v>719</v>
      </c>
      <c r="G799" s="224" t="s">
        <v>865</v>
      </c>
      <c r="H799" s="4" t="s">
        <v>709</v>
      </c>
      <c r="I799" s="141">
        <v>639</v>
      </c>
      <c r="J799" s="141">
        <v>19248</v>
      </c>
      <c r="K799" s="238">
        <v>12299472</v>
      </c>
      <c r="L799" s="118" t="s">
        <v>237</v>
      </c>
      <c r="M799" s="118" t="s">
        <v>163</v>
      </c>
      <c r="N799" s="25" t="str">
        <f>IF(AND('331-CT'!$E$7=TH!H799,OR(L799="331",M799="331")),"331",IF(AND(OR(L799="131",M799="131"),H799='131-CT'!$E$7),"131",""))</f>
        <v>131</v>
      </c>
      <c r="O799" s="25" t="str">
        <f>IF(AND($B799&gt;='111'!$N$11,$B799&lt;='111'!$O$11,OR($L799=$O$7,$M799=$O$7)),"x","")</f>
        <v/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310"/>
    </row>
    <row r="800" spans="1:26" ht="15.75" customHeight="1">
      <c r="A800" s="125" t="str">
        <f>IF(B800&lt;&gt;"",IF(AND(B800&gt;=_TM1,B800&lt;=_TM2,OR(TH!L800="1111",TH!M800="1111")),TH!D800,""),"")</f>
        <v/>
      </c>
      <c r="B800" s="11">
        <f t="shared" si="61"/>
        <v>6</v>
      </c>
      <c r="C800" s="115">
        <v>40723</v>
      </c>
      <c r="D800" s="115" t="s">
        <v>928</v>
      </c>
      <c r="E800" s="110">
        <v>40723</v>
      </c>
      <c r="F800" s="114" t="s">
        <v>877</v>
      </c>
      <c r="G800" s="224" t="s">
        <v>865</v>
      </c>
      <c r="H800" s="4" t="s">
        <v>709</v>
      </c>
      <c r="I800" s="141">
        <v>210</v>
      </c>
      <c r="J800" s="141">
        <v>6577</v>
      </c>
      <c r="K800" s="238">
        <v>1381170</v>
      </c>
      <c r="L800" s="118" t="s">
        <v>237</v>
      </c>
      <c r="M800" s="118" t="s">
        <v>163</v>
      </c>
      <c r="N800" s="25" t="str">
        <f>IF(AND('331-CT'!$E$7=TH!H800,OR(L800="331",M800="331")),"331",IF(AND(OR(L800="131",M800="131"),H800='131-CT'!$E$7),"131",""))</f>
        <v>131</v>
      </c>
      <c r="O800" s="25" t="str">
        <f>IF(AND($B800&gt;='111'!$N$11,$B800&lt;='111'!$O$11,OR($L800=$O$7,$M800=$O$7)),"x","")</f>
        <v/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310"/>
    </row>
    <row r="801" spans="1:26" ht="15.75" customHeight="1">
      <c r="A801" s="125" t="str">
        <f>IF(B801&lt;&gt;"",IF(AND(B801&gt;=_TM1,B801&lt;=_TM2,OR(TH!L801="1111",TH!M801="1111")),TH!D801,""),"")</f>
        <v/>
      </c>
      <c r="B801" s="11">
        <f t="shared" si="61"/>
        <v>6</v>
      </c>
      <c r="C801" s="115">
        <v>40723</v>
      </c>
      <c r="D801" s="115" t="s">
        <v>928</v>
      </c>
      <c r="E801" s="110">
        <v>40723</v>
      </c>
      <c r="F801" s="114" t="s">
        <v>877</v>
      </c>
      <c r="G801" s="224" t="s">
        <v>865</v>
      </c>
      <c r="H801" s="4" t="s">
        <v>709</v>
      </c>
      <c r="I801" s="141">
        <v>422</v>
      </c>
      <c r="J801" s="141">
        <v>4705</v>
      </c>
      <c r="K801" s="238">
        <v>1985510</v>
      </c>
      <c r="L801" s="118" t="s">
        <v>237</v>
      </c>
      <c r="M801" s="118" t="s">
        <v>163</v>
      </c>
      <c r="N801" s="25" t="str">
        <f>IF(AND('331-CT'!$E$7=TH!H801,OR(L801="331",M801="331")),"331",IF(AND(OR(L801="131",M801="131"),H801='131-CT'!$E$7),"131",""))</f>
        <v>131</v>
      </c>
      <c r="O801" s="25" t="str">
        <f>IF(AND($B801&gt;='111'!$N$11,$B801&lt;='111'!$O$11,OR($L801=$O$7,$M801=$O$7)),"x","")</f>
        <v/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310"/>
    </row>
    <row r="802" spans="1:26" ht="15.75" customHeight="1">
      <c r="A802" s="125" t="str">
        <f>IF(B802&lt;&gt;"",IF(AND(B802&gt;=_TM1,B802&lt;=_TM2,OR(TH!L802="1111",TH!M802="1111")),TH!D802,""),"")</f>
        <v/>
      </c>
      <c r="B802" s="11">
        <f t="shared" si="61"/>
        <v>6</v>
      </c>
      <c r="C802" s="115">
        <v>40723</v>
      </c>
      <c r="D802" s="115" t="s">
        <v>928</v>
      </c>
      <c r="E802" s="110">
        <v>40723</v>
      </c>
      <c r="F802" s="114" t="s">
        <v>717</v>
      </c>
      <c r="G802" s="224" t="s">
        <v>865</v>
      </c>
      <c r="H802" s="4" t="s">
        <v>709</v>
      </c>
      <c r="I802" s="141">
        <v>209</v>
      </c>
      <c r="J802" s="141">
        <v>17330</v>
      </c>
      <c r="K802" s="238">
        <v>3621970</v>
      </c>
      <c r="L802" s="118" t="s">
        <v>237</v>
      </c>
      <c r="M802" s="118" t="s">
        <v>163</v>
      </c>
      <c r="N802" s="25" t="str">
        <f>IF(AND('331-CT'!$E$7=TH!H802,OR(L802="331",M802="331")),"331",IF(AND(OR(L802="131",M802="131"),H802='131-CT'!$E$7),"131",""))</f>
        <v>131</v>
      </c>
      <c r="O802" s="25" t="str">
        <f>IF(AND($B802&gt;='111'!$N$11,$B802&lt;='111'!$O$11,OR($L802=$O$7,$M802=$O$7)),"x","")</f>
        <v/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310"/>
    </row>
    <row r="803" spans="1:26" ht="15.75" customHeight="1">
      <c r="A803" s="125" t="str">
        <f>IF(B803&lt;&gt;"",IF(AND(B803&gt;=_TM1,B803&lt;=_TM2,OR(TH!L803="1111",TH!M803="1111")),TH!D803,""),"")</f>
        <v/>
      </c>
      <c r="B803" s="11">
        <f t="shared" si="61"/>
        <v>6</v>
      </c>
      <c r="C803" s="115">
        <v>40723</v>
      </c>
      <c r="D803" s="115" t="s">
        <v>928</v>
      </c>
      <c r="E803" s="110">
        <v>40723</v>
      </c>
      <c r="F803" s="114" t="s">
        <v>883</v>
      </c>
      <c r="G803" s="224" t="s">
        <v>865</v>
      </c>
      <c r="H803" s="4" t="s">
        <v>709</v>
      </c>
      <c r="I803" s="141">
        <v>55</v>
      </c>
      <c r="J803" s="141">
        <v>17203</v>
      </c>
      <c r="K803" s="238">
        <v>946165</v>
      </c>
      <c r="L803" s="118" t="s">
        <v>237</v>
      </c>
      <c r="M803" s="118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310"/>
    </row>
    <row r="804" spans="1:26" ht="15.75" customHeight="1">
      <c r="A804" s="125" t="str">
        <f>IF(B804&lt;&gt;"",IF(AND(B804&gt;=_TM1,B804&lt;=_TM2,OR(TH!L804="1111",TH!M804="1111")),TH!D804,""),"")</f>
        <v/>
      </c>
      <c r="B804" s="11">
        <f t="shared" si="61"/>
        <v>6</v>
      </c>
      <c r="C804" s="115">
        <v>40723</v>
      </c>
      <c r="D804" s="115" t="s">
        <v>928</v>
      </c>
      <c r="E804" s="110">
        <v>40723</v>
      </c>
      <c r="F804" s="116" t="s">
        <v>796</v>
      </c>
      <c r="G804" s="224" t="s">
        <v>865</v>
      </c>
      <c r="H804" s="4" t="s">
        <v>709</v>
      </c>
      <c r="I804" s="141"/>
      <c r="J804" s="141"/>
      <c r="K804" s="13">
        <v>2163767</v>
      </c>
      <c r="L804" s="118" t="s">
        <v>237</v>
      </c>
      <c r="M804" s="118" t="s">
        <v>707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310"/>
    </row>
    <row r="805" spans="1:26" ht="15.75" customHeight="1">
      <c r="A805" s="125" t="str">
        <f>IF(B805&lt;&gt;"",IF(AND(B805&gt;=_TM1,B805&lt;=_TM2,OR(TH!L805="1111",TH!M805="1111")),TH!D805,""),"")</f>
        <v/>
      </c>
      <c r="B805" s="11">
        <f t="shared" si="61"/>
        <v>6</v>
      </c>
      <c r="C805" s="115">
        <v>40723</v>
      </c>
      <c r="D805" s="115" t="s">
        <v>929</v>
      </c>
      <c r="E805" s="110">
        <v>40723</v>
      </c>
      <c r="F805" s="114" t="s">
        <v>884</v>
      </c>
      <c r="G805" s="224" t="s">
        <v>866</v>
      </c>
      <c r="H805" s="4" t="s">
        <v>709</v>
      </c>
      <c r="I805" s="141">
        <v>40</v>
      </c>
      <c r="J805" s="141">
        <v>14435</v>
      </c>
      <c r="K805" s="238">
        <v>577400</v>
      </c>
      <c r="L805" s="118" t="s">
        <v>237</v>
      </c>
      <c r="M805" s="118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310"/>
    </row>
    <row r="806" spans="1:26" ht="15.75" customHeight="1">
      <c r="A806" s="125" t="str">
        <f>IF(B806&lt;&gt;"",IF(AND(B806&gt;=_TM1,B806&lt;=_TM2,OR(TH!L806="1111",TH!M806="1111")),TH!D806,""),"")</f>
        <v/>
      </c>
      <c r="B806" s="11">
        <f t="shared" si="61"/>
        <v>6</v>
      </c>
      <c r="C806" s="115">
        <v>40723</v>
      </c>
      <c r="D806" s="115" t="s">
        <v>929</v>
      </c>
      <c r="E806" s="110">
        <v>40723</v>
      </c>
      <c r="F806" s="114" t="s">
        <v>852</v>
      </c>
      <c r="G806" s="224" t="s">
        <v>866</v>
      </c>
      <c r="H806" s="4" t="s">
        <v>709</v>
      </c>
      <c r="I806" s="141">
        <v>2</v>
      </c>
      <c r="J806" s="141">
        <v>10434</v>
      </c>
      <c r="K806" s="238">
        <v>20868</v>
      </c>
      <c r="L806" s="118" t="s">
        <v>237</v>
      </c>
      <c r="M806" s="118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310"/>
    </row>
    <row r="807" spans="1:26" ht="15.75" customHeight="1">
      <c r="A807" s="125" t="str">
        <f>IF(B807&lt;&gt;"",IF(AND(B807&gt;=_TM1,B807&lt;=_TM2,OR(TH!L807="1111",TH!M807="1111")),TH!D807,""),"")</f>
        <v/>
      </c>
      <c r="B807" s="11">
        <f t="shared" si="61"/>
        <v>6</v>
      </c>
      <c r="C807" s="115">
        <v>40723</v>
      </c>
      <c r="D807" s="115" t="s">
        <v>929</v>
      </c>
      <c r="E807" s="110">
        <v>40723</v>
      </c>
      <c r="F807" s="114" t="s">
        <v>885</v>
      </c>
      <c r="G807" s="224" t="s">
        <v>866</v>
      </c>
      <c r="H807" s="4" t="s">
        <v>709</v>
      </c>
      <c r="I807" s="141">
        <v>207</v>
      </c>
      <c r="J807" s="141">
        <v>24601</v>
      </c>
      <c r="K807" s="238">
        <v>5092407</v>
      </c>
      <c r="L807" s="118" t="s">
        <v>237</v>
      </c>
      <c r="M807" s="118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310"/>
    </row>
    <row r="808" spans="1:26" ht="15.75" customHeight="1">
      <c r="A808" s="125" t="str">
        <f>IF(B808&lt;&gt;"",IF(AND(B808&gt;=_TM1,B808&lt;=_TM2,OR(TH!L808="1111",TH!M808="1111")),TH!D808,""),"")</f>
        <v/>
      </c>
      <c r="B808" s="11">
        <f t="shared" si="61"/>
        <v>6</v>
      </c>
      <c r="C808" s="115">
        <v>40723</v>
      </c>
      <c r="D808" s="115" t="s">
        <v>929</v>
      </c>
      <c r="E808" s="110">
        <v>40723</v>
      </c>
      <c r="F808" s="114" t="s">
        <v>877</v>
      </c>
      <c r="G808" s="224" t="s">
        <v>866</v>
      </c>
      <c r="H808" s="4" t="s">
        <v>709</v>
      </c>
      <c r="I808" s="141">
        <v>203</v>
      </c>
      <c r="J808" s="141">
        <v>12255</v>
      </c>
      <c r="K808" s="238">
        <v>2487765</v>
      </c>
      <c r="L808" s="118" t="s">
        <v>237</v>
      </c>
      <c r="M808" s="118" t="s">
        <v>163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310"/>
    </row>
    <row r="809" spans="1:26" ht="15.75" customHeight="1">
      <c r="A809" s="125" t="str">
        <f>IF(B809&lt;&gt;"",IF(AND(B809&gt;=_TM1,B809&lt;=_TM2,OR(TH!L809="1111",TH!M809="1111")),TH!D809,""),"")</f>
        <v/>
      </c>
      <c r="B809" s="11">
        <f t="shared" si="61"/>
        <v>6</v>
      </c>
      <c r="C809" s="115">
        <v>40723</v>
      </c>
      <c r="D809" s="115" t="s">
        <v>929</v>
      </c>
      <c r="E809" s="110">
        <v>40723</v>
      </c>
      <c r="F809" s="114" t="s">
        <v>886</v>
      </c>
      <c r="G809" s="224" t="s">
        <v>866</v>
      </c>
      <c r="H809" s="4" t="s">
        <v>709</v>
      </c>
      <c r="I809" s="141">
        <v>9</v>
      </c>
      <c r="J809" s="141">
        <v>19640</v>
      </c>
      <c r="K809" s="238">
        <v>176760</v>
      </c>
      <c r="L809" s="118" t="s">
        <v>237</v>
      </c>
      <c r="M809" s="118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310"/>
    </row>
    <row r="810" spans="1:26" ht="15.75" customHeight="1">
      <c r="A810" s="125" t="str">
        <f>IF(B810&lt;&gt;"",IF(AND(B810&gt;=_TM1,B810&lt;=_TM2,OR(TH!L810="1111",TH!M810="1111")),TH!D810,""),"")</f>
        <v/>
      </c>
      <c r="B810" s="11">
        <f t="shared" si="61"/>
        <v>6</v>
      </c>
      <c r="C810" s="115">
        <v>40723</v>
      </c>
      <c r="D810" s="115" t="s">
        <v>929</v>
      </c>
      <c r="E810" s="110">
        <v>40723</v>
      </c>
      <c r="F810" s="114" t="s">
        <v>728</v>
      </c>
      <c r="G810" s="224" t="s">
        <v>866</v>
      </c>
      <c r="H810" s="4" t="s">
        <v>709</v>
      </c>
      <c r="I810" s="141">
        <v>1</v>
      </c>
      <c r="J810" s="141">
        <v>16417</v>
      </c>
      <c r="K810" s="238">
        <v>16417</v>
      </c>
      <c r="L810" s="118" t="s">
        <v>237</v>
      </c>
      <c r="M810" s="118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310"/>
    </row>
    <row r="811" spans="1:26" ht="15.75" customHeight="1">
      <c r="A811" s="125" t="str">
        <f>IF(B811&lt;&gt;"",IF(AND(B811&gt;=_TM1,B811&lt;=_TM2,OR(TH!L811="1111",TH!M811="1111")),TH!D811,""),"")</f>
        <v/>
      </c>
      <c r="B811" s="11">
        <f t="shared" si="61"/>
        <v>6</v>
      </c>
      <c r="C811" s="115">
        <v>40723</v>
      </c>
      <c r="D811" s="115" t="s">
        <v>929</v>
      </c>
      <c r="E811" s="110">
        <v>40723</v>
      </c>
      <c r="F811" s="114" t="s">
        <v>887</v>
      </c>
      <c r="G811" s="224" t="s">
        <v>866</v>
      </c>
      <c r="H811" s="4" t="s">
        <v>709</v>
      </c>
      <c r="I811" s="141">
        <v>3</v>
      </c>
      <c r="J811" s="141">
        <v>20389</v>
      </c>
      <c r="K811" s="238">
        <v>61167</v>
      </c>
      <c r="L811" s="118" t="s">
        <v>237</v>
      </c>
      <c r="M811" s="118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310"/>
    </row>
    <row r="812" spans="1:26" ht="15.75" customHeight="1">
      <c r="A812" s="125" t="str">
        <f>IF(B812&lt;&gt;"",IF(AND(B812&gt;=_TM1,B812&lt;=_TM2,OR(TH!L812="1111",TH!M812="1111")),TH!D812,""),"")</f>
        <v/>
      </c>
      <c r="B812" s="11">
        <f t="shared" si="61"/>
        <v>6</v>
      </c>
      <c r="C812" s="115">
        <v>40723</v>
      </c>
      <c r="D812" s="115" t="s">
        <v>929</v>
      </c>
      <c r="E812" s="110">
        <v>40723</v>
      </c>
      <c r="F812" s="114" t="s">
        <v>727</v>
      </c>
      <c r="G812" s="224" t="s">
        <v>866</v>
      </c>
      <c r="H812" s="4" t="s">
        <v>709</v>
      </c>
      <c r="I812" s="141">
        <v>11</v>
      </c>
      <c r="J812" s="141">
        <v>14129</v>
      </c>
      <c r="K812" s="238">
        <v>155419</v>
      </c>
      <c r="L812" s="118" t="s">
        <v>237</v>
      </c>
      <c r="M812" s="118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310"/>
    </row>
    <row r="813" spans="1:26" ht="15.75" customHeight="1">
      <c r="A813" s="125" t="str">
        <f>IF(B813&lt;&gt;"",IF(AND(B813&gt;=_TM1,B813&lt;=_TM2,OR(TH!L813="1111",TH!M813="1111")),TH!D813,""),"")</f>
        <v/>
      </c>
      <c r="B813" s="11">
        <f t="shared" si="61"/>
        <v>6</v>
      </c>
      <c r="C813" s="115">
        <v>40723</v>
      </c>
      <c r="D813" s="115" t="s">
        <v>929</v>
      </c>
      <c r="E813" s="110">
        <v>40723</v>
      </c>
      <c r="F813" s="116" t="s">
        <v>796</v>
      </c>
      <c r="G813" s="224" t="s">
        <v>866</v>
      </c>
      <c r="H813" s="4" t="s">
        <v>709</v>
      </c>
      <c r="I813" s="141"/>
      <c r="J813" s="141"/>
      <c r="K813" s="238">
        <v>858820</v>
      </c>
      <c r="L813" s="118" t="s">
        <v>237</v>
      </c>
      <c r="M813" s="118" t="s">
        <v>707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121"/>
    </row>
    <row r="814" spans="1:26" ht="15.75" customHeight="1">
      <c r="A814" s="125" t="str">
        <f>IF(B814&lt;&gt;"",IF(AND(B814&gt;=_TM1,B814&lt;=_TM2,OR(TH!L814="1111",TH!M814="1111")),TH!D814,""),"")</f>
        <v/>
      </c>
      <c r="B814" s="11">
        <f t="shared" si="61"/>
        <v>6</v>
      </c>
      <c r="C814" s="115">
        <v>40723</v>
      </c>
      <c r="D814" s="115" t="s">
        <v>930</v>
      </c>
      <c r="E814" s="110">
        <v>40723</v>
      </c>
      <c r="F814" s="114" t="s">
        <v>851</v>
      </c>
      <c r="G814" s="224" t="s">
        <v>867</v>
      </c>
      <c r="H814" s="4" t="s">
        <v>709</v>
      </c>
      <c r="I814" s="141">
        <v>26</v>
      </c>
      <c r="J814" s="141">
        <v>10433</v>
      </c>
      <c r="K814" s="238">
        <v>271258</v>
      </c>
      <c r="L814" s="118" t="s">
        <v>237</v>
      </c>
      <c r="M814" s="118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121"/>
    </row>
    <row r="815" spans="1:26" ht="15.75" customHeight="1">
      <c r="A815" s="125" t="str">
        <f>IF(B815&lt;&gt;"",IF(AND(B815&gt;=_TM1,B815&lt;=_TM2,OR(TH!L815="1111",TH!M815="1111")),TH!D815,""),"")</f>
        <v/>
      </c>
      <c r="B815" s="11">
        <f t="shared" si="61"/>
        <v>6</v>
      </c>
      <c r="C815" s="115">
        <v>40723</v>
      </c>
      <c r="D815" s="115" t="s">
        <v>930</v>
      </c>
      <c r="E815" s="110">
        <v>40723</v>
      </c>
      <c r="F815" s="114" t="s">
        <v>888</v>
      </c>
      <c r="G815" s="224" t="s">
        <v>867</v>
      </c>
      <c r="H815" s="4" t="s">
        <v>709</v>
      </c>
      <c r="I815" s="141">
        <v>20</v>
      </c>
      <c r="J815" s="141">
        <v>19208</v>
      </c>
      <c r="K815" s="238">
        <v>384160</v>
      </c>
      <c r="L815" s="118" t="s">
        <v>237</v>
      </c>
      <c r="M815" s="118" t="s">
        <v>163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121"/>
    </row>
    <row r="816" spans="1:26" ht="15.75" customHeight="1">
      <c r="A816" s="125" t="str">
        <f>IF(B816&lt;&gt;"",IF(AND(B816&gt;=_TM1,B816&lt;=_TM2,OR(TH!L816="1111",TH!M816="1111")),TH!D816,""),"")</f>
        <v/>
      </c>
      <c r="B816" s="11">
        <f t="shared" si="61"/>
        <v>6</v>
      </c>
      <c r="C816" s="115">
        <v>40723</v>
      </c>
      <c r="D816" s="115" t="s">
        <v>930</v>
      </c>
      <c r="E816" s="110">
        <v>40723</v>
      </c>
      <c r="F816" s="114" t="s">
        <v>889</v>
      </c>
      <c r="G816" s="224" t="s">
        <v>867</v>
      </c>
      <c r="H816" s="4" t="s">
        <v>709</v>
      </c>
      <c r="I816" s="141">
        <v>61</v>
      </c>
      <c r="J816" s="141">
        <v>21962</v>
      </c>
      <c r="K816" s="238">
        <v>1339682</v>
      </c>
      <c r="L816" s="118" t="s">
        <v>237</v>
      </c>
      <c r="M816" s="118" t="s">
        <v>163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121"/>
    </row>
    <row r="817" spans="1:26" ht="15.75" customHeight="1">
      <c r="A817" s="125" t="str">
        <f>IF(B817&lt;&gt;"",IF(AND(B817&gt;=_TM1,B817&lt;=_TM2,OR(TH!L817="1111",TH!M817="1111")),TH!D817,""),"")</f>
        <v/>
      </c>
      <c r="B817" s="11">
        <f t="shared" si="61"/>
        <v>6</v>
      </c>
      <c r="C817" s="115">
        <v>40723</v>
      </c>
      <c r="D817" s="115" t="s">
        <v>930</v>
      </c>
      <c r="E817" s="110">
        <v>40723</v>
      </c>
      <c r="F817" s="114" t="s">
        <v>732</v>
      </c>
      <c r="G817" s="224" t="s">
        <v>867</v>
      </c>
      <c r="H817" s="4" t="s">
        <v>709</v>
      </c>
      <c r="I817" s="141">
        <v>140</v>
      </c>
      <c r="J817" s="141">
        <v>3065</v>
      </c>
      <c r="K817" s="238">
        <v>429100</v>
      </c>
      <c r="L817" s="118" t="s">
        <v>237</v>
      </c>
      <c r="M817" s="118" t="s">
        <v>163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121"/>
    </row>
    <row r="818" spans="1:26" ht="15.75" customHeight="1">
      <c r="A818" s="125" t="str">
        <f>IF(B818&lt;&gt;"",IF(AND(B818&gt;=_TM1,B818&lt;=_TM2,OR(TH!L818="1111",TH!M818="1111")),TH!D818,""),"")</f>
        <v/>
      </c>
      <c r="B818" s="11">
        <f t="shared" si="61"/>
        <v>6</v>
      </c>
      <c r="C818" s="115">
        <v>40723</v>
      </c>
      <c r="D818" s="115" t="s">
        <v>930</v>
      </c>
      <c r="E818" s="110">
        <v>40723</v>
      </c>
      <c r="F818" s="114" t="s">
        <v>882</v>
      </c>
      <c r="G818" s="224" t="s">
        <v>867</v>
      </c>
      <c r="H818" s="4" t="s">
        <v>709</v>
      </c>
      <c r="I818" s="141">
        <v>40</v>
      </c>
      <c r="J818" s="141">
        <v>18185</v>
      </c>
      <c r="K818" s="238">
        <v>727400</v>
      </c>
      <c r="L818" s="118" t="s">
        <v>237</v>
      </c>
      <c r="M818" s="118" t="s">
        <v>163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121"/>
    </row>
    <row r="819" spans="1:26" ht="15.75" customHeight="1">
      <c r="A819" s="125" t="str">
        <f>IF(B819&lt;&gt;"",IF(AND(B819&gt;=_TM1,B819&lt;=_TM2,OR(TH!L819="1111",TH!M819="1111")),TH!D819,""),"")</f>
        <v/>
      </c>
      <c r="B819" s="11">
        <f t="shared" si="61"/>
        <v>6</v>
      </c>
      <c r="C819" s="115">
        <v>40723</v>
      </c>
      <c r="D819" s="115" t="s">
        <v>930</v>
      </c>
      <c r="E819" s="110">
        <v>40723</v>
      </c>
      <c r="F819" s="114" t="s">
        <v>720</v>
      </c>
      <c r="G819" s="224" t="s">
        <v>867</v>
      </c>
      <c r="H819" s="4" t="s">
        <v>709</v>
      </c>
      <c r="I819" s="141">
        <v>95</v>
      </c>
      <c r="J819" s="141">
        <v>14591</v>
      </c>
      <c r="K819" s="238">
        <v>1386145</v>
      </c>
      <c r="L819" s="118" t="s">
        <v>237</v>
      </c>
      <c r="M819" s="118" t="s">
        <v>163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310"/>
    </row>
    <row r="820" spans="1:26" ht="15.75" customHeight="1">
      <c r="A820" s="125" t="str">
        <f>IF(B820&lt;&gt;"",IF(AND(B820&gt;=_TM1,B820&lt;=_TM2,OR(TH!L820="1111",TH!M820="1111")),TH!D820,""),"")</f>
        <v/>
      </c>
      <c r="B820" s="11">
        <f t="shared" si="61"/>
        <v>6</v>
      </c>
      <c r="C820" s="115">
        <v>40723</v>
      </c>
      <c r="D820" s="115" t="s">
        <v>930</v>
      </c>
      <c r="E820" s="110">
        <v>40723</v>
      </c>
      <c r="F820" s="116" t="s">
        <v>796</v>
      </c>
      <c r="G820" s="224" t="s">
        <v>867</v>
      </c>
      <c r="H820" s="4" t="s">
        <v>709</v>
      </c>
      <c r="I820" s="141"/>
      <c r="J820" s="141"/>
      <c r="K820" s="238">
        <v>453775</v>
      </c>
      <c r="L820" s="118" t="s">
        <v>237</v>
      </c>
      <c r="M820" s="118" t="s">
        <v>707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310"/>
    </row>
    <row r="821" spans="1:26" ht="15.75" customHeight="1">
      <c r="A821" s="125" t="str">
        <f>IF(B821&lt;&gt;"",IF(AND(B821&gt;=_TM1,B821&lt;=_TM2,OR(TH!L821="1111",TH!M821="1111")),TH!D821,""),"")</f>
        <v/>
      </c>
      <c r="B821" s="11">
        <f t="shared" si="61"/>
        <v>6</v>
      </c>
      <c r="C821" s="115">
        <v>40723</v>
      </c>
      <c r="D821" s="115" t="s">
        <v>931</v>
      </c>
      <c r="E821" s="110">
        <v>40723</v>
      </c>
      <c r="F821" s="116" t="s">
        <v>855</v>
      </c>
      <c r="G821" s="224" t="s">
        <v>868</v>
      </c>
      <c r="H821" s="131" t="s">
        <v>854</v>
      </c>
      <c r="I821" s="141">
        <v>2000</v>
      </c>
      <c r="J821" s="141">
        <v>7229</v>
      </c>
      <c r="K821" s="238">
        <v>14458000</v>
      </c>
      <c r="L821" s="118" t="s">
        <v>237</v>
      </c>
      <c r="M821" s="118" t="s">
        <v>163</v>
      </c>
      <c r="N821" s="25" t="str">
        <f>IF(AND('331-CT'!$E$7=TH!H821,OR(L821="331",M821="331")),"331",IF(AND(OR(L821="131",M821="131"),H821='131-CT'!$E$7),"131",""))</f>
        <v/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310"/>
    </row>
    <row r="822" spans="1:26" ht="15.75" customHeight="1">
      <c r="A822" s="125" t="str">
        <f>IF(B822&lt;&gt;"",IF(AND(B822&gt;=_TM1,B822&lt;=_TM2,OR(TH!L822="1111",TH!M822="1111")),TH!D822,""),"")</f>
        <v/>
      </c>
      <c r="B822" s="11">
        <f t="shared" si="61"/>
        <v>6</v>
      </c>
      <c r="C822" s="115">
        <v>40723</v>
      </c>
      <c r="D822" s="115" t="s">
        <v>931</v>
      </c>
      <c r="E822" s="110">
        <v>40723</v>
      </c>
      <c r="F822" s="116" t="s">
        <v>783</v>
      </c>
      <c r="G822" s="224" t="s">
        <v>868</v>
      </c>
      <c r="H822" s="131" t="s">
        <v>854</v>
      </c>
      <c r="I822" s="141"/>
      <c r="J822" s="141"/>
      <c r="K822" s="238">
        <v>1445800</v>
      </c>
      <c r="L822" s="118" t="s">
        <v>237</v>
      </c>
      <c r="M822" s="118" t="s">
        <v>707</v>
      </c>
      <c r="N822" s="25" t="str">
        <f>IF(AND('331-CT'!$E$7=TH!H822,OR(L822="331",M822="331")),"331",IF(AND(OR(L822="131",M822="131"),H822='131-CT'!$E$7),"131",""))</f>
        <v/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310"/>
    </row>
    <row r="823" spans="1:26" ht="15.75" customHeight="1">
      <c r="A823" s="125" t="str">
        <f>IF(B823&lt;&gt;"",IF(AND(B823&gt;=_TM1,B823&lt;=_TM2,OR(TH!L823="1111",TH!M823="1111")),TH!D823,""),"")</f>
        <v/>
      </c>
      <c r="B823" s="11">
        <f t="shared" si="61"/>
        <v>6</v>
      </c>
      <c r="C823" s="115">
        <v>40723</v>
      </c>
      <c r="D823" s="115" t="s">
        <v>932</v>
      </c>
      <c r="E823" s="110">
        <v>40723</v>
      </c>
      <c r="F823" s="116" t="s">
        <v>890</v>
      </c>
      <c r="G823" s="224" t="s">
        <v>875</v>
      </c>
      <c r="H823" s="4" t="s">
        <v>710</v>
      </c>
      <c r="I823" s="141">
        <v>306</v>
      </c>
      <c r="J823" s="141">
        <v>14330</v>
      </c>
      <c r="K823" s="238">
        <v>4384980</v>
      </c>
      <c r="L823" s="118" t="s">
        <v>237</v>
      </c>
      <c r="M823" s="118" t="s">
        <v>163</v>
      </c>
      <c r="N823" s="25" t="str">
        <f>IF(AND('331-CT'!$E$7=TH!H823,OR(L823="331",M823="331")),"331",IF(AND(OR(L823="131",M823="131"),H823='131-CT'!$E$7),"131",""))</f>
        <v/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310"/>
    </row>
    <row r="824" spans="1:26" ht="15.75" customHeight="1">
      <c r="A824" s="125" t="str">
        <f>IF(B824&lt;&gt;"",IF(AND(B824&gt;=_TM1,B824&lt;=_TM2,OR(TH!L824="1111",TH!M824="1111")),TH!D824,""),"")</f>
        <v/>
      </c>
      <c r="B824" s="11">
        <f t="shared" si="61"/>
        <v>6</v>
      </c>
      <c r="C824" s="115">
        <v>40723</v>
      </c>
      <c r="D824" s="115" t="s">
        <v>932</v>
      </c>
      <c r="E824" s="110">
        <v>40723</v>
      </c>
      <c r="F824" s="116" t="s">
        <v>777</v>
      </c>
      <c r="G824" s="224" t="s">
        <v>875</v>
      </c>
      <c r="H824" s="4" t="s">
        <v>710</v>
      </c>
      <c r="I824" s="141">
        <v>391</v>
      </c>
      <c r="J824" s="141">
        <v>9760</v>
      </c>
      <c r="K824" s="238">
        <v>3816160</v>
      </c>
      <c r="L824" s="118" t="s">
        <v>237</v>
      </c>
      <c r="M824" s="118" t="s">
        <v>163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310"/>
    </row>
    <row r="825" spans="1:26" ht="15.75" customHeight="1">
      <c r="A825" s="125" t="str">
        <f>IF(B825&lt;&gt;"",IF(AND(B825&gt;=_TM1,B825&lt;=_TM2,OR(TH!L825="1111",TH!M825="1111")),TH!D825,""),"")</f>
        <v/>
      </c>
      <c r="B825" s="11">
        <f t="shared" si="61"/>
        <v>6</v>
      </c>
      <c r="C825" s="115">
        <v>40723</v>
      </c>
      <c r="D825" s="115" t="s">
        <v>932</v>
      </c>
      <c r="E825" s="110">
        <v>40723</v>
      </c>
      <c r="F825" s="116" t="s">
        <v>770</v>
      </c>
      <c r="G825" s="224" t="s">
        <v>875</v>
      </c>
      <c r="H825" s="4" t="s">
        <v>710</v>
      </c>
      <c r="I825" s="141">
        <v>297</v>
      </c>
      <c r="J825" s="141">
        <v>7500</v>
      </c>
      <c r="K825" s="238">
        <v>2227500</v>
      </c>
      <c r="L825" s="118" t="s">
        <v>237</v>
      </c>
      <c r="M825" s="118" t="s">
        <v>163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310"/>
    </row>
    <row r="826" spans="1:26" ht="15.75" customHeight="1">
      <c r="A826" s="125" t="str">
        <f>IF(B826&lt;&gt;"",IF(AND(B826&gt;=_TM1,B826&lt;=_TM2,OR(TH!L826="1111",TH!M826="1111")),TH!D826,""),"")</f>
        <v/>
      </c>
      <c r="B826" s="11">
        <f t="shared" si="61"/>
        <v>6</v>
      </c>
      <c r="C826" s="115">
        <v>40723</v>
      </c>
      <c r="D826" s="115" t="s">
        <v>932</v>
      </c>
      <c r="E826" s="110">
        <v>40723</v>
      </c>
      <c r="F826" s="116" t="s">
        <v>892</v>
      </c>
      <c r="G826" s="224" t="s">
        <v>875</v>
      </c>
      <c r="H826" s="4" t="s">
        <v>710</v>
      </c>
      <c r="I826" s="141">
        <v>101</v>
      </c>
      <c r="J826" s="141">
        <v>8800</v>
      </c>
      <c r="K826" s="238">
        <v>888800</v>
      </c>
      <c r="L826" s="118" t="s">
        <v>237</v>
      </c>
      <c r="M826" s="118" t="s">
        <v>163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310"/>
    </row>
    <row r="827" spans="1:26" ht="15.75" customHeight="1">
      <c r="A827" s="125" t="str">
        <f>IF(B827&lt;&gt;"",IF(AND(B827&gt;=_TM1,B827&lt;=_TM2,OR(TH!L827="1111",TH!M827="1111")),TH!D827,""),"")</f>
        <v/>
      </c>
      <c r="B827" s="11">
        <f t="shared" si="61"/>
        <v>6</v>
      </c>
      <c r="C827" s="115">
        <v>40723</v>
      </c>
      <c r="D827" s="115" t="s">
        <v>932</v>
      </c>
      <c r="E827" s="110">
        <v>40723</v>
      </c>
      <c r="F827" s="116" t="s">
        <v>891</v>
      </c>
      <c r="G827" s="224" t="s">
        <v>875</v>
      </c>
      <c r="H827" s="4" t="s">
        <v>710</v>
      </c>
      <c r="I827" s="141">
        <v>103</v>
      </c>
      <c r="J827" s="141">
        <v>7630</v>
      </c>
      <c r="K827" s="238">
        <v>785890</v>
      </c>
      <c r="L827" s="118" t="s">
        <v>237</v>
      </c>
      <c r="M827" s="118" t="s">
        <v>163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310"/>
    </row>
    <row r="828" spans="1:26" ht="15.75" customHeight="1">
      <c r="A828" s="125" t="str">
        <f>IF(B828&lt;&gt;"",IF(AND(B828&gt;=_TM1,B828&lt;=_TM2,OR(TH!L828="1111",TH!M828="1111")),TH!D828,""),"")</f>
        <v/>
      </c>
      <c r="B828" s="11">
        <f t="shared" si="61"/>
        <v>6</v>
      </c>
      <c r="C828" s="115">
        <v>40723</v>
      </c>
      <c r="D828" s="115" t="s">
        <v>932</v>
      </c>
      <c r="E828" s="110">
        <v>40723</v>
      </c>
      <c r="F828" s="116" t="s">
        <v>767</v>
      </c>
      <c r="G828" s="224" t="s">
        <v>875</v>
      </c>
      <c r="H828" s="4" t="s">
        <v>710</v>
      </c>
      <c r="I828" s="141">
        <v>109</v>
      </c>
      <c r="J828" s="141">
        <v>18940</v>
      </c>
      <c r="K828" s="238">
        <v>2064460</v>
      </c>
      <c r="L828" s="118" t="s">
        <v>237</v>
      </c>
      <c r="M828" s="118" t="s">
        <v>163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310"/>
    </row>
    <row r="829" spans="1:26" ht="15.75" customHeight="1">
      <c r="A829" s="125" t="str">
        <f>IF(B829&lt;&gt;"",IF(AND(B829&gt;=_TM1,B829&lt;=_TM2,OR(TH!L829="1111",TH!M829="1111")),TH!D829,""),"")</f>
        <v/>
      </c>
      <c r="B829" s="11">
        <f t="shared" si="61"/>
        <v>6</v>
      </c>
      <c r="C829" s="115">
        <v>40723</v>
      </c>
      <c r="D829" s="115" t="s">
        <v>932</v>
      </c>
      <c r="E829" s="110">
        <v>40723</v>
      </c>
      <c r="F829" s="116" t="s">
        <v>893</v>
      </c>
      <c r="G829" s="224" t="s">
        <v>875</v>
      </c>
      <c r="H829" s="4" t="s">
        <v>710</v>
      </c>
      <c r="I829" s="139">
        <v>104</v>
      </c>
      <c r="J829" s="139">
        <v>23100</v>
      </c>
      <c r="K829" s="238">
        <v>2402400</v>
      </c>
      <c r="L829" s="118" t="s">
        <v>237</v>
      </c>
      <c r="M829" s="118" t="s">
        <v>163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310"/>
    </row>
    <row r="830" spans="1:26" ht="15.75" customHeight="1">
      <c r="A830" s="125" t="str">
        <f>IF(B830&lt;&gt;"",IF(AND(B830&gt;=_TM1,B830&lt;=_TM2,OR(TH!L830="1111",TH!M830="1111")),TH!D830,""),"")</f>
        <v/>
      </c>
      <c r="B830" s="11">
        <f t="shared" si="61"/>
        <v>6</v>
      </c>
      <c r="C830" s="115">
        <v>40723</v>
      </c>
      <c r="D830" s="115" t="s">
        <v>932</v>
      </c>
      <c r="E830" s="110">
        <v>40723</v>
      </c>
      <c r="F830" s="116" t="s">
        <v>796</v>
      </c>
      <c r="G830" s="224" t="s">
        <v>875</v>
      </c>
      <c r="H830" s="4" t="s">
        <v>710</v>
      </c>
      <c r="I830" s="141"/>
      <c r="J830" s="141"/>
      <c r="K830" s="238">
        <v>1657019</v>
      </c>
      <c r="L830" s="118" t="s">
        <v>237</v>
      </c>
      <c r="M830" s="118" t="s">
        <v>707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310"/>
    </row>
    <row r="831" spans="1:26" ht="15.75" customHeight="1">
      <c r="A831" s="125" t="str">
        <f>IF(B831&lt;&gt;"",IF(AND(B831&gt;=_TM1,B831&lt;=_TM2,OR(TH!L831="1111",TH!M831="1111")),TH!D831,""),"")</f>
        <v/>
      </c>
      <c r="B831" s="11">
        <f t="shared" si="61"/>
        <v>6</v>
      </c>
      <c r="C831" s="115">
        <v>40723</v>
      </c>
      <c r="D831" s="115" t="s">
        <v>922</v>
      </c>
      <c r="E831" s="110">
        <v>40723</v>
      </c>
      <c r="F831" s="114" t="s">
        <v>859</v>
      </c>
      <c r="G831" s="224" t="s">
        <v>370</v>
      </c>
      <c r="H831" s="4" t="s">
        <v>709</v>
      </c>
      <c r="I831" s="141">
        <v>17</v>
      </c>
      <c r="J831" s="141">
        <v>22124.823529411766</v>
      </c>
      <c r="K831" s="238">
        <f t="shared" ref="K831:K862" si="62">ROUND(I831*J831,0)</f>
        <v>376122</v>
      </c>
      <c r="L831" s="319" t="s">
        <v>161</v>
      </c>
      <c r="M831" s="319" t="s">
        <v>155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310"/>
    </row>
    <row r="832" spans="1:26" ht="15.75" customHeight="1">
      <c r="A832" s="125" t="str">
        <f>IF(B832&lt;&gt;"",IF(AND(B832&gt;=_TM1,B832&lt;=_TM2,OR(TH!L832="1111",TH!M832="1111")),TH!D832,""),"")</f>
        <v/>
      </c>
      <c r="B832" s="11">
        <f t="shared" si="61"/>
        <v>6</v>
      </c>
      <c r="C832" s="115">
        <v>40723</v>
      </c>
      <c r="D832" s="115" t="s">
        <v>922</v>
      </c>
      <c r="E832" s="110">
        <v>40723</v>
      </c>
      <c r="F832" s="114" t="s">
        <v>843</v>
      </c>
      <c r="G832" s="224" t="s">
        <v>370</v>
      </c>
      <c r="H832" s="4" t="s">
        <v>709</v>
      </c>
      <c r="I832" s="141">
        <v>8</v>
      </c>
      <c r="J832" s="141">
        <v>25265.5</v>
      </c>
      <c r="K832" s="238">
        <f t="shared" si="62"/>
        <v>202124</v>
      </c>
      <c r="L832" s="319" t="s">
        <v>161</v>
      </c>
      <c r="M832" s="319" t="s">
        <v>155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310"/>
    </row>
    <row r="833" spans="1:26" ht="15.75" customHeight="1">
      <c r="A833" s="125" t="str">
        <f>IF(B833&lt;&gt;"",IF(AND(B833&gt;=_TM1,B833&lt;=_TM2,OR(TH!L833="1111",TH!M833="1111")),TH!D833,""),"")</f>
        <v/>
      </c>
      <c r="B833" s="11">
        <f t="shared" si="61"/>
        <v>6</v>
      </c>
      <c r="C833" s="115">
        <v>40723</v>
      </c>
      <c r="D833" s="115" t="s">
        <v>922</v>
      </c>
      <c r="E833" s="110">
        <v>40723</v>
      </c>
      <c r="F833" s="114" t="s">
        <v>833</v>
      </c>
      <c r="G833" s="224" t="s">
        <v>370</v>
      </c>
      <c r="H833" s="4" t="s">
        <v>709</v>
      </c>
      <c r="I833" s="141">
        <v>38</v>
      </c>
      <c r="J833" s="141">
        <v>25265.5</v>
      </c>
      <c r="K833" s="238">
        <f t="shared" si="62"/>
        <v>960089</v>
      </c>
      <c r="L833" s="319" t="s">
        <v>161</v>
      </c>
      <c r="M833" s="319" t="s">
        <v>155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310"/>
    </row>
    <row r="834" spans="1:26" ht="15.75" customHeight="1">
      <c r="A834" s="125" t="str">
        <f>IF(B834&lt;&gt;"",IF(AND(B834&gt;=_TM1,B834&lt;=_TM2,OR(TH!L834="1111",TH!M834="1111")),TH!D834,""),"")</f>
        <v/>
      </c>
      <c r="B834" s="11">
        <f t="shared" si="61"/>
        <v>6</v>
      </c>
      <c r="C834" s="115">
        <v>40723</v>
      </c>
      <c r="D834" s="115" t="s">
        <v>922</v>
      </c>
      <c r="E834" s="110">
        <v>40723</v>
      </c>
      <c r="F834" s="114" t="s">
        <v>860</v>
      </c>
      <c r="G834" s="224" t="s">
        <v>370</v>
      </c>
      <c r="H834" s="4" t="s">
        <v>709</v>
      </c>
      <c r="I834" s="141">
        <v>47</v>
      </c>
      <c r="J834" s="141">
        <v>19142.510638297874</v>
      </c>
      <c r="K834" s="238">
        <f t="shared" si="62"/>
        <v>899698</v>
      </c>
      <c r="L834" s="319" t="s">
        <v>161</v>
      </c>
      <c r="M834" s="319" t="s">
        <v>155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310"/>
    </row>
    <row r="835" spans="1:26" ht="15.75" customHeight="1">
      <c r="A835" s="125" t="str">
        <f>IF(B835&lt;&gt;"",IF(AND(B835&gt;=_TM1,B835&lt;=_TM2,OR(TH!L835="1111",TH!M835="1111")),TH!D835,""),"")</f>
        <v/>
      </c>
      <c r="B835" s="11">
        <f t="shared" si="61"/>
        <v>6</v>
      </c>
      <c r="C835" s="115">
        <v>40723</v>
      </c>
      <c r="D835" s="115" t="s">
        <v>922</v>
      </c>
      <c r="E835" s="110">
        <v>40723</v>
      </c>
      <c r="F835" s="114" t="s">
        <v>861</v>
      </c>
      <c r="G835" s="224" t="s">
        <v>370</v>
      </c>
      <c r="H835" s="4" t="s">
        <v>709</v>
      </c>
      <c r="I835" s="141">
        <v>830</v>
      </c>
      <c r="J835" s="141">
        <v>13362.013253012048</v>
      </c>
      <c r="K835" s="238">
        <f t="shared" si="62"/>
        <v>11090471</v>
      </c>
      <c r="L835" s="319" t="s">
        <v>161</v>
      </c>
      <c r="M835" s="319" t="s">
        <v>155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310"/>
    </row>
    <row r="836" spans="1:26" ht="15.75" customHeight="1">
      <c r="A836" s="125" t="str">
        <f>IF(B836&lt;&gt;"",IF(AND(B836&gt;=_TM1,B836&lt;=_TM2,OR(TH!L836="1111",TH!M836="1111")),TH!D836,""),"")</f>
        <v/>
      </c>
      <c r="B836" s="11">
        <f t="shared" si="61"/>
        <v>6</v>
      </c>
      <c r="C836" s="115">
        <v>40723</v>
      </c>
      <c r="D836" s="115" t="s">
        <v>922</v>
      </c>
      <c r="E836" s="110">
        <v>40723</v>
      </c>
      <c r="F836" s="114" t="s">
        <v>727</v>
      </c>
      <c r="G836" s="224" t="s">
        <v>370</v>
      </c>
      <c r="H836" s="4" t="s">
        <v>709</v>
      </c>
      <c r="I836" s="141">
        <v>738</v>
      </c>
      <c r="J836" s="141">
        <v>13362.012195121952</v>
      </c>
      <c r="K836" s="238">
        <f t="shared" si="62"/>
        <v>9861165</v>
      </c>
      <c r="L836" s="319" t="s">
        <v>161</v>
      </c>
      <c r="M836" s="319" t="s">
        <v>155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310"/>
    </row>
    <row r="837" spans="1:26" ht="15.75" customHeight="1">
      <c r="A837" s="125" t="str">
        <f>IF(B837&lt;&gt;"",IF(AND(B837&gt;=_TM1,B837&lt;=_TM2,OR(TH!L837="1111",TH!M837="1111")),TH!D837,""),"")</f>
        <v/>
      </c>
      <c r="B837" s="11">
        <f t="shared" si="61"/>
        <v>6</v>
      </c>
      <c r="C837" s="115">
        <v>40723</v>
      </c>
      <c r="D837" s="115" t="s">
        <v>922</v>
      </c>
      <c r="E837" s="110">
        <v>40723</v>
      </c>
      <c r="F837" s="114" t="s">
        <v>731</v>
      </c>
      <c r="G837" s="224" t="s">
        <v>370</v>
      </c>
      <c r="H837" s="4" t="s">
        <v>709</v>
      </c>
      <c r="I837" s="141">
        <v>2</v>
      </c>
      <c r="J837" s="141">
        <v>9590.5</v>
      </c>
      <c r="K837" s="238">
        <f t="shared" si="62"/>
        <v>19181</v>
      </c>
      <c r="L837" s="319" t="s">
        <v>161</v>
      </c>
      <c r="M837" s="319" t="s">
        <v>155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310"/>
    </row>
    <row r="838" spans="1:26" ht="15.75" customHeight="1">
      <c r="A838" s="125" t="str">
        <f>IF(B838&lt;&gt;"",IF(AND(B838&gt;=_TM1,B838&lt;=_TM2,OR(TH!L838="1111",TH!M838="1111")),TH!D838,""),"")</f>
        <v/>
      </c>
      <c r="B838" s="11">
        <f t="shared" si="61"/>
        <v>6</v>
      </c>
      <c r="C838" s="115">
        <v>40723</v>
      </c>
      <c r="D838" s="115" t="s">
        <v>922</v>
      </c>
      <c r="E838" s="110">
        <v>40723</v>
      </c>
      <c r="F838" s="114" t="s">
        <v>862</v>
      </c>
      <c r="G838" s="224" t="s">
        <v>370</v>
      </c>
      <c r="H838" s="4" t="s">
        <v>709</v>
      </c>
      <c r="I838" s="141">
        <v>2</v>
      </c>
      <c r="J838" s="141">
        <v>10554.5</v>
      </c>
      <c r="K838" s="238">
        <f t="shared" si="62"/>
        <v>21109</v>
      </c>
      <c r="L838" s="319" t="s">
        <v>161</v>
      </c>
      <c r="M838" s="319" t="s">
        <v>155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310"/>
    </row>
    <row r="839" spans="1:26" ht="15.75" customHeight="1">
      <c r="A839" s="125" t="str">
        <f>IF(B839&lt;&gt;"",IF(AND(B839&gt;=_TM1,B839&lt;=_TM2,OR(TH!L839="1111",TH!M839="1111")),TH!D839,""),"")</f>
        <v/>
      </c>
      <c r="B839" s="11">
        <f t="shared" si="61"/>
        <v>6</v>
      </c>
      <c r="C839" s="115">
        <v>40723</v>
      </c>
      <c r="D839" s="115" t="s">
        <v>923</v>
      </c>
      <c r="E839" s="110">
        <v>40723</v>
      </c>
      <c r="F839" s="114" t="s">
        <v>862</v>
      </c>
      <c r="G839" s="224" t="s">
        <v>829</v>
      </c>
      <c r="H839" s="4" t="s">
        <v>709</v>
      </c>
      <c r="I839" s="141">
        <v>21</v>
      </c>
      <c r="J839" s="141">
        <v>17305.523809523809</v>
      </c>
      <c r="K839" s="238">
        <f t="shared" si="62"/>
        <v>363416</v>
      </c>
      <c r="L839" s="319" t="s">
        <v>161</v>
      </c>
      <c r="M839" s="319" t="s">
        <v>155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310"/>
    </row>
    <row r="840" spans="1:26" ht="15.75" customHeight="1">
      <c r="A840" s="125" t="str">
        <f>IF(B840&lt;&gt;"",IF(AND(B840&gt;=_TM1,B840&lt;=_TM2,OR(TH!L840="1111",TH!M840="1111")),TH!D840,""),"")</f>
        <v/>
      </c>
      <c r="B840" s="11">
        <f t="shared" si="61"/>
        <v>6</v>
      </c>
      <c r="C840" s="115">
        <v>40723</v>
      </c>
      <c r="D840" s="115" t="s">
        <v>923</v>
      </c>
      <c r="E840" s="110">
        <v>40723</v>
      </c>
      <c r="F840" s="114" t="s">
        <v>869</v>
      </c>
      <c r="G840" s="224" t="s">
        <v>829</v>
      </c>
      <c r="H840" s="4" t="s">
        <v>709</v>
      </c>
      <c r="I840" s="141">
        <v>33</v>
      </c>
      <c r="J840" s="141">
        <v>17305.515151515152</v>
      </c>
      <c r="K840" s="238">
        <f t="shared" si="62"/>
        <v>571082</v>
      </c>
      <c r="L840" s="319" t="s">
        <v>161</v>
      </c>
      <c r="M840" s="319" t="s">
        <v>155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310"/>
    </row>
    <row r="841" spans="1:26" ht="15.75" customHeight="1">
      <c r="A841" s="125" t="str">
        <f>IF(B841&lt;&gt;"",IF(AND(B841&gt;=_TM1,B841&lt;=_TM2,OR(TH!L841="1111",TH!M841="1111")),TH!D841,""),"")</f>
        <v/>
      </c>
      <c r="B841" s="11">
        <f t="shared" si="61"/>
        <v>6</v>
      </c>
      <c r="C841" s="115">
        <v>40723</v>
      </c>
      <c r="D841" s="115" t="s">
        <v>923</v>
      </c>
      <c r="E841" s="110">
        <v>40723</v>
      </c>
      <c r="F841" s="114" t="s">
        <v>718</v>
      </c>
      <c r="G841" s="224" t="s">
        <v>829</v>
      </c>
      <c r="H841" s="4" t="s">
        <v>709</v>
      </c>
      <c r="I841" s="141">
        <v>390</v>
      </c>
      <c r="J841" s="141">
        <v>18233.102564102563</v>
      </c>
      <c r="K841" s="238">
        <f t="shared" si="62"/>
        <v>7110910</v>
      </c>
      <c r="L841" s="319" t="s">
        <v>161</v>
      </c>
      <c r="M841" s="319" t="s">
        <v>155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310"/>
    </row>
    <row r="842" spans="1:26" ht="15.75" customHeight="1">
      <c r="A842" s="125" t="str">
        <f>IF(B842&lt;&gt;"",IF(AND(B842&gt;=_TM1,B842&lt;=_TM2,OR(TH!L842="1111",TH!M842="1111")),TH!D842,""),"")</f>
        <v/>
      </c>
      <c r="B842" s="11">
        <f t="shared" si="61"/>
        <v>6</v>
      </c>
      <c r="C842" s="115">
        <v>40723</v>
      </c>
      <c r="D842" s="115" t="s">
        <v>923</v>
      </c>
      <c r="E842" s="110">
        <v>40723</v>
      </c>
      <c r="F842" s="114" t="s">
        <v>722</v>
      </c>
      <c r="G842" s="224" t="s">
        <v>829</v>
      </c>
      <c r="H842" s="4" t="s">
        <v>709</v>
      </c>
      <c r="I842" s="141">
        <v>482</v>
      </c>
      <c r="J842" s="141">
        <v>8566.5124481327803</v>
      </c>
      <c r="K842" s="238">
        <f t="shared" si="62"/>
        <v>4129059</v>
      </c>
      <c r="L842" s="319" t="s">
        <v>161</v>
      </c>
      <c r="M842" s="319" t="s">
        <v>155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310"/>
    </row>
    <row r="843" spans="1:26" ht="15.75" customHeight="1">
      <c r="A843" s="125" t="str">
        <f>IF(B843&lt;&gt;"",IF(AND(B843&gt;=_TM1,B843&lt;=_TM2,OR(TH!L843="1111",TH!M843="1111")),TH!D843,""),"")</f>
        <v/>
      </c>
      <c r="B843" s="11">
        <f t="shared" si="61"/>
        <v>6</v>
      </c>
      <c r="C843" s="115">
        <v>40723</v>
      </c>
      <c r="D843" s="115" t="s">
        <v>923</v>
      </c>
      <c r="E843" s="110">
        <v>40723</v>
      </c>
      <c r="F843" s="114" t="s">
        <v>862</v>
      </c>
      <c r="G843" s="224" t="s">
        <v>829</v>
      </c>
      <c r="H843" s="4" t="s">
        <v>709</v>
      </c>
      <c r="I843" s="141">
        <v>56</v>
      </c>
      <c r="J843" s="141">
        <v>15438.517857142857</v>
      </c>
      <c r="K843" s="238">
        <f t="shared" si="62"/>
        <v>864557</v>
      </c>
      <c r="L843" s="319" t="s">
        <v>161</v>
      </c>
      <c r="M843" s="319" t="s">
        <v>155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/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310"/>
    </row>
    <row r="844" spans="1:26" ht="15.75" customHeight="1">
      <c r="A844" s="125" t="str">
        <f>IF(B844&lt;&gt;"",IF(AND(B844&gt;=_TM1,B844&lt;=_TM2,OR(TH!L844="1111",TH!M844="1111")),TH!D844,""),"")</f>
        <v/>
      </c>
      <c r="B844" s="11">
        <f t="shared" si="61"/>
        <v>6</v>
      </c>
      <c r="C844" s="115">
        <v>40723</v>
      </c>
      <c r="D844" s="115" t="s">
        <v>923</v>
      </c>
      <c r="E844" s="110">
        <v>40723</v>
      </c>
      <c r="F844" s="116" t="s">
        <v>870</v>
      </c>
      <c r="G844" s="224" t="s">
        <v>829</v>
      </c>
      <c r="H844" s="4" t="s">
        <v>709</v>
      </c>
      <c r="I844" s="141">
        <v>203</v>
      </c>
      <c r="J844" s="141">
        <v>7385.5123152709357</v>
      </c>
      <c r="K844" s="238">
        <f t="shared" si="62"/>
        <v>1499259</v>
      </c>
      <c r="L844" s="319" t="s">
        <v>161</v>
      </c>
      <c r="M844" s="319" t="s">
        <v>155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/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310"/>
    </row>
    <row r="845" spans="1:26" ht="15.75" customHeight="1">
      <c r="A845" s="125" t="str">
        <f>IF(B845&lt;&gt;"",IF(AND(B845&gt;=_TM1,B845&lt;=_TM2,OR(TH!L845="1111",TH!M845="1111")),TH!D845,""),"")</f>
        <v/>
      </c>
      <c r="B845" s="11">
        <f t="shared" si="61"/>
        <v>6</v>
      </c>
      <c r="C845" s="115">
        <v>40723</v>
      </c>
      <c r="D845" s="115" t="s">
        <v>923</v>
      </c>
      <c r="E845" s="110">
        <v>40723</v>
      </c>
      <c r="F845" s="114" t="s">
        <v>871</v>
      </c>
      <c r="G845" s="224" t="s">
        <v>829</v>
      </c>
      <c r="H845" s="4" t="s">
        <v>709</v>
      </c>
      <c r="I845" s="141">
        <v>1</v>
      </c>
      <c r="J845" s="141">
        <v>5809</v>
      </c>
      <c r="K845" s="238">
        <f t="shared" si="62"/>
        <v>5809</v>
      </c>
      <c r="L845" s="319" t="s">
        <v>161</v>
      </c>
      <c r="M845" s="319" t="s">
        <v>155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310"/>
    </row>
    <row r="846" spans="1:26" ht="15.75" customHeight="1">
      <c r="A846" s="125" t="str">
        <f>IF(B846&lt;&gt;"",IF(AND(B846&gt;=_TM1,B846&lt;=_TM2,OR(TH!L846="1111",TH!M846="1111")),TH!D846,""),"")</f>
        <v/>
      </c>
      <c r="B846" s="11">
        <f t="shared" si="61"/>
        <v>6</v>
      </c>
      <c r="C846" s="115">
        <v>40723</v>
      </c>
      <c r="D846" s="115" t="s">
        <v>923</v>
      </c>
      <c r="E846" s="110">
        <v>40723</v>
      </c>
      <c r="F846" s="114" t="s">
        <v>724</v>
      </c>
      <c r="G846" s="224" t="s">
        <v>829</v>
      </c>
      <c r="H846" s="4" t="s">
        <v>709</v>
      </c>
      <c r="I846" s="141">
        <v>1</v>
      </c>
      <c r="J846" s="141">
        <v>9591</v>
      </c>
      <c r="K846" s="238">
        <f t="shared" si="62"/>
        <v>9591</v>
      </c>
      <c r="L846" s="319" t="s">
        <v>161</v>
      </c>
      <c r="M846" s="319" t="s">
        <v>155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310"/>
    </row>
    <row r="847" spans="1:26" ht="15.75" customHeight="1">
      <c r="A847" s="125" t="str">
        <f>IF(B847&lt;&gt;"",IF(AND(B847&gt;=_TM1,B847&lt;=_TM2,OR(TH!L847="1111",TH!M847="1111")),TH!D847,""),"")</f>
        <v/>
      </c>
      <c r="B847" s="11">
        <f t="shared" si="61"/>
        <v>6</v>
      </c>
      <c r="C847" s="115">
        <v>40723</v>
      </c>
      <c r="D847" s="115" t="s">
        <v>924</v>
      </c>
      <c r="E847" s="110">
        <v>40723</v>
      </c>
      <c r="F847" s="114" t="s">
        <v>872</v>
      </c>
      <c r="G847" s="224" t="s">
        <v>836</v>
      </c>
      <c r="H847" s="4" t="s">
        <v>709</v>
      </c>
      <c r="I847" s="141">
        <v>2</v>
      </c>
      <c r="J847" s="141">
        <v>5951.5</v>
      </c>
      <c r="K847" s="238">
        <f t="shared" si="62"/>
        <v>11903</v>
      </c>
      <c r="L847" s="319" t="s">
        <v>161</v>
      </c>
      <c r="M847" s="319" t="s">
        <v>155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/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310"/>
    </row>
    <row r="848" spans="1:26" ht="15.75" customHeight="1">
      <c r="A848" s="125" t="str">
        <f>IF(B848&lt;&gt;"",IF(AND(B848&gt;=_TM1,B848&lt;=_TM2,OR(TH!L848="1111",TH!M848="1111")),TH!D848,""),"")</f>
        <v/>
      </c>
      <c r="B848" s="11">
        <f t="shared" si="61"/>
        <v>6</v>
      </c>
      <c r="C848" s="115">
        <v>40723</v>
      </c>
      <c r="D848" s="115" t="s">
        <v>924</v>
      </c>
      <c r="E848" s="110">
        <v>40723</v>
      </c>
      <c r="F848" s="114" t="s">
        <v>735</v>
      </c>
      <c r="G848" s="224" t="s">
        <v>836</v>
      </c>
      <c r="H848" s="4" t="s">
        <v>709</v>
      </c>
      <c r="I848" s="141">
        <v>1</v>
      </c>
      <c r="J848" s="141">
        <v>14807</v>
      </c>
      <c r="K848" s="238">
        <f t="shared" si="62"/>
        <v>14807</v>
      </c>
      <c r="L848" s="319" t="s">
        <v>161</v>
      </c>
      <c r="M848" s="319" t="s">
        <v>155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/>
      </c>
      <c r="Y848" s="25" t="str">
        <f>IF(AND(B848&lt;=NKC!$N$8,B848&gt;=NKC!$M$8),"x","")</f>
        <v/>
      </c>
      <c r="Z848" s="310"/>
    </row>
    <row r="849" spans="1:26" ht="15.75" customHeight="1">
      <c r="A849" s="125" t="str">
        <f>IF(B849&lt;&gt;"",IF(AND(B849&gt;=_TM1,B849&lt;=_TM2,OR(TH!L849="1111",TH!M849="1111")),TH!D849,""),"")</f>
        <v/>
      </c>
      <c r="B849" s="11">
        <f t="shared" si="61"/>
        <v>6</v>
      </c>
      <c r="C849" s="115">
        <v>40723</v>
      </c>
      <c r="D849" s="115" t="s">
        <v>924</v>
      </c>
      <c r="E849" s="110">
        <v>40723</v>
      </c>
      <c r="F849" s="114" t="s">
        <v>873</v>
      </c>
      <c r="G849" s="224" t="s">
        <v>836</v>
      </c>
      <c r="H849" s="4" t="s">
        <v>709</v>
      </c>
      <c r="I849" s="141">
        <v>9</v>
      </c>
      <c r="J849" s="141">
        <v>14806.555555555555</v>
      </c>
      <c r="K849" s="238">
        <f t="shared" si="62"/>
        <v>133259</v>
      </c>
      <c r="L849" s="319" t="s">
        <v>161</v>
      </c>
      <c r="M849" s="319" t="s">
        <v>155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310"/>
    </row>
    <row r="850" spans="1:26" ht="15.75" customHeight="1">
      <c r="A850" s="125" t="str">
        <f>IF(B850&lt;&gt;"",IF(AND(B850&gt;=_TM1,B850&lt;=_TM2,OR(TH!L850="1111",TH!M850="1111")),TH!D850,""),"")</f>
        <v/>
      </c>
      <c r="B850" s="11">
        <f t="shared" si="61"/>
        <v>6</v>
      </c>
      <c r="C850" s="115">
        <v>40723</v>
      </c>
      <c r="D850" s="115" t="s">
        <v>924</v>
      </c>
      <c r="E850" s="110">
        <v>40723</v>
      </c>
      <c r="F850" s="116" t="s">
        <v>874</v>
      </c>
      <c r="G850" s="224" t="s">
        <v>836</v>
      </c>
      <c r="H850" s="4" t="s">
        <v>709</v>
      </c>
      <c r="I850" s="141">
        <v>291</v>
      </c>
      <c r="J850" s="141">
        <v>7483.5120274914088</v>
      </c>
      <c r="K850" s="238">
        <f t="shared" si="62"/>
        <v>2177702</v>
      </c>
      <c r="L850" s="319" t="s">
        <v>161</v>
      </c>
      <c r="M850" s="319" t="s">
        <v>155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/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310"/>
    </row>
    <row r="851" spans="1:26" ht="15.75" customHeight="1">
      <c r="A851" s="125" t="str">
        <f>IF(B851&lt;&gt;"",IF(AND(B851&gt;=_TM1,B851&lt;=_TM2,OR(TH!L851="1111",TH!M851="1111")),TH!D851,""),"")</f>
        <v/>
      </c>
      <c r="B851" s="11">
        <f t="shared" si="61"/>
        <v>6</v>
      </c>
      <c r="C851" s="115">
        <v>40723</v>
      </c>
      <c r="D851" s="115" t="s">
        <v>924</v>
      </c>
      <c r="E851" s="110">
        <v>40723</v>
      </c>
      <c r="F851" s="114" t="s">
        <v>862</v>
      </c>
      <c r="G851" s="224" t="s">
        <v>836</v>
      </c>
      <c r="H851" s="4" t="s">
        <v>709</v>
      </c>
      <c r="I851" s="141">
        <v>1</v>
      </c>
      <c r="J851" s="141">
        <v>7484</v>
      </c>
      <c r="K851" s="238">
        <f t="shared" si="62"/>
        <v>7484</v>
      </c>
      <c r="L851" s="319" t="s">
        <v>161</v>
      </c>
      <c r="M851" s="319" t="s">
        <v>155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/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310"/>
    </row>
    <row r="852" spans="1:26" ht="15.75" customHeight="1">
      <c r="A852" s="125" t="str">
        <f>IF(B852&lt;&gt;"",IF(AND(B852&gt;=_TM1,B852&lt;=_TM2,OR(TH!L852="1111",TH!M852="1111")),TH!D852,""),"")</f>
        <v/>
      </c>
      <c r="B852" s="11">
        <f t="shared" si="61"/>
        <v>6</v>
      </c>
      <c r="C852" s="115">
        <v>40723</v>
      </c>
      <c r="D852" s="115" t="s">
        <v>924</v>
      </c>
      <c r="E852" s="110">
        <v>40723</v>
      </c>
      <c r="F852" s="114" t="s">
        <v>717</v>
      </c>
      <c r="G852" s="224" t="s">
        <v>836</v>
      </c>
      <c r="H852" s="4" t="s">
        <v>709</v>
      </c>
      <c r="I852" s="141">
        <v>119</v>
      </c>
      <c r="J852" s="141">
        <v>17439.512605042019</v>
      </c>
      <c r="K852" s="238">
        <f t="shared" si="62"/>
        <v>2075302</v>
      </c>
      <c r="L852" s="319" t="s">
        <v>161</v>
      </c>
      <c r="M852" s="319" t="s">
        <v>155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310"/>
    </row>
    <row r="853" spans="1:26" ht="15.75" customHeight="1">
      <c r="A853" s="125" t="str">
        <f>IF(B853&lt;&gt;"",IF(AND(B853&gt;=_TM1,B853&lt;=_TM2,OR(TH!L853="1111",TH!M853="1111")),TH!D853,""),"")</f>
        <v/>
      </c>
      <c r="B853" s="11">
        <f t="shared" si="61"/>
        <v>6</v>
      </c>
      <c r="C853" s="115">
        <v>40723</v>
      </c>
      <c r="D853" s="115" t="s">
        <v>924</v>
      </c>
      <c r="E853" s="110">
        <v>40723</v>
      </c>
      <c r="F853" s="114" t="s">
        <v>852</v>
      </c>
      <c r="G853" s="224" t="s">
        <v>836</v>
      </c>
      <c r="H853" s="4" t="s">
        <v>709</v>
      </c>
      <c r="I853" s="141">
        <v>304</v>
      </c>
      <c r="J853" s="141">
        <v>12545.513157894737</v>
      </c>
      <c r="K853" s="238">
        <f t="shared" si="62"/>
        <v>3813836</v>
      </c>
      <c r="L853" s="319" t="s">
        <v>161</v>
      </c>
      <c r="M853" s="319" t="s">
        <v>155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310"/>
    </row>
    <row r="854" spans="1:26" ht="15.75" customHeight="1">
      <c r="A854" s="125" t="str">
        <f>IF(B854&lt;&gt;"",IF(AND(B854&gt;=_TM1,B854&lt;=_TM2,OR(TH!L854="1111",TH!M854="1111")),TH!D854,""),"")</f>
        <v/>
      </c>
      <c r="B854" s="11">
        <f t="shared" ref="B854:B917" si="63">IF(C854&lt;&gt;"",MONTH(C854),"")</f>
        <v>6</v>
      </c>
      <c r="C854" s="115">
        <v>40723</v>
      </c>
      <c r="D854" s="115" t="s">
        <v>924</v>
      </c>
      <c r="E854" s="110">
        <v>40723</v>
      </c>
      <c r="F854" s="114" t="s">
        <v>851</v>
      </c>
      <c r="G854" s="224" t="s">
        <v>836</v>
      </c>
      <c r="H854" s="4" t="s">
        <v>709</v>
      </c>
      <c r="I854" s="141">
        <v>65</v>
      </c>
      <c r="J854" s="141">
        <v>8499.5076923076922</v>
      </c>
      <c r="K854" s="238">
        <f t="shared" si="62"/>
        <v>552468</v>
      </c>
      <c r="L854" s="319" t="s">
        <v>161</v>
      </c>
      <c r="M854" s="319" t="s">
        <v>155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/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310"/>
    </row>
    <row r="855" spans="1:26" ht="15.75" customHeight="1">
      <c r="A855" s="125" t="str">
        <f>IF(B855&lt;&gt;"",IF(AND(B855&gt;=_TM1,B855&lt;=_TM2,OR(TH!L855="1111",TH!M855="1111")),TH!D855,""),"")</f>
        <v/>
      </c>
      <c r="B855" s="11">
        <f t="shared" si="63"/>
        <v>6</v>
      </c>
      <c r="C855" s="115">
        <v>40723</v>
      </c>
      <c r="D855" s="115" t="s">
        <v>925</v>
      </c>
      <c r="E855" s="110">
        <v>40723</v>
      </c>
      <c r="F855" s="114" t="s">
        <v>873</v>
      </c>
      <c r="G855" s="224" t="s">
        <v>842</v>
      </c>
      <c r="H855" s="4" t="s">
        <v>709</v>
      </c>
      <c r="I855" s="141">
        <v>32</v>
      </c>
      <c r="J855" s="141">
        <v>14806.5</v>
      </c>
      <c r="K855" s="238">
        <f t="shared" si="62"/>
        <v>473808</v>
      </c>
      <c r="L855" s="319" t="s">
        <v>161</v>
      </c>
      <c r="M855" s="319" t="s">
        <v>155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/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310"/>
    </row>
    <row r="856" spans="1:26" ht="15.75" customHeight="1">
      <c r="A856" s="125" t="str">
        <f>IF(B856&lt;&gt;"",IF(AND(B856&gt;=_TM1,B856&lt;=_TM2,OR(TH!L856="1111",TH!M856="1111")),TH!D856,""),"")</f>
        <v/>
      </c>
      <c r="B856" s="11">
        <f t="shared" si="63"/>
        <v>6</v>
      </c>
      <c r="C856" s="115">
        <v>40723</v>
      </c>
      <c r="D856" s="115" t="s">
        <v>925</v>
      </c>
      <c r="E856" s="110">
        <v>40723</v>
      </c>
      <c r="F856" s="114" t="s">
        <v>726</v>
      </c>
      <c r="G856" s="224" t="s">
        <v>842</v>
      </c>
      <c r="H856" s="4" t="s">
        <v>709</v>
      </c>
      <c r="I856" s="141">
        <v>5</v>
      </c>
      <c r="J856" s="141">
        <v>15586</v>
      </c>
      <c r="K856" s="238">
        <f t="shared" si="62"/>
        <v>77930</v>
      </c>
      <c r="L856" s="319" t="s">
        <v>161</v>
      </c>
      <c r="M856" s="319" t="s">
        <v>155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/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310"/>
    </row>
    <row r="857" spans="1:26" ht="15.75" customHeight="1">
      <c r="A857" s="125" t="str">
        <f>IF(B857&lt;&gt;"",IF(AND(B857&gt;=_TM1,B857&lt;=_TM2,OR(TH!L857="1111",TH!M857="1111")),TH!D857,""),"")</f>
        <v/>
      </c>
      <c r="B857" s="11">
        <f t="shared" si="63"/>
        <v>6</v>
      </c>
      <c r="C857" s="115">
        <v>40723</v>
      </c>
      <c r="D857" s="115" t="s">
        <v>925</v>
      </c>
      <c r="E857" s="110">
        <v>40723</v>
      </c>
      <c r="F857" s="114" t="s">
        <v>861</v>
      </c>
      <c r="G857" s="224" t="s">
        <v>842</v>
      </c>
      <c r="H857" s="4" t="s">
        <v>709</v>
      </c>
      <c r="I857" s="141">
        <v>80</v>
      </c>
      <c r="J857" s="141">
        <v>13362.012500000001</v>
      </c>
      <c r="K857" s="238">
        <f t="shared" si="62"/>
        <v>1068961</v>
      </c>
      <c r="L857" s="319" t="s">
        <v>161</v>
      </c>
      <c r="M857" s="319" t="s">
        <v>155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310"/>
    </row>
    <row r="858" spans="1:26" ht="15.75" customHeight="1">
      <c r="A858" s="125" t="str">
        <f>IF(B858&lt;&gt;"",IF(AND(B858&gt;=_TM1,B858&lt;=_TM2,OR(TH!L858="1111",TH!M858="1111")),TH!D858,""),"")</f>
        <v/>
      </c>
      <c r="B858" s="11">
        <f t="shared" si="63"/>
        <v>6</v>
      </c>
      <c r="C858" s="115">
        <v>40723</v>
      </c>
      <c r="D858" s="115" t="s">
        <v>925</v>
      </c>
      <c r="E858" s="110">
        <v>40723</v>
      </c>
      <c r="F858" s="114" t="s">
        <v>722</v>
      </c>
      <c r="G858" s="224" t="s">
        <v>842</v>
      </c>
      <c r="H858" s="4" t="s">
        <v>709</v>
      </c>
      <c r="I858" s="141">
        <v>49</v>
      </c>
      <c r="J858" s="141">
        <v>8499.5102040816328</v>
      </c>
      <c r="K858" s="238">
        <f t="shared" si="62"/>
        <v>416476</v>
      </c>
      <c r="L858" s="319" t="s">
        <v>161</v>
      </c>
      <c r="M858" s="319" t="s">
        <v>155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310"/>
    </row>
    <row r="859" spans="1:26" ht="15.75" customHeight="1">
      <c r="A859" s="125" t="str">
        <f>IF(B859&lt;&gt;"",IF(AND(B859&gt;=_TM1,B859&lt;=_TM2,OR(TH!L859="1111",TH!M859="1111")),TH!D859,""),"")</f>
        <v/>
      </c>
      <c r="B859" s="11">
        <f t="shared" si="63"/>
        <v>6</v>
      </c>
      <c r="C859" s="115">
        <v>40723</v>
      </c>
      <c r="D859" s="115" t="s">
        <v>925</v>
      </c>
      <c r="E859" s="110">
        <v>40723</v>
      </c>
      <c r="F859" s="114" t="s">
        <v>734</v>
      </c>
      <c r="G859" s="224" t="s">
        <v>842</v>
      </c>
      <c r="H859" s="4" t="s">
        <v>709</v>
      </c>
      <c r="I859" s="141">
        <v>2</v>
      </c>
      <c r="J859" s="141">
        <v>5951.5</v>
      </c>
      <c r="K859" s="238">
        <f t="shared" si="62"/>
        <v>11903</v>
      </c>
      <c r="L859" s="319" t="s">
        <v>161</v>
      </c>
      <c r="M859" s="319" t="s">
        <v>155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310"/>
    </row>
    <row r="860" spans="1:26" ht="15.75" customHeight="1">
      <c r="A860" s="125" t="str">
        <f>IF(B860&lt;&gt;"",IF(AND(B860&gt;=_TM1,B860&lt;=_TM2,OR(TH!L860="1111",TH!M860="1111")),TH!D860,""),"")</f>
        <v/>
      </c>
      <c r="B860" s="11">
        <f t="shared" si="63"/>
        <v>6</v>
      </c>
      <c r="C860" s="115">
        <v>40723</v>
      </c>
      <c r="D860" s="115" t="s">
        <v>925</v>
      </c>
      <c r="E860" s="110">
        <v>40723</v>
      </c>
      <c r="F860" s="114" t="s">
        <v>876</v>
      </c>
      <c r="G860" s="224" t="s">
        <v>842</v>
      </c>
      <c r="H860" s="4" t="s">
        <v>709</v>
      </c>
      <c r="I860" s="141">
        <v>2</v>
      </c>
      <c r="J860" s="141">
        <v>9590.5</v>
      </c>
      <c r="K860" s="238">
        <f t="shared" si="62"/>
        <v>19181</v>
      </c>
      <c r="L860" s="319" t="s">
        <v>161</v>
      </c>
      <c r="M860" s="319" t="s">
        <v>155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310"/>
    </row>
    <row r="861" spans="1:26" ht="15.75" customHeight="1">
      <c r="A861" s="125" t="str">
        <f>IF(B861&lt;&gt;"",IF(AND(B861&gt;=_TM1,B861&lt;=_TM2,OR(TH!L861="1111",TH!M861="1111")),TH!D861,""),"")</f>
        <v/>
      </c>
      <c r="B861" s="11">
        <f t="shared" si="63"/>
        <v>6</v>
      </c>
      <c r="C861" s="115">
        <v>40723</v>
      </c>
      <c r="D861" s="115" t="s">
        <v>925</v>
      </c>
      <c r="E861" s="110">
        <v>40723</v>
      </c>
      <c r="F861" s="116" t="s">
        <v>874</v>
      </c>
      <c r="G861" s="224" t="s">
        <v>842</v>
      </c>
      <c r="H861" s="4" t="s">
        <v>709</v>
      </c>
      <c r="I861" s="141">
        <v>5</v>
      </c>
      <c r="J861" s="141">
        <v>7483.6</v>
      </c>
      <c r="K861" s="238">
        <f t="shared" si="62"/>
        <v>37418</v>
      </c>
      <c r="L861" s="319" t="s">
        <v>161</v>
      </c>
      <c r="M861" s="319" t="s">
        <v>155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310"/>
    </row>
    <row r="862" spans="1:26" ht="15.75" customHeight="1">
      <c r="A862" s="125" t="str">
        <f>IF(B862&lt;&gt;"",IF(AND(B862&gt;=_TM1,B862&lt;=_TM2,OR(TH!L862="1111",TH!M862="1111")),TH!D862,""),"")</f>
        <v/>
      </c>
      <c r="B862" s="11">
        <f t="shared" si="63"/>
        <v>6</v>
      </c>
      <c r="C862" s="115">
        <v>40723</v>
      </c>
      <c r="D862" s="115" t="s">
        <v>925</v>
      </c>
      <c r="E862" s="110">
        <v>40723</v>
      </c>
      <c r="F862" s="114" t="s">
        <v>731</v>
      </c>
      <c r="G862" s="224" t="s">
        <v>842</v>
      </c>
      <c r="H862" s="4" t="s">
        <v>709</v>
      </c>
      <c r="I862" s="141">
        <v>1</v>
      </c>
      <c r="J862" s="141">
        <v>9591</v>
      </c>
      <c r="K862" s="238">
        <f t="shared" si="62"/>
        <v>9591</v>
      </c>
      <c r="L862" s="319" t="s">
        <v>161</v>
      </c>
      <c r="M862" s="319" t="s">
        <v>155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310"/>
    </row>
    <row r="863" spans="1:26" ht="15.75" customHeight="1">
      <c r="A863" s="125" t="str">
        <f>IF(B863&lt;&gt;"",IF(AND(B863&gt;=_TM1,B863&lt;=_TM2,OR(TH!L863="1111",TH!M863="1111")),TH!D863,""),"")</f>
        <v/>
      </c>
      <c r="B863" s="11">
        <f t="shared" si="63"/>
        <v>6</v>
      </c>
      <c r="C863" s="115">
        <v>40723</v>
      </c>
      <c r="D863" s="115" t="s">
        <v>926</v>
      </c>
      <c r="E863" s="110">
        <v>40723</v>
      </c>
      <c r="F863" s="114" t="s">
        <v>733</v>
      </c>
      <c r="G863" s="224" t="s">
        <v>863</v>
      </c>
      <c r="H863" s="4" t="s">
        <v>709</v>
      </c>
      <c r="I863" s="141">
        <v>1</v>
      </c>
      <c r="J863" s="141">
        <v>5809</v>
      </c>
      <c r="K863" s="238">
        <f t="shared" ref="K863:K894" si="64">ROUND(I863*J863,0)</f>
        <v>5809</v>
      </c>
      <c r="L863" s="319" t="s">
        <v>161</v>
      </c>
      <c r="M863" s="319" t="s">
        <v>155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310"/>
    </row>
    <row r="864" spans="1:26" ht="15.75" customHeight="1">
      <c r="A864" s="125" t="str">
        <f>IF(B864&lt;&gt;"",IF(AND(B864&gt;=_TM1,B864&lt;=_TM2,OR(TH!L864="1111",TH!M864="1111")),TH!D864,""),"")</f>
        <v/>
      </c>
      <c r="B864" s="11">
        <f t="shared" si="63"/>
        <v>6</v>
      </c>
      <c r="C864" s="115">
        <v>40723</v>
      </c>
      <c r="D864" s="115" t="s">
        <v>926</v>
      </c>
      <c r="E864" s="110">
        <v>40723</v>
      </c>
      <c r="F864" s="114" t="s">
        <v>729</v>
      </c>
      <c r="G864" s="224" t="s">
        <v>863</v>
      </c>
      <c r="H864" s="4" t="s">
        <v>709</v>
      </c>
      <c r="I864" s="141">
        <v>3</v>
      </c>
      <c r="J864" s="141">
        <v>15438.666666666666</v>
      </c>
      <c r="K864" s="238">
        <f t="shared" si="64"/>
        <v>46316</v>
      </c>
      <c r="L864" s="319" t="s">
        <v>161</v>
      </c>
      <c r="M864" s="319" t="s">
        <v>155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310"/>
    </row>
    <row r="865" spans="1:26" ht="15.75" customHeight="1">
      <c r="A865" s="125" t="str">
        <f>IF(B865&lt;&gt;"",IF(AND(B865&gt;=_TM1,B865&lt;=_TM2,OR(TH!L865="1111",TH!M865="1111")),TH!D865,""),"")</f>
        <v/>
      </c>
      <c r="B865" s="11">
        <f t="shared" si="63"/>
        <v>6</v>
      </c>
      <c r="C865" s="115">
        <v>40723</v>
      </c>
      <c r="D865" s="115" t="s">
        <v>926</v>
      </c>
      <c r="E865" s="110">
        <v>40723</v>
      </c>
      <c r="F865" s="114" t="s">
        <v>723</v>
      </c>
      <c r="G865" s="224" t="s">
        <v>863</v>
      </c>
      <c r="H865" s="4" t="s">
        <v>709</v>
      </c>
      <c r="I865" s="141">
        <v>2</v>
      </c>
      <c r="J865" s="141">
        <v>9590.5</v>
      </c>
      <c r="K865" s="238">
        <f t="shared" si="64"/>
        <v>19181</v>
      </c>
      <c r="L865" s="319" t="s">
        <v>161</v>
      </c>
      <c r="M865" s="319" t="s">
        <v>155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310"/>
    </row>
    <row r="866" spans="1:26" ht="15.75" customHeight="1">
      <c r="A866" s="125" t="str">
        <f>IF(B866&lt;&gt;"",IF(AND(B866&gt;=_TM1,B866&lt;=_TM2,OR(TH!L866="1111",TH!M866="1111")),TH!D866,""),"")</f>
        <v/>
      </c>
      <c r="B866" s="11">
        <f t="shared" si="63"/>
        <v>6</v>
      </c>
      <c r="C866" s="115">
        <v>40723</v>
      </c>
      <c r="D866" s="115" t="s">
        <v>926</v>
      </c>
      <c r="E866" s="110">
        <v>40723</v>
      </c>
      <c r="F866" s="116" t="s">
        <v>870</v>
      </c>
      <c r="G866" s="224" t="s">
        <v>863</v>
      </c>
      <c r="H866" s="4" t="s">
        <v>709</v>
      </c>
      <c r="I866" s="141">
        <v>8</v>
      </c>
      <c r="J866" s="141">
        <v>7385.5</v>
      </c>
      <c r="K866" s="238">
        <f t="shared" si="64"/>
        <v>59084</v>
      </c>
      <c r="L866" s="319" t="s">
        <v>161</v>
      </c>
      <c r="M866" s="319" t="s">
        <v>155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310"/>
    </row>
    <row r="867" spans="1:26" ht="15.75" customHeight="1">
      <c r="A867" s="125" t="str">
        <f>IF(B867&lt;&gt;"",IF(AND(B867&gt;=_TM1,B867&lt;=_TM2,OR(TH!L867="1111",TH!M867="1111")),TH!D867,""),"")</f>
        <v/>
      </c>
      <c r="B867" s="11">
        <f t="shared" si="63"/>
        <v>6</v>
      </c>
      <c r="C867" s="115">
        <v>40723</v>
      </c>
      <c r="D867" s="115" t="s">
        <v>926</v>
      </c>
      <c r="E867" s="110">
        <v>40723</v>
      </c>
      <c r="F867" s="114" t="s">
        <v>721</v>
      </c>
      <c r="G867" s="224" t="s">
        <v>863</v>
      </c>
      <c r="H867" s="4" t="s">
        <v>709</v>
      </c>
      <c r="I867" s="141">
        <v>1</v>
      </c>
      <c r="J867" s="141">
        <v>7484</v>
      </c>
      <c r="K867" s="238">
        <f t="shared" si="64"/>
        <v>7484</v>
      </c>
      <c r="L867" s="319" t="s">
        <v>161</v>
      </c>
      <c r="M867" s="319" t="s">
        <v>155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310"/>
    </row>
    <row r="868" spans="1:26" ht="15.75" customHeight="1">
      <c r="A868" s="125" t="str">
        <f>IF(B868&lt;&gt;"",IF(AND(B868&gt;=_TM1,B868&lt;=_TM2,OR(TH!L868="1111",TH!M868="1111")),TH!D868,""),"")</f>
        <v/>
      </c>
      <c r="B868" s="11">
        <f t="shared" si="63"/>
        <v>6</v>
      </c>
      <c r="C868" s="115">
        <v>40723</v>
      </c>
      <c r="D868" s="115" t="s">
        <v>926</v>
      </c>
      <c r="E868" s="110">
        <v>40723</v>
      </c>
      <c r="F868" s="114" t="s">
        <v>724</v>
      </c>
      <c r="G868" s="224" t="s">
        <v>863</v>
      </c>
      <c r="H868" s="4" t="s">
        <v>709</v>
      </c>
      <c r="I868" s="141">
        <v>1</v>
      </c>
      <c r="J868" s="141">
        <v>9591</v>
      </c>
      <c r="K868" s="238">
        <f t="shared" si="64"/>
        <v>9591</v>
      </c>
      <c r="L868" s="319" t="s">
        <v>161</v>
      </c>
      <c r="M868" s="319" t="s">
        <v>155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310"/>
    </row>
    <row r="869" spans="1:26" ht="15.75" customHeight="1">
      <c r="A869" s="125" t="str">
        <f>IF(B869&lt;&gt;"",IF(AND(B869&gt;=_TM1,B869&lt;=_TM2,OR(TH!L869="1111",TH!M869="1111")),TH!D869,""),"")</f>
        <v/>
      </c>
      <c r="B869" s="11">
        <f t="shared" si="63"/>
        <v>6</v>
      </c>
      <c r="C869" s="115">
        <v>40723</v>
      </c>
      <c r="D869" s="115" t="s">
        <v>926</v>
      </c>
      <c r="E869" s="110">
        <v>40723</v>
      </c>
      <c r="F869" s="114" t="s">
        <v>725</v>
      </c>
      <c r="G869" s="224" t="s">
        <v>863</v>
      </c>
      <c r="H869" s="4" t="s">
        <v>709</v>
      </c>
      <c r="I869" s="141">
        <v>4</v>
      </c>
      <c r="J869" s="141">
        <v>10554.5</v>
      </c>
      <c r="K869" s="238">
        <f t="shared" si="64"/>
        <v>42218</v>
      </c>
      <c r="L869" s="319" t="s">
        <v>161</v>
      </c>
      <c r="M869" s="319" t="s">
        <v>155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310"/>
    </row>
    <row r="870" spans="1:26" ht="15.75" customHeight="1">
      <c r="A870" s="125" t="str">
        <f>IF(B870&lt;&gt;"",IF(AND(B870&gt;=_TM1,B870&lt;=_TM2,OR(TH!L870="1111",TH!M870="1111")),TH!D870,""),"")</f>
        <v/>
      </c>
      <c r="B870" s="11">
        <f t="shared" si="63"/>
        <v>6</v>
      </c>
      <c r="C870" s="115">
        <v>40723</v>
      </c>
      <c r="D870" s="115" t="s">
        <v>926</v>
      </c>
      <c r="E870" s="110">
        <v>40723</v>
      </c>
      <c r="F870" s="114" t="s">
        <v>730</v>
      </c>
      <c r="G870" s="224" t="s">
        <v>863</v>
      </c>
      <c r="H870" s="4" t="s">
        <v>709</v>
      </c>
      <c r="I870" s="141">
        <v>1</v>
      </c>
      <c r="J870" s="141">
        <v>9591</v>
      </c>
      <c r="K870" s="238">
        <f t="shared" si="64"/>
        <v>9591</v>
      </c>
      <c r="L870" s="319" t="s">
        <v>161</v>
      </c>
      <c r="M870" s="319" t="s">
        <v>155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310"/>
    </row>
    <row r="871" spans="1:26" ht="15.75" customHeight="1">
      <c r="A871" s="125" t="str">
        <f>IF(B871&lt;&gt;"",IF(AND(B871&gt;=_TM1,B871&lt;=_TM2,OR(TH!L871="1111",TH!M871="1111")),TH!D871,""),"")</f>
        <v/>
      </c>
      <c r="B871" s="11">
        <f t="shared" si="63"/>
        <v>6</v>
      </c>
      <c r="C871" s="115">
        <v>40723</v>
      </c>
      <c r="D871" s="115" t="s">
        <v>927</v>
      </c>
      <c r="E871" s="110">
        <v>40723</v>
      </c>
      <c r="F871" s="114" t="s">
        <v>878</v>
      </c>
      <c r="G871" s="224" t="s">
        <v>864</v>
      </c>
      <c r="H871" s="4" t="s">
        <v>709</v>
      </c>
      <c r="I871" s="141">
        <v>2</v>
      </c>
      <c r="J871" s="141">
        <v>5808.5</v>
      </c>
      <c r="K871" s="238">
        <f t="shared" si="64"/>
        <v>11617</v>
      </c>
      <c r="L871" s="319" t="s">
        <v>161</v>
      </c>
      <c r="M871" s="319" t="s">
        <v>155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310"/>
    </row>
    <row r="872" spans="1:26" ht="15.75" customHeight="1">
      <c r="A872" s="125" t="str">
        <f>IF(B872&lt;&gt;"",IF(AND(B872&gt;=_TM1,B872&lt;=_TM2,OR(TH!L872="1111",TH!M872="1111")),TH!D872,""),"")</f>
        <v/>
      </c>
      <c r="B872" s="11">
        <f t="shared" si="63"/>
        <v>6</v>
      </c>
      <c r="C872" s="115">
        <v>40723</v>
      </c>
      <c r="D872" s="115" t="s">
        <v>927</v>
      </c>
      <c r="E872" s="110">
        <v>40723</v>
      </c>
      <c r="F872" s="114" t="s">
        <v>879</v>
      </c>
      <c r="G872" s="224" t="s">
        <v>864</v>
      </c>
      <c r="H872" s="4" t="s">
        <v>709</v>
      </c>
      <c r="I872" s="141">
        <v>2</v>
      </c>
      <c r="J872" s="141">
        <v>10554.5</v>
      </c>
      <c r="K872" s="238">
        <f t="shared" si="64"/>
        <v>21109</v>
      </c>
      <c r="L872" s="319" t="s">
        <v>161</v>
      </c>
      <c r="M872" s="319" t="s">
        <v>155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310"/>
    </row>
    <row r="873" spans="1:26" ht="15.75" customHeight="1">
      <c r="A873" s="125" t="str">
        <f>IF(B873&lt;&gt;"",IF(AND(B873&gt;=_TM1,B873&lt;=_TM2,OR(TH!L873="1111",TH!M873="1111")),TH!D873,""),"")</f>
        <v/>
      </c>
      <c r="B873" s="11">
        <f t="shared" si="63"/>
        <v>6</v>
      </c>
      <c r="C873" s="115">
        <v>40723</v>
      </c>
      <c r="D873" s="115" t="s">
        <v>927</v>
      </c>
      <c r="E873" s="110">
        <v>40723</v>
      </c>
      <c r="F873" s="114" t="s">
        <v>720</v>
      </c>
      <c r="G873" s="224" t="s">
        <v>864</v>
      </c>
      <c r="H873" s="4" t="s">
        <v>709</v>
      </c>
      <c r="I873" s="141">
        <v>37</v>
      </c>
      <c r="J873" s="141">
        <v>13362</v>
      </c>
      <c r="K873" s="238">
        <f t="shared" si="64"/>
        <v>494394</v>
      </c>
      <c r="L873" s="319" t="s">
        <v>161</v>
      </c>
      <c r="M873" s="319" t="s">
        <v>155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310"/>
    </row>
    <row r="874" spans="1:26" ht="15.75" customHeight="1">
      <c r="A874" s="125" t="str">
        <f>IF(B874&lt;&gt;"",IF(AND(B874&gt;=_TM1,B874&lt;=_TM2,OR(TH!L874="1111",TH!M874="1111")),TH!D874,""),"")</f>
        <v/>
      </c>
      <c r="B874" s="11">
        <f t="shared" si="63"/>
        <v>6</v>
      </c>
      <c r="C874" s="115">
        <v>40723</v>
      </c>
      <c r="D874" s="115" t="s">
        <v>927</v>
      </c>
      <c r="E874" s="110">
        <v>40723</v>
      </c>
      <c r="F874" s="114" t="s">
        <v>880</v>
      </c>
      <c r="G874" s="224" t="s">
        <v>864</v>
      </c>
      <c r="H874" s="4" t="s">
        <v>709</v>
      </c>
      <c r="I874" s="141">
        <v>897</v>
      </c>
      <c r="J874" s="141">
        <v>9361.1794871794864</v>
      </c>
      <c r="K874" s="238">
        <f t="shared" si="64"/>
        <v>8396978</v>
      </c>
      <c r="L874" s="319" t="s">
        <v>161</v>
      </c>
      <c r="M874" s="319" t="s">
        <v>155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310"/>
    </row>
    <row r="875" spans="1:26" ht="15.75" customHeight="1">
      <c r="A875" s="125" t="str">
        <f>IF(B875&lt;&gt;"",IF(AND(B875&gt;=_TM1,B875&lt;=_TM2,OR(TH!L875="1111",TH!M875="1111")),TH!D875,""),"")</f>
        <v/>
      </c>
      <c r="B875" s="11">
        <f t="shared" si="63"/>
        <v>6</v>
      </c>
      <c r="C875" s="115">
        <v>40723</v>
      </c>
      <c r="D875" s="115" t="s">
        <v>927</v>
      </c>
      <c r="E875" s="110">
        <v>40723</v>
      </c>
      <c r="F875" s="114" t="s">
        <v>877</v>
      </c>
      <c r="G875" s="224" t="s">
        <v>864</v>
      </c>
      <c r="H875" s="4" t="s">
        <v>709</v>
      </c>
      <c r="I875" s="141">
        <v>917</v>
      </c>
      <c r="J875" s="141">
        <v>2523.9182115594331</v>
      </c>
      <c r="K875" s="238">
        <f t="shared" si="64"/>
        <v>2314433</v>
      </c>
      <c r="L875" s="319" t="s">
        <v>161</v>
      </c>
      <c r="M875" s="319" t="s">
        <v>155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310"/>
    </row>
    <row r="876" spans="1:26" ht="15.75" customHeight="1">
      <c r="A876" s="125" t="str">
        <f>IF(B876&lt;&gt;"",IF(AND(B876&gt;=_TM1,B876&lt;=_TM2,OR(TH!L876="1111",TH!M876="1111")),TH!D876,""),"")</f>
        <v/>
      </c>
      <c r="B876" s="11">
        <f t="shared" si="63"/>
        <v>6</v>
      </c>
      <c r="C876" s="115">
        <v>40723</v>
      </c>
      <c r="D876" s="115" t="s">
        <v>927</v>
      </c>
      <c r="E876" s="110">
        <v>40723</v>
      </c>
      <c r="F876" s="114" t="s">
        <v>881</v>
      </c>
      <c r="G876" s="224" t="s">
        <v>864</v>
      </c>
      <c r="H876" s="4" t="s">
        <v>709</v>
      </c>
      <c r="I876" s="141">
        <v>169</v>
      </c>
      <c r="J876" s="141">
        <v>7385.5147928994083</v>
      </c>
      <c r="K876" s="238">
        <f t="shared" si="64"/>
        <v>1248152</v>
      </c>
      <c r="L876" s="319" t="s">
        <v>161</v>
      </c>
      <c r="M876" s="319" t="s">
        <v>155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310"/>
    </row>
    <row r="877" spans="1:26" ht="15.75" customHeight="1">
      <c r="A877" s="125" t="str">
        <f>IF(B877&lt;&gt;"",IF(AND(B877&gt;=_TM1,B877&lt;=_TM2,OR(TH!L877="1111",TH!M877="1111")),TH!D877,""),"")</f>
        <v/>
      </c>
      <c r="B877" s="11">
        <f t="shared" si="63"/>
        <v>6</v>
      </c>
      <c r="C877" s="115">
        <v>40723</v>
      </c>
      <c r="D877" s="115" t="s">
        <v>927</v>
      </c>
      <c r="E877" s="110">
        <v>40723</v>
      </c>
      <c r="F877" s="114" t="s">
        <v>877</v>
      </c>
      <c r="G877" s="224" t="s">
        <v>864</v>
      </c>
      <c r="H877" s="4" t="s">
        <v>709</v>
      </c>
      <c r="I877" s="141">
        <v>170</v>
      </c>
      <c r="J877" s="141">
        <v>2471.7647058823532</v>
      </c>
      <c r="K877" s="238">
        <f t="shared" si="64"/>
        <v>420200</v>
      </c>
      <c r="L877" s="319" t="s">
        <v>161</v>
      </c>
      <c r="M877" s="319" t="s">
        <v>155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310"/>
    </row>
    <row r="878" spans="1:26" ht="15.75" customHeight="1">
      <c r="A878" s="125" t="str">
        <f>IF(B878&lt;&gt;"",IF(AND(B878&gt;=_TM1,B878&lt;=_TM2,OR(TH!L878="1111",TH!M878="1111")),TH!D878,""),"")</f>
        <v/>
      </c>
      <c r="B878" s="11">
        <f t="shared" si="63"/>
        <v>6</v>
      </c>
      <c r="C878" s="115">
        <v>40723</v>
      </c>
      <c r="D878" s="115" t="s">
        <v>927</v>
      </c>
      <c r="E878" s="110">
        <v>40723</v>
      </c>
      <c r="F878" s="114" t="s">
        <v>718</v>
      </c>
      <c r="G878" s="224" t="s">
        <v>864</v>
      </c>
      <c r="H878" s="4" t="s">
        <v>709</v>
      </c>
      <c r="I878" s="141">
        <v>442</v>
      </c>
      <c r="J878" s="141">
        <v>18786.513574660632</v>
      </c>
      <c r="K878" s="238">
        <f t="shared" si="64"/>
        <v>8303639</v>
      </c>
      <c r="L878" s="319" t="s">
        <v>161</v>
      </c>
      <c r="M878" s="319" t="s">
        <v>155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310"/>
    </row>
    <row r="879" spans="1:26" ht="15.75" customHeight="1">
      <c r="A879" s="125" t="str">
        <f>IF(B879&lt;&gt;"",IF(AND(B879&gt;=_TM1,B879&lt;=_TM2,OR(TH!L879="1111",TH!M879="1111")),TH!D879,""),"")</f>
        <v/>
      </c>
      <c r="B879" s="11">
        <f t="shared" si="63"/>
        <v>6</v>
      </c>
      <c r="C879" s="115">
        <v>40723</v>
      </c>
      <c r="D879" s="115" t="s">
        <v>928</v>
      </c>
      <c r="E879" s="110">
        <v>40723</v>
      </c>
      <c r="F879" s="114" t="s">
        <v>882</v>
      </c>
      <c r="G879" s="224" t="s">
        <v>865</v>
      </c>
      <c r="H879" s="4" t="s">
        <v>709</v>
      </c>
      <c r="I879" s="141">
        <v>36</v>
      </c>
      <c r="J879" s="141">
        <v>17039.5</v>
      </c>
      <c r="K879" s="238">
        <f t="shared" si="64"/>
        <v>613422</v>
      </c>
      <c r="L879" s="319" t="s">
        <v>161</v>
      </c>
      <c r="M879" s="319" t="s">
        <v>155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310"/>
    </row>
    <row r="880" spans="1:26" ht="15.75" customHeight="1">
      <c r="A880" s="125" t="str">
        <f>IF(B880&lt;&gt;"",IF(AND(B880&gt;=_TM1,B880&lt;=_TM2,OR(TH!L880="1111",TH!M880="1111")),TH!D880,""),"")</f>
        <v/>
      </c>
      <c r="B880" s="11">
        <f t="shared" si="63"/>
        <v>6</v>
      </c>
      <c r="C880" s="115">
        <v>40723</v>
      </c>
      <c r="D880" s="115" t="s">
        <v>928</v>
      </c>
      <c r="E880" s="110">
        <v>40723</v>
      </c>
      <c r="F880" s="114" t="s">
        <v>877</v>
      </c>
      <c r="G880" s="224" t="s">
        <v>865</v>
      </c>
      <c r="H880" s="4" t="s">
        <v>709</v>
      </c>
      <c r="I880" s="141">
        <v>90</v>
      </c>
      <c r="J880" s="141">
        <v>2471.7666666666669</v>
      </c>
      <c r="K880" s="238">
        <f t="shared" si="64"/>
        <v>222459</v>
      </c>
      <c r="L880" s="319" t="s">
        <v>161</v>
      </c>
      <c r="M880" s="319" t="s">
        <v>155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310"/>
    </row>
    <row r="881" spans="1:26" ht="15.75" customHeight="1">
      <c r="A881" s="125" t="str">
        <f>IF(B881&lt;&gt;"",IF(AND(B881&gt;=_TM1,B881&lt;=_TM2,OR(TH!L881="1111",TH!M881="1111")),TH!D881,""),"")</f>
        <v/>
      </c>
      <c r="B881" s="11">
        <f t="shared" si="63"/>
        <v>6</v>
      </c>
      <c r="C881" s="115">
        <v>40723</v>
      </c>
      <c r="D881" s="115" t="s">
        <v>928</v>
      </c>
      <c r="E881" s="110">
        <v>40723</v>
      </c>
      <c r="F881" s="114" t="s">
        <v>877</v>
      </c>
      <c r="G881" s="224" t="s">
        <v>865</v>
      </c>
      <c r="H881" s="4" t="s">
        <v>709</v>
      </c>
      <c r="I881" s="141">
        <v>164</v>
      </c>
      <c r="J881" s="141">
        <v>2471.7621951219512</v>
      </c>
      <c r="K881" s="238">
        <f t="shared" si="64"/>
        <v>405369</v>
      </c>
      <c r="L881" s="319" t="s">
        <v>161</v>
      </c>
      <c r="M881" s="319" t="s">
        <v>155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310"/>
    </row>
    <row r="882" spans="1:26" ht="15.75" customHeight="1">
      <c r="A882" s="125" t="str">
        <f>IF(B882&lt;&gt;"",IF(AND(B882&gt;=_TM1,B882&lt;=_TM2,OR(TH!L882="1111",TH!M882="1111")),TH!D882,""),"")</f>
        <v/>
      </c>
      <c r="B882" s="11">
        <f t="shared" si="63"/>
        <v>6</v>
      </c>
      <c r="C882" s="115">
        <v>40723</v>
      </c>
      <c r="D882" s="115" t="s">
        <v>928</v>
      </c>
      <c r="E882" s="110">
        <v>40723</v>
      </c>
      <c r="F882" s="114" t="s">
        <v>719</v>
      </c>
      <c r="G882" s="224" t="s">
        <v>865</v>
      </c>
      <c r="H882" s="4" t="s">
        <v>709</v>
      </c>
      <c r="I882" s="141">
        <v>639</v>
      </c>
      <c r="J882" s="141">
        <v>18443.433489827858</v>
      </c>
      <c r="K882" s="238">
        <f t="shared" si="64"/>
        <v>11785354</v>
      </c>
      <c r="L882" s="319" t="s">
        <v>161</v>
      </c>
      <c r="M882" s="319" t="s">
        <v>155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310"/>
    </row>
    <row r="883" spans="1:26" ht="15.75" customHeight="1">
      <c r="A883" s="125" t="str">
        <f>IF(B883&lt;&gt;"",IF(AND(B883&gt;=_TM1,B883&lt;=_TM2,OR(TH!L883="1111",TH!M883="1111")),TH!D883,""),"")</f>
        <v/>
      </c>
      <c r="B883" s="11">
        <f t="shared" si="63"/>
        <v>6</v>
      </c>
      <c r="C883" s="115">
        <v>40723</v>
      </c>
      <c r="D883" s="115" t="s">
        <v>928</v>
      </c>
      <c r="E883" s="110">
        <v>40723</v>
      </c>
      <c r="F883" s="114" t="s">
        <v>877</v>
      </c>
      <c r="G883" s="224" t="s">
        <v>865</v>
      </c>
      <c r="H883" s="4" t="s">
        <v>709</v>
      </c>
      <c r="I883" s="141">
        <v>210</v>
      </c>
      <c r="J883" s="141">
        <v>5808.5142857142855</v>
      </c>
      <c r="K883" s="238">
        <f t="shared" si="64"/>
        <v>1219788</v>
      </c>
      <c r="L883" s="319" t="s">
        <v>161</v>
      </c>
      <c r="M883" s="319" t="s">
        <v>155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310"/>
    </row>
    <row r="884" spans="1:26" ht="15.75" customHeight="1">
      <c r="A884" s="125" t="str">
        <f>IF(B884&lt;&gt;"",IF(AND(B884&gt;=_TM1,B884&lt;=_TM2,OR(TH!L884="1111",TH!M884="1111")),TH!D884,""),"")</f>
        <v/>
      </c>
      <c r="B884" s="11">
        <f t="shared" si="63"/>
        <v>6</v>
      </c>
      <c r="C884" s="115">
        <v>40723</v>
      </c>
      <c r="D884" s="115" t="s">
        <v>928</v>
      </c>
      <c r="E884" s="110">
        <v>40723</v>
      </c>
      <c r="F884" s="114" t="s">
        <v>877</v>
      </c>
      <c r="G884" s="224" t="s">
        <v>865</v>
      </c>
      <c r="H884" s="4" t="s">
        <v>709</v>
      </c>
      <c r="I884" s="141">
        <v>422</v>
      </c>
      <c r="J884" s="141">
        <v>3584.0118483412321</v>
      </c>
      <c r="K884" s="238">
        <f t="shared" si="64"/>
        <v>1512453</v>
      </c>
      <c r="L884" s="319" t="s">
        <v>161</v>
      </c>
      <c r="M884" s="319" t="s">
        <v>155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310"/>
    </row>
    <row r="885" spans="1:26" ht="15.75" customHeight="1">
      <c r="A885" s="125" t="str">
        <f>IF(B885&lt;&gt;"",IF(AND(B885&gt;=_TM1,B885&lt;=_TM2,OR(TH!L885="1111",TH!M885="1111")),TH!D885,""),"")</f>
        <v/>
      </c>
      <c r="B885" s="11">
        <f t="shared" si="63"/>
        <v>6</v>
      </c>
      <c r="C885" s="115">
        <v>40723</v>
      </c>
      <c r="D885" s="115" t="s">
        <v>928</v>
      </c>
      <c r="E885" s="110">
        <v>40723</v>
      </c>
      <c r="F885" s="114" t="s">
        <v>717</v>
      </c>
      <c r="G885" s="224" t="s">
        <v>865</v>
      </c>
      <c r="H885" s="4" t="s">
        <v>709</v>
      </c>
      <c r="I885" s="141">
        <v>209</v>
      </c>
      <c r="J885" s="141">
        <v>17381.808612440193</v>
      </c>
      <c r="K885" s="238">
        <f t="shared" si="64"/>
        <v>3632798</v>
      </c>
      <c r="L885" s="319" t="s">
        <v>161</v>
      </c>
      <c r="M885" s="319" t="s">
        <v>155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310"/>
    </row>
    <row r="886" spans="1:26" ht="15.75" customHeight="1">
      <c r="A886" s="125" t="str">
        <f>IF(B886&lt;&gt;"",IF(AND(B886&gt;=_TM1,B886&lt;=_TM2,OR(TH!L886="1111",TH!M886="1111")),TH!D886,""),"")</f>
        <v/>
      </c>
      <c r="B886" s="11">
        <f t="shared" si="63"/>
        <v>6</v>
      </c>
      <c r="C886" s="115">
        <v>40723</v>
      </c>
      <c r="D886" s="115" t="s">
        <v>928</v>
      </c>
      <c r="E886" s="110">
        <v>40723</v>
      </c>
      <c r="F886" s="114" t="s">
        <v>883</v>
      </c>
      <c r="G886" s="224" t="s">
        <v>865</v>
      </c>
      <c r="H886" s="4" t="s">
        <v>709</v>
      </c>
      <c r="I886" s="141">
        <v>55</v>
      </c>
      <c r="J886" s="141">
        <v>17595.436363636363</v>
      </c>
      <c r="K886" s="238">
        <f t="shared" si="64"/>
        <v>967749</v>
      </c>
      <c r="L886" s="319" t="s">
        <v>161</v>
      </c>
      <c r="M886" s="319" t="s">
        <v>155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310"/>
    </row>
    <row r="887" spans="1:26" ht="15.75" customHeight="1">
      <c r="A887" s="125" t="str">
        <f>IF(B887&lt;&gt;"",IF(AND(B887&gt;=_TM1,B887&lt;=_TM2,OR(TH!L887="1111",TH!M887="1111")),TH!D887,""),"")</f>
        <v/>
      </c>
      <c r="B887" s="11">
        <f t="shared" si="63"/>
        <v>6</v>
      </c>
      <c r="C887" s="115">
        <v>40723</v>
      </c>
      <c r="D887" s="115" t="s">
        <v>929</v>
      </c>
      <c r="E887" s="110">
        <v>40723</v>
      </c>
      <c r="F887" s="114" t="s">
        <v>884</v>
      </c>
      <c r="G887" s="224" t="s">
        <v>866</v>
      </c>
      <c r="H887" s="4" t="s">
        <v>709</v>
      </c>
      <c r="I887" s="141">
        <v>40</v>
      </c>
      <c r="J887" s="141">
        <v>13362.025</v>
      </c>
      <c r="K887" s="238">
        <f t="shared" si="64"/>
        <v>534481</v>
      </c>
      <c r="L887" s="319" t="s">
        <v>161</v>
      </c>
      <c r="M887" s="319" t="s">
        <v>155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310"/>
    </row>
    <row r="888" spans="1:26" ht="15.75" customHeight="1">
      <c r="A888" s="125" t="str">
        <f>IF(B888&lt;&gt;"",IF(AND(B888&gt;=_TM1,B888&lt;=_TM2,OR(TH!L888="1111",TH!M888="1111")),TH!D888,""),"")</f>
        <v/>
      </c>
      <c r="B888" s="11">
        <f t="shared" si="63"/>
        <v>6</v>
      </c>
      <c r="C888" s="115">
        <v>40723</v>
      </c>
      <c r="D888" s="115" t="s">
        <v>929</v>
      </c>
      <c r="E888" s="110">
        <v>40723</v>
      </c>
      <c r="F888" s="114" t="s">
        <v>852</v>
      </c>
      <c r="G888" s="224" t="s">
        <v>866</v>
      </c>
      <c r="H888" s="4" t="s">
        <v>709</v>
      </c>
      <c r="I888" s="141">
        <v>2</v>
      </c>
      <c r="J888" s="141">
        <v>8566.5</v>
      </c>
      <c r="K888" s="238">
        <f t="shared" si="64"/>
        <v>17133</v>
      </c>
      <c r="L888" s="319" t="s">
        <v>161</v>
      </c>
      <c r="M888" s="319" t="s">
        <v>155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21"/>
    </row>
    <row r="889" spans="1:26" ht="15.75" customHeight="1">
      <c r="A889" s="125" t="str">
        <f>IF(B889&lt;&gt;"",IF(AND(B889&gt;=_TM1,B889&lt;=_TM2,OR(TH!L889="1111",TH!M889="1111")),TH!D889,""),"")</f>
        <v/>
      </c>
      <c r="B889" s="11">
        <f t="shared" si="63"/>
        <v>6</v>
      </c>
      <c r="C889" s="115">
        <v>40723</v>
      </c>
      <c r="D889" s="115" t="s">
        <v>929</v>
      </c>
      <c r="E889" s="110">
        <v>40723</v>
      </c>
      <c r="F889" s="114" t="s">
        <v>885</v>
      </c>
      <c r="G889" s="224" t="s">
        <v>866</v>
      </c>
      <c r="H889" s="4" t="s">
        <v>709</v>
      </c>
      <c r="I889" s="141">
        <v>207</v>
      </c>
      <c r="J889" s="141">
        <v>23151.830917874395</v>
      </c>
      <c r="K889" s="238">
        <f t="shared" si="64"/>
        <v>4792429</v>
      </c>
      <c r="L889" s="319" t="s">
        <v>161</v>
      </c>
      <c r="M889" s="319" t="s">
        <v>155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21"/>
    </row>
    <row r="890" spans="1:26" ht="15.75" customHeight="1">
      <c r="A890" s="125" t="str">
        <f>IF(B890&lt;&gt;"",IF(AND(B890&gt;=_TM1,B890&lt;=_TM2,OR(TH!L890="1111",TH!M890="1111")),TH!D890,""),"")</f>
        <v/>
      </c>
      <c r="B890" s="11">
        <f t="shared" si="63"/>
        <v>6</v>
      </c>
      <c r="C890" s="115">
        <v>40723</v>
      </c>
      <c r="D890" s="115" t="s">
        <v>929</v>
      </c>
      <c r="E890" s="110">
        <v>40723</v>
      </c>
      <c r="F890" s="114" t="s">
        <v>877</v>
      </c>
      <c r="G890" s="224" t="s">
        <v>866</v>
      </c>
      <c r="H890" s="4" t="s">
        <v>709</v>
      </c>
      <c r="I890" s="141">
        <v>203</v>
      </c>
      <c r="J890" s="141">
        <v>10599.807881773399</v>
      </c>
      <c r="K890" s="238">
        <f t="shared" si="64"/>
        <v>2151761</v>
      </c>
      <c r="L890" s="319" t="s">
        <v>161</v>
      </c>
      <c r="M890" s="319" t="s">
        <v>155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21"/>
    </row>
    <row r="891" spans="1:26" ht="15.75" customHeight="1">
      <c r="A891" s="125" t="str">
        <f>IF(B891&lt;&gt;"",IF(AND(B891&gt;=_TM1,B891&lt;=_TM2,OR(TH!L891="1111",TH!M891="1111")),TH!D891,""),"")</f>
        <v/>
      </c>
      <c r="B891" s="11">
        <f t="shared" si="63"/>
        <v>6</v>
      </c>
      <c r="C891" s="115">
        <v>40723</v>
      </c>
      <c r="D891" s="115" t="s">
        <v>929</v>
      </c>
      <c r="E891" s="110">
        <v>40723</v>
      </c>
      <c r="F891" s="114" t="s">
        <v>886</v>
      </c>
      <c r="G891" s="224" t="s">
        <v>866</v>
      </c>
      <c r="H891" s="4" t="s">
        <v>709</v>
      </c>
      <c r="I891" s="141">
        <v>9</v>
      </c>
      <c r="J891" s="141">
        <v>18786.555555555555</v>
      </c>
      <c r="K891" s="238">
        <f t="shared" si="64"/>
        <v>169079</v>
      </c>
      <c r="L891" s="319" t="s">
        <v>161</v>
      </c>
      <c r="M891" s="319" t="s">
        <v>155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21"/>
    </row>
    <row r="892" spans="1:26" ht="15.75" customHeight="1">
      <c r="A892" s="125" t="str">
        <f>IF(B892&lt;&gt;"",IF(AND(B892&gt;=_TM1,B892&lt;=_TM2,OR(TH!L892="1111",TH!M892="1111")),TH!D892,""),"")</f>
        <v/>
      </c>
      <c r="B892" s="11">
        <f t="shared" si="63"/>
        <v>6</v>
      </c>
      <c r="C892" s="115">
        <v>40723</v>
      </c>
      <c r="D892" s="115" t="s">
        <v>929</v>
      </c>
      <c r="E892" s="110">
        <v>40723</v>
      </c>
      <c r="F892" s="114" t="s">
        <v>728</v>
      </c>
      <c r="G892" s="224" t="s">
        <v>866</v>
      </c>
      <c r="H892" s="4" t="s">
        <v>709</v>
      </c>
      <c r="I892" s="141">
        <v>1</v>
      </c>
      <c r="J892" s="141">
        <v>15439</v>
      </c>
      <c r="K892" s="238">
        <f t="shared" si="64"/>
        <v>15439</v>
      </c>
      <c r="L892" s="319" t="s">
        <v>161</v>
      </c>
      <c r="M892" s="319" t="s">
        <v>155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21"/>
    </row>
    <row r="893" spans="1:26" ht="15.75" customHeight="1">
      <c r="A893" s="125" t="str">
        <f>IF(B893&lt;&gt;"",IF(AND(B893&gt;=_TM1,B893&lt;=_TM2,OR(TH!L893="1111",TH!M893="1111")),TH!D893,""),"")</f>
        <v/>
      </c>
      <c r="B893" s="11">
        <f t="shared" si="63"/>
        <v>6</v>
      </c>
      <c r="C893" s="115">
        <v>40723</v>
      </c>
      <c r="D893" s="115" t="s">
        <v>929</v>
      </c>
      <c r="E893" s="110">
        <v>40723</v>
      </c>
      <c r="F893" s="114" t="s">
        <v>887</v>
      </c>
      <c r="G893" s="224" t="s">
        <v>866</v>
      </c>
      <c r="H893" s="4" t="s">
        <v>709</v>
      </c>
      <c r="I893" s="141">
        <v>3</v>
      </c>
      <c r="J893" s="141">
        <v>19142.666666666668</v>
      </c>
      <c r="K893" s="238">
        <f t="shared" si="64"/>
        <v>57428</v>
      </c>
      <c r="L893" s="319" t="s">
        <v>161</v>
      </c>
      <c r="M893" s="319" t="s">
        <v>155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21"/>
    </row>
    <row r="894" spans="1:26" ht="15.75" customHeight="1">
      <c r="A894" s="125" t="str">
        <f>IF(B894&lt;&gt;"",IF(AND(B894&gt;=_TM1,B894&lt;=_TM2,OR(TH!L894="1111",TH!M894="1111")),TH!D894,""),"")</f>
        <v/>
      </c>
      <c r="B894" s="11">
        <f t="shared" si="63"/>
        <v>6</v>
      </c>
      <c r="C894" s="115">
        <v>40723</v>
      </c>
      <c r="D894" s="115" t="s">
        <v>929</v>
      </c>
      <c r="E894" s="110">
        <v>40723</v>
      </c>
      <c r="F894" s="114" t="s">
        <v>727</v>
      </c>
      <c r="G894" s="224" t="s">
        <v>866</v>
      </c>
      <c r="H894" s="4" t="s">
        <v>709</v>
      </c>
      <c r="I894" s="141">
        <v>11</v>
      </c>
      <c r="J894" s="141">
        <v>13362</v>
      </c>
      <c r="K894" s="238">
        <f t="shared" si="64"/>
        <v>146982</v>
      </c>
      <c r="L894" s="319" t="s">
        <v>161</v>
      </c>
      <c r="M894" s="319" t="s">
        <v>155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21"/>
    </row>
    <row r="895" spans="1:26" ht="15.75" customHeight="1">
      <c r="A895" s="125" t="str">
        <f>IF(B895&lt;&gt;"",IF(AND(B895&gt;=_TM1,B895&lt;=_TM2,OR(TH!L895="1111",TH!M895="1111")),TH!D895,""),"")</f>
        <v/>
      </c>
      <c r="B895" s="11">
        <f t="shared" si="63"/>
        <v>6</v>
      </c>
      <c r="C895" s="115">
        <v>40723</v>
      </c>
      <c r="D895" s="115" t="s">
        <v>930</v>
      </c>
      <c r="E895" s="110">
        <v>40723</v>
      </c>
      <c r="F895" s="114" t="s">
        <v>851</v>
      </c>
      <c r="G895" s="224" t="s">
        <v>867</v>
      </c>
      <c r="H895" s="4" t="s">
        <v>709</v>
      </c>
      <c r="I895" s="141">
        <v>26</v>
      </c>
      <c r="J895" s="141">
        <v>8566.5</v>
      </c>
      <c r="K895" s="238">
        <f t="shared" ref="K895:K926" si="65">ROUND(I895*J895,0)</f>
        <v>222729</v>
      </c>
      <c r="L895" s="319" t="s">
        <v>161</v>
      </c>
      <c r="M895" s="319" t="s">
        <v>155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/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21"/>
    </row>
    <row r="896" spans="1:26" ht="15.75" customHeight="1">
      <c r="A896" s="125" t="str">
        <f>IF(B896&lt;&gt;"",IF(AND(B896&gt;=_TM1,B896&lt;=_TM2,OR(TH!L896="1111",TH!M896="1111")),TH!D896,""),"")</f>
        <v/>
      </c>
      <c r="B896" s="11">
        <f t="shared" si="63"/>
        <v>6</v>
      </c>
      <c r="C896" s="115">
        <v>40723</v>
      </c>
      <c r="D896" s="115" t="s">
        <v>930</v>
      </c>
      <c r="E896" s="110">
        <v>40723</v>
      </c>
      <c r="F896" s="114" t="s">
        <v>888</v>
      </c>
      <c r="G896" s="224" t="s">
        <v>867</v>
      </c>
      <c r="H896" s="4" t="s">
        <v>709</v>
      </c>
      <c r="I896" s="141">
        <v>20</v>
      </c>
      <c r="J896" s="141">
        <v>18019.5</v>
      </c>
      <c r="K896" s="238">
        <f t="shared" si="65"/>
        <v>360390</v>
      </c>
      <c r="L896" s="319" t="s">
        <v>161</v>
      </c>
      <c r="M896" s="319" t="s">
        <v>155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/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21"/>
    </row>
    <row r="897" spans="1:26" ht="15.75" customHeight="1">
      <c r="A897" s="125" t="str">
        <f>IF(B897&lt;&gt;"",IF(AND(B897&gt;=_TM1,B897&lt;=_TM2,OR(TH!L897="1111",TH!M897="1111")),TH!D897,""),"")</f>
        <v/>
      </c>
      <c r="B897" s="11">
        <f t="shared" si="63"/>
        <v>6</v>
      </c>
      <c r="C897" s="115">
        <v>40723</v>
      </c>
      <c r="D897" s="115" t="s">
        <v>930</v>
      </c>
      <c r="E897" s="110">
        <v>40723</v>
      </c>
      <c r="F897" s="114" t="s">
        <v>889</v>
      </c>
      <c r="G897" s="224" t="s">
        <v>867</v>
      </c>
      <c r="H897" s="4" t="s">
        <v>709</v>
      </c>
      <c r="I897" s="141">
        <v>61</v>
      </c>
      <c r="J897" s="141">
        <v>19878.065573770491</v>
      </c>
      <c r="K897" s="238">
        <f t="shared" si="65"/>
        <v>1212562</v>
      </c>
      <c r="L897" s="319" t="s">
        <v>161</v>
      </c>
      <c r="M897" s="319" t="s">
        <v>155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/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21"/>
    </row>
    <row r="898" spans="1:26" ht="15.75" customHeight="1">
      <c r="A898" s="125" t="str">
        <f>IF(B898&lt;&gt;"",IF(AND(B898&gt;=_TM1,B898&lt;=_TM2,OR(TH!L898="1111",TH!M898="1111")),TH!D898,""),"")</f>
        <v/>
      </c>
      <c r="B898" s="11">
        <f t="shared" si="63"/>
        <v>6</v>
      </c>
      <c r="C898" s="115">
        <v>40723</v>
      </c>
      <c r="D898" s="115" t="s">
        <v>930</v>
      </c>
      <c r="E898" s="110">
        <v>40723</v>
      </c>
      <c r="F898" s="116" t="s">
        <v>732</v>
      </c>
      <c r="G898" s="224" t="s">
        <v>867</v>
      </c>
      <c r="H898" s="4" t="s">
        <v>709</v>
      </c>
      <c r="I898" s="141">
        <v>140</v>
      </c>
      <c r="J898" s="141">
        <v>2471.7642857142855</v>
      </c>
      <c r="K898" s="238">
        <f t="shared" si="65"/>
        <v>346047</v>
      </c>
      <c r="L898" s="319" t="s">
        <v>161</v>
      </c>
      <c r="M898" s="319" t="s">
        <v>155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21"/>
    </row>
    <row r="899" spans="1:26" ht="15.75" customHeight="1">
      <c r="A899" s="125" t="str">
        <f>IF(B899&lt;&gt;"",IF(AND(B899&gt;=_TM1,B899&lt;=_TM2,OR(TH!L899="1111",TH!M899="1111")),TH!D899,""),"")</f>
        <v/>
      </c>
      <c r="B899" s="11">
        <f t="shared" si="63"/>
        <v>6</v>
      </c>
      <c r="C899" s="115">
        <v>40723</v>
      </c>
      <c r="D899" s="115" t="s">
        <v>930</v>
      </c>
      <c r="E899" s="110">
        <v>40723</v>
      </c>
      <c r="F899" s="114" t="s">
        <v>882</v>
      </c>
      <c r="G899" s="224" t="s">
        <v>867</v>
      </c>
      <c r="H899" s="4" t="s">
        <v>709</v>
      </c>
      <c r="I899" s="141">
        <v>40</v>
      </c>
      <c r="J899" s="141">
        <v>17179.525000000001</v>
      </c>
      <c r="K899" s="238">
        <f t="shared" si="65"/>
        <v>687181</v>
      </c>
      <c r="L899" s="319" t="s">
        <v>161</v>
      </c>
      <c r="M899" s="319" t="s">
        <v>155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21"/>
    </row>
    <row r="900" spans="1:26" ht="15.75" customHeight="1">
      <c r="A900" s="125" t="str">
        <f>IF(B900&lt;&gt;"",IF(AND(B900&gt;=_TM1,B900&lt;=_TM2,OR(TH!L900="1111",TH!M900="1111")),TH!D900,""),"")</f>
        <v/>
      </c>
      <c r="B900" s="11">
        <f t="shared" si="63"/>
        <v>6</v>
      </c>
      <c r="C900" s="115">
        <v>40723</v>
      </c>
      <c r="D900" s="115" t="s">
        <v>930</v>
      </c>
      <c r="E900" s="110">
        <v>40723</v>
      </c>
      <c r="F900" s="114" t="s">
        <v>720</v>
      </c>
      <c r="G900" s="224" t="s">
        <v>867</v>
      </c>
      <c r="H900" s="4" t="s">
        <v>709</v>
      </c>
      <c r="I900" s="141">
        <v>95</v>
      </c>
      <c r="J900" s="141">
        <v>13488.357894736842</v>
      </c>
      <c r="K900" s="238">
        <f t="shared" si="65"/>
        <v>1281394</v>
      </c>
      <c r="L900" s="319" t="s">
        <v>161</v>
      </c>
      <c r="M900" s="319" t="s">
        <v>155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21"/>
    </row>
    <row r="901" spans="1:26" ht="15.75" customHeight="1">
      <c r="A901" s="125" t="str">
        <f>IF(B901&lt;&gt;"",IF(AND(B901&gt;=_TM1,B901&lt;=_TM2,OR(TH!L901="1111",TH!M901="1111")),TH!D901,""),"")</f>
        <v/>
      </c>
      <c r="B901" s="11">
        <f t="shared" si="63"/>
        <v>6</v>
      </c>
      <c r="C901" s="115">
        <v>40723</v>
      </c>
      <c r="D901" s="115" t="s">
        <v>931</v>
      </c>
      <c r="E901" s="110">
        <v>40723</v>
      </c>
      <c r="F901" s="116" t="s">
        <v>855</v>
      </c>
      <c r="G901" s="224" t="s">
        <v>868</v>
      </c>
      <c r="H901" s="131" t="s">
        <v>854</v>
      </c>
      <c r="I901" s="141">
        <v>2000</v>
      </c>
      <c r="J901" s="141">
        <v>5951.5129999999999</v>
      </c>
      <c r="K901" s="238">
        <f t="shared" si="65"/>
        <v>11903026</v>
      </c>
      <c r="L901" s="319" t="s">
        <v>161</v>
      </c>
      <c r="M901" s="319" t="s">
        <v>155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21"/>
    </row>
    <row r="902" spans="1:26" ht="15.75" customHeight="1">
      <c r="A902" s="125" t="str">
        <f>IF(B902&lt;&gt;"",IF(AND(B902&gt;=_TM1,B902&lt;=_TM2,OR(TH!L902="1111",TH!M902="1111")),TH!D902,""),"")</f>
        <v/>
      </c>
      <c r="B902" s="11">
        <f t="shared" si="63"/>
        <v>6</v>
      </c>
      <c r="C902" s="115">
        <v>40723</v>
      </c>
      <c r="D902" s="115" t="s">
        <v>932</v>
      </c>
      <c r="E902" s="110">
        <v>40723</v>
      </c>
      <c r="F902" s="116" t="s">
        <v>890</v>
      </c>
      <c r="G902" s="224" t="s">
        <v>875</v>
      </c>
      <c r="H902" s="4" t="s">
        <v>710</v>
      </c>
      <c r="I902" s="141">
        <v>306</v>
      </c>
      <c r="J902" s="141">
        <v>13362.013071895424</v>
      </c>
      <c r="K902" s="238">
        <f t="shared" si="65"/>
        <v>4088776</v>
      </c>
      <c r="L902" s="319" t="s">
        <v>161</v>
      </c>
      <c r="M902" s="319" t="s">
        <v>155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21"/>
    </row>
    <row r="903" spans="1:26" ht="15.75" customHeight="1">
      <c r="A903" s="125" t="str">
        <f>IF(B903&lt;&gt;"",IF(AND(B903&gt;=_TM1,B903&lt;=_TM2,OR(TH!L903="1111",TH!M903="1111")),TH!D903,""),"")</f>
        <v/>
      </c>
      <c r="B903" s="11">
        <f t="shared" si="63"/>
        <v>6</v>
      </c>
      <c r="C903" s="115">
        <v>40723</v>
      </c>
      <c r="D903" s="115" t="s">
        <v>932</v>
      </c>
      <c r="E903" s="110">
        <v>40723</v>
      </c>
      <c r="F903" s="116" t="s">
        <v>777</v>
      </c>
      <c r="G903" s="224" t="s">
        <v>875</v>
      </c>
      <c r="H903" s="4" t="s">
        <v>710</v>
      </c>
      <c r="I903" s="141">
        <v>391</v>
      </c>
      <c r="J903" s="141">
        <v>7483.5140664961637</v>
      </c>
      <c r="K903" s="238">
        <f t="shared" si="65"/>
        <v>2926054</v>
      </c>
      <c r="L903" s="319" t="s">
        <v>161</v>
      </c>
      <c r="M903" s="319" t="s">
        <v>155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21"/>
    </row>
    <row r="904" spans="1:26" ht="15.75" customHeight="1">
      <c r="A904" s="125" t="str">
        <f>IF(B904&lt;&gt;"",IF(AND(B904&gt;=_TM1,B904&lt;=_TM2,OR(TH!L904="1111",TH!M904="1111")),TH!D904,""),"")</f>
        <v/>
      </c>
      <c r="B904" s="11">
        <f t="shared" si="63"/>
        <v>6</v>
      </c>
      <c r="C904" s="115">
        <v>40723</v>
      </c>
      <c r="D904" s="115" t="s">
        <v>932</v>
      </c>
      <c r="E904" s="110">
        <v>40723</v>
      </c>
      <c r="F904" s="116" t="s">
        <v>770</v>
      </c>
      <c r="G904" s="224" t="s">
        <v>875</v>
      </c>
      <c r="H904" s="4" t="s">
        <v>710</v>
      </c>
      <c r="I904" s="141">
        <v>297</v>
      </c>
      <c r="J904" s="141">
        <v>7385.5117845117848</v>
      </c>
      <c r="K904" s="238">
        <f t="shared" si="65"/>
        <v>2193497</v>
      </c>
      <c r="L904" s="319" t="s">
        <v>161</v>
      </c>
      <c r="M904" s="319" t="s">
        <v>155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21"/>
    </row>
    <row r="905" spans="1:26" ht="15.75" customHeight="1">
      <c r="A905" s="125" t="str">
        <f>IF(B905&lt;&gt;"",IF(AND(B905&gt;=_TM1,B905&lt;=_TM2,OR(TH!L905="1111",TH!M905="1111")),TH!D905,""),"")</f>
        <v/>
      </c>
      <c r="B905" s="11">
        <f t="shared" si="63"/>
        <v>6</v>
      </c>
      <c r="C905" s="115">
        <v>40723</v>
      </c>
      <c r="D905" s="115" t="s">
        <v>932</v>
      </c>
      <c r="E905" s="110">
        <v>40723</v>
      </c>
      <c r="F905" s="116" t="s">
        <v>892</v>
      </c>
      <c r="G905" s="224" t="s">
        <v>875</v>
      </c>
      <c r="H905" s="4" t="s">
        <v>710</v>
      </c>
      <c r="I905" s="141">
        <v>101</v>
      </c>
      <c r="J905" s="141">
        <v>7385.5148514851489</v>
      </c>
      <c r="K905" s="238">
        <f t="shared" si="65"/>
        <v>745937</v>
      </c>
      <c r="L905" s="319" t="s">
        <v>161</v>
      </c>
      <c r="M905" s="319" t="s">
        <v>155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21"/>
    </row>
    <row r="906" spans="1:26" ht="15.75" customHeight="1">
      <c r="A906" s="125" t="str">
        <f>IF(B906&lt;&gt;"",IF(AND(B906&gt;=_TM1,B906&lt;=_TM2,OR(TH!L906="1111",TH!M906="1111")),TH!D906,""),"")</f>
        <v/>
      </c>
      <c r="B906" s="11">
        <f t="shared" si="63"/>
        <v>6</v>
      </c>
      <c r="C906" s="115">
        <v>40723</v>
      </c>
      <c r="D906" s="115" t="s">
        <v>932</v>
      </c>
      <c r="E906" s="110">
        <v>40723</v>
      </c>
      <c r="F906" s="116" t="s">
        <v>891</v>
      </c>
      <c r="G906" s="224" t="s">
        <v>875</v>
      </c>
      <c r="H906" s="4" t="s">
        <v>710</v>
      </c>
      <c r="I906" s="141">
        <v>103</v>
      </c>
      <c r="J906" s="141">
        <v>7385.5145631067962</v>
      </c>
      <c r="K906" s="238">
        <f t="shared" si="65"/>
        <v>760708</v>
      </c>
      <c r="L906" s="319" t="s">
        <v>161</v>
      </c>
      <c r="M906" s="319" t="s">
        <v>155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21"/>
    </row>
    <row r="907" spans="1:26" ht="15.75" customHeight="1">
      <c r="A907" s="125" t="str">
        <f>IF(B907&lt;&gt;"",IF(AND(B907&gt;=_TM1,B907&lt;=_TM2,OR(TH!L907="1111",TH!M907="1111")),TH!D907,""),"")</f>
        <v/>
      </c>
      <c r="B907" s="11">
        <f t="shared" si="63"/>
        <v>6</v>
      </c>
      <c r="C907" s="115">
        <v>40723</v>
      </c>
      <c r="D907" s="115" t="s">
        <v>932</v>
      </c>
      <c r="E907" s="110">
        <v>40723</v>
      </c>
      <c r="F907" s="116" t="s">
        <v>767</v>
      </c>
      <c r="G907" s="224" t="s">
        <v>875</v>
      </c>
      <c r="H907" s="4" t="s">
        <v>710</v>
      </c>
      <c r="I907" s="141">
        <v>109</v>
      </c>
      <c r="J907" s="141">
        <v>16526.394495412846</v>
      </c>
      <c r="K907" s="238">
        <f t="shared" si="65"/>
        <v>1801377</v>
      </c>
      <c r="L907" s="319" t="s">
        <v>161</v>
      </c>
      <c r="M907" s="319" t="s">
        <v>155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21"/>
    </row>
    <row r="908" spans="1:26" ht="15.75" customHeight="1">
      <c r="A908" s="125" t="str">
        <f>IF(B908&lt;&gt;"",IF(AND(B908&gt;=_TM1,B908&lt;=_TM2,OR(TH!L908="1111",TH!M908="1111")),TH!D908,""),"")</f>
        <v/>
      </c>
      <c r="B908" s="11">
        <f t="shared" si="63"/>
        <v>6</v>
      </c>
      <c r="C908" s="115">
        <v>40723</v>
      </c>
      <c r="D908" s="115" t="s">
        <v>932</v>
      </c>
      <c r="E908" s="110">
        <v>40723</v>
      </c>
      <c r="F908" s="116" t="s">
        <v>893</v>
      </c>
      <c r="G908" s="224" t="s">
        <v>875</v>
      </c>
      <c r="H908" s="4" t="s">
        <v>710</v>
      </c>
      <c r="I908" s="139">
        <v>104</v>
      </c>
      <c r="J908" s="139">
        <v>21595.509615384617</v>
      </c>
      <c r="K908" s="238">
        <f t="shared" si="65"/>
        <v>2245933</v>
      </c>
      <c r="L908" s="319" t="s">
        <v>161</v>
      </c>
      <c r="M908" s="319" t="s">
        <v>155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21"/>
    </row>
    <row r="909" spans="1:26" ht="15.75" customHeight="1">
      <c r="A909" s="125" t="str">
        <f>IF(B909&lt;&gt;"",IF(AND(B909&gt;=_TM1,B909&lt;=_TM2,OR(TH!L909="1111",TH!M909="1111")),TH!D909,""),"")</f>
        <v/>
      </c>
      <c r="B909" s="11">
        <f t="shared" si="63"/>
        <v>6</v>
      </c>
      <c r="C909" s="115">
        <f t="shared" ref="C909:C940" si="66">E909</f>
        <v>40723</v>
      </c>
      <c r="D909" s="115" t="s">
        <v>1068</v>
      </c>
      <c r="E909" s="115">
        <v>40723</v>
      </c>
      <c r="F909" s="116" t="s">
        <v>859</v>
      </c>
      <c r="G909" s="224"/>
      <c r="H909" s="242" t="s">
        <v>1037</v>
      </c>
      <c r="I909" s="141">
        <v>17</v>
      </c>
      <c r="J909" s="141">
        <v>22124.823529411766</v>
      </c>
      <c r="K909" s="238">
        <f t="shared" si="65"/>
        <v>376122</v>
      </c>
      <c r="L909" s="14" t="s">
        <v>155</v>
      </c>
      <c r="M909" s="292" t="s">
        <v>153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21"/>
    </row>
    <row r="910" spans="1:26" ht="15.75" customHeight="1">
      <c r="A910" s="125" t="str">
        <f>IF(B910&lt;&gt;"",IF(AND(B910&gt;=_TM1,B910&lt;=_TM2,OR(TH!L910="1111",TH!M910="1111")),TH!D910,""),"")</f>
        <v/>
      </c>
      <c r="B910" s="11">
        <f t="shared" si="63"/>
        <v>6</v>
      </c>
      <c r="C910" s="115">
        <f t="shared" si="66"/>
        <v>40723</v>
      </c>
      <c r="D910" s="115" t="s">
        <v>1068</v>
      </c>
      <c r="E910" s="115">
        <v>40723</v>
      </c>
      <c r="F910" s="116" t="s">
        <v>843</v>
      </c>
      <c r="G910" s="224"/>
      <c r="H910" s="242" t="s">
        <v>1037</v>
      </c>
      <c r="I910" s="141">
        <v>8</v>
      </c>
      <c r="J910" s="141">
        <v>25265.5</v>
      </c>
      <c r="K910" s="238">
        <f t="shared" si="65"/>
        <v>202124</v>
      </c>
      <c r="L910" s="14" t="s">
        <v>155</v>
      </c>
      <c r="M910" s="292" t="s">
        <v>153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21"/>
    </row>
    <row r="911" spans="1:26" ht="15.75" customHeight="1">
      <c r="A911" s="125" t="str">
        <f>IF(B911&lt;&gt;"",IF(AND(B911&gt;=_TM1,B911&lt;=_TM2,OR(TH!L911="1111",TH!M911="1111")),TH!D911,""),"")</f>
        <v/>
      </c>
      <c r="B911" s="11">
        <f t="shared" si="63"/>
        <v>6</v>
      </c>
      <c r="C911" s="115">
        <f t="shared" si="66"/>
        <v>40723</v>
      </c>
      <c r="D911" s="115" t="s">
        <v>1068</v>
      </c>
      <c r="E911" s="115">
        <v>40723</v>
      </c>
      <c r="F911" s="116" t="s">
        <v>833</v>
      </c>
      <c r="G911" s="224"/>
      <c r="H911" s="242" t="s">
        <v>1037</v>
      </c>
      <c r="I911" s="141">
        <v>38</v>
      </c>
      <c r="J911" s="141">
        <v>25265.5</v>
      </c>
      <c r="K911" s="238">
        <f t="shared" si="65"/>
        <v>960089</v>
      </c>
      <c r="L911" s="14" t="s">
        <v>155</v>
      </c>
      <c r="M911" s="292" t="s">
        <v>153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21"/>
    </row>
    <row r="912" spans="1:26" ht="15.75" customHeight="1">
      <c r="A912" s="125" t="str">
        <f>IF(B912&lt;&gt;"",IF(AND(B912&gt;=_TM1,B912&lt;=_TM2,OR(TH!L912="1111",TH!M912="1111")),TH!D912,""),"")</f>
        <v/>
      </c>
      <c r="B912" s="11">
        <f t="shared" si="63"/>
        <v>6</v>
      </c>
      <c r="C912" s="115">
        <f t="shared" si="66"/>
        <v>40723</v>
      </c>
      <c r="D912" s="115" t="s">
        <v>1068</v>
      </c>
      <c r="E912" s="115">
        <v>40723</v>
      </c>
      <c r="F912" s="116" t="s">
        <v>860</v>
      </c>
      <c r="G912" s="224"/>
      <c r="H912" s="242" t="s">
        <v>1037</v>
      </c>
      <c r="I912" s="141">
        <v>47</v>
      </c>
      <c r="J912" s="141">
        <v>19142.510638297874</v>
      </c>
      <c r="K912" s="238">
        <f t="shared" si="65"/>
        <v>899698</v>
      </c>
      <c r="L912" s="14" t="s">
        <v>155</v>
      </c>
      <c r="M912" s="292" t="s">
        <v>153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21"/>
    </row>
    <row r="913" spans="1:26" ht="15.75" customHeight="1">
      <c r="A913" s="125" t="str">
        <f>IF(B913&lt;&gt;"",IF(AND(B913&gt;=_TM1,B913&lt;=_TM2,OR(TH!L913="1111",TH!M913="1111")),TH!D913,""),"")</f>
        <v/>
      </c>
      <c r="B913" s="11">
        <f t="shared" si="63"/>
        <v>6</v>
      </c>
      <c r="C913" s="115">
        <f t="shared" si="66"/>
        <v>40723</v>
      </c>
      <c r="D913" s="115" t="s">
        <v>1068</v>
      </c>
      <c r="E913" s="115">
        <v>40723</v>
      </c>
      <c r="F913" s="116" t="s">
        <v>861</v>
      </c>
      <c r="G913" s="224"/>
      <c r="H913" s="242" t="s">
        <v>1037</v>
      </c>
      <c r="I913" s="141">
        <v>830</v>
      </c>
      <c r="J913" s="141">
        <v>13362.013253012048</v>
      </c>
      <c r="K913" s="238">
        <f t="shared" si="65"/>
        <v>11090471</v>
      </c>
      <c r="L913" s="14" t="s">
        <v>155</v>
      </c>
      <c r="M913" s="292" t="s">
        <v>153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21"/>
    </row>
    <row r="914" spans="1:26" ht="15.75" customHeight="1">
      <c r="A914" s="125" t="str">
        <f>IF(B914&lt;&gt;"",IF(AND(B914&gt;=_TM1,B914&lt;=_TM2,OR(TH!L914="1111",TH!M914="1111")),TH!D914,""),"")</f>
        <v/>
      </c>
      <c r="B914" s="11">
        <f t="shared" si="63"/>
        <v>6</v>
      </c>
      <c r="C914" s="115">
        <f t="shared" si="66"/>
        <v>40723</v>
      </c>
      <c r="D914" s="115" t="s">
        <v>1068</v>
      </c>
      <c r="E914" s="115">
        <v>40723</v>
      </c>
      <c r="F914" s="116" t="s">
        <v>727</v>
      </c>
      <c r="G914" s="224"/>
      <c r="H914" s="242" t="s">
        <v>1037</v>
      </c>
      <c r="I914" s="141">
        <v>738</v>
      </c>
      <c r="J914" s="141">
        <v>13362.012195121952</v>
      </c>
      <c r="K914" s="238">
        <f t="shared" si="65"/>
        <v>9861165</v>
      </c>
      <c r="L914" s="14" t="s">
        <v>155</v>
      </c>
      <c r="M914" s="292" t="s">
        <v>153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21"/>
    </row>
    <row r="915" spans="1:26" ht="15.75" customHeight="1">
      <c r="A915" s="125" t="str">
        <f>IF(B915&lt;&gt;"",IF(AND(B915&gt;=_TM1,B915&lt;=_TM2,OR(TH!L915="1111",TH!M915="1111")),TH!D915,""),"")</f>
        <v/>
      </c>
      <c r="B915" s="11">
        <f t="shared" si="63"/>
        <v>6</v>
      </c>
      <c r="C915" s="115">
        <f t="shared" si="66"/>
        <v>40723</v>
      </c>
      <c r="D915" s="115" t="s">
        <v>1068</v>
      </c>
      <c r="E915" s="115">
        <v>40723</v>
      </c>
      <c r="F915" s="116" t="s">
        <v>731</v>
      </c>
      <c r="G915" s="224"/>
      <c r="H915" s="242" t="s">
        <v>1037</v>
      </c>
      <c r="I915" s="141">
        <v>2</v>
      </c>
      <c r="J915" s="141">
        <v>9590.5</v>
      </c>
      <c r="K915" s="238">
        <f t="shared" si="65"/>
        <v>19181</v>
      </c>
      <c r="L915" s="14" t="s">
        <v>155</v>
      </c>
      <c r="M915" s="292" t="s">
        <v>153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21"/>
    </row>
    <row r="916" spans="1:26" ht="15.75" customHeight="1">
      <c r="A916" s="125" t="str">
        <f>IF(B916&lt;&gt;"",IF(AND(B916&gt;=_TM1,B916&lt;=_TM2,OR(TH!L916="1111",TH!M916="1111")),TH!D916,""),"")</f>
        <v/>
      </c>
      <c r="B916" s="11">
        <f t="shared" si="63"/>
        <v>6</v>
      </c>
      <c r="C916" s="115">
        <f t="shared" si="66"/>
        <v>40723</v>
      </c>
      <c r="D916" s="115" t="s">
        <v>1068</v>
      </c>
      <c r="E916" s="115">
        <v>40723</v>
      </c>
      <c r="F916" s="116" t="s">
        <v>862</v>
      </c>
      <c r="G916" s="224"/>
      <c r="H916" s="242" t="s">
        <v>1037</v>
      </c>
      <c r="I916" s="141">
        <v>2</v>
      </c>
      <c r="J916" s="141">
        <v>10554.5</v>
      </c>
      <c r="K916" s="238">
        <f t="shared" si="65"/>
        <v>21109</v>
      </c>
      <c r="L916" s="14" t="s">
        <v>155</v>
      </c>
      <c r="M916" s="292" t="s">
        <v>153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21"/>
    </row>
    <row r="917" spans="1:26" ht="15.75" customHeight="1">
      <c r="A917" s="125" t="str">
        <f>IF(B917&lt;&gt;"",IF(AND(B917&gt;=_TM1,B917&lt;=_TM2,OR(TH!L917="1111",TH!M917="1111")),TH!D917,""),"")</f>
        <v/>
      </c>
      <c r="B917" s="11">
        <f t="shared" si="63"/>
        <v>6</v>
      </c>
      <c r="C917" s="115">
        <f t="shared" si="66"/>
        <v>40723</v>
      </c>
      <c r="D917" s="115" t="s">
        <v>1068</v>
      </c>
      <c r="E917" s="115">
        <v>40723</v>
      </c>
      <c r="F917" s="116" t="s">
        <v>862</v>
      </c>
      <c r="G917" s="224"/>
      <c r="H917" s="242" t="s">
        <v>1037</v>
      </c>
      <c r="I917" s="141">
        <v>21</v>
      </c>
      <c r="J917" s="141">
        <v>17305.523809523809</v>
      </c>
      <c r="K917" s="238">
        <f t="shared" si="65"/>
        <v>363416</v>
      </c>
      <c r="L917" s="14" t="s">
        <v>155</v>
      </c>
      <c r="M917" s="292" t="s">
        <v>153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21"/>
    </row>
    <row r="918" spans="1:26" ht="15.75" customHeight="1">
      <c r="A918" s="125" t="str">
        <f>IF(B918&lt;&gt;"",IF(AND(B918&gt;=_TM1,B918&lt;=_TM2,OR(TH!L918="1111",TH!M918="1111")),TH!D918,""),"")</f>
        <v/>
      </c>
      <c r="B918" s="11">
        <f t="shared" ref="B918:B981" si="67">IF(C918&lt;&gt;"",MONTH(C918),"")</f>
        <v>6</v>
      </c>
      <c r="C918" s="115">
        <f t="shared" si="66"/>
        <v>40723</v>
      </c>
      <c r="D918" s="115" t="s">
        <v>1069</v>
      </c>
      <c r="E918" s="115">
        <v>40723</v>
      </c>
      <c r="F918" s="116" t="s">
        <v>869</v>
      </c>
      <c r="G918" s="224"/>
      <c r="H918" s="242" t="s">
        <v>1037</v>
      </c>
      <c r="I918" s="141">
        <v>33</v>
      </c>
      <c r="J918" s="141">
        <v>17305.515151515152</v>
      </c>
      <c r="K918" s="238">
        <f t="shared" si="65"/>
        <v>571082</v>
      </c>
      <c r="L918" s="14" t="s">
        <v>155</v>
      </c>
      <c r="M918" s="292" t="s">
        <v>153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21"/>
    </row>
    <row r="919" spans="1:26" ht="15.75" customHeight="1">
      <c r="A919" s="125" t="str">
        <f>IF(B919&lt;&gt;"",IF(AND(B919&gt;=_TM1,B919&lt;=_TM2,OR(TH!L919="1111",TH!M919="1111")),TH!D919,""),"")</f>
        <v/>
      </c>
      <c r="B919" s="11">
        <f t="shared" si="67"/>
        <v>6</v>
      </c>
      <c r="C919" s="115">
        <f t="shared" si="66"/>
        <v>40723</v>
      </c>
      <c r="D919" s="115" t="s">
        <v>1069</v>
      </c>
      <c r="E919" s="115">
        <v>40723</v>
      </c>
      <c r="F919" s="116" t="s">
        <v>718</v>
      </c>
      <c r="G919" s="224"/>
      <c r="H919" s="242" t="s">
        <v>1037</v>
      </c>
      <c r="I919" s="141">
        <v>390</v>
      </c>
      <c r="J919" s="141">
        <v>18233.102564102563</v>
      </c>
      <c r="K919" s="238">
        <f t="shared" si="65"/>
        <v>7110910</v>
      </c>
      <c r="L919" s="14" t="s">
        <v>155</v>
      </c>
      <c r="M919" s="292" t="s">
        <v>153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21"/>
    </row>
    <row r="920" spans="1:26" ht="15.75" customHeight="1">
      <c r="A920" s="125" t="str">
        <f>IF(B920&lt;&gt;"",IF(AND(B920&gt;=_TM1,B920&lt;=_TM2,OR(TH!L920="1111",TH!M920="1111")),TH!D920,""),"")</f>
        <v/>
      </c>
      <c r="B920" s="11">
        <f t="shared" si="67"/>
        <v>6</v>
      </c>
      <c r="C920" s="115">
        <f t="shared" si="66"/>
        <v>40723</v>
      </c>
      <c r="D920" s="115" t="s">
        <v>1069</v>
      </c>
      <c r="E920" s="115">
        <v>40723</v>
      </c>
      <c r="F920" s="116" t="s">
        <v>722</v>
      </c>
      <c r="G920" s="224"/>
      <c r="H920" s="242" t="s">
        <v>1037</v>
      </c>
      <c r="I920" s="141">
        <v>482</v>
      </c>
      <c r="J920" s="141">
        <v>8566.5124481327803</v>
      </c>
      <c r="K920" s="238">
        <f t="shared" si="65"/>
        <v>4129059</v>
      </c>
      <c r="L920" s="14" t="s">
        <v>155</v>
      </c>
      <c r="M920" s="292" t="s">
        <v>153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21"/>
    </row>
    <row r="921" spans="1:26" ht="15.75" customHeight="1">
      <c r="A921" s="125" t="str">
        <f>IF(B921&lt;&gt;"",IF(AND(B921&gt;=_TM1,B921&lt;=_TM2,OR(TH!L921="1111",TH!M921="1111")),TH!D921,""),"")</f>
        <v/>
      </c>
      <c r="B921" s="11">
        <f t="shared" si="67"/>
        <v>6</v>
      </c>
      <c r="C921" s="115">
        <f t="shared" si="66"/>
        <v>40723</v>
      </c>
      <c r="D921" s="115" t="s">
        <v>1069</v>
      </c>
      <c r="E921" s="115">
        <v>40723</v>
      </c>
      <c r="F921" s="116" t="s">
        <v>862</v>
      </c>
      <c r="G921" s="224"/>
      <c r="H921" s="242" t="s">
        <v>1037</v>
      </c>
      <c r="I921" s="141">
        <v>56</v>
      </c>
      <c r="J921" s="141">
        <v>15438.517857142857</v>
      </c>
      <c r="K921" s="238">
        <f t="shared" si="65"/>
        <v>864557</v>
      </c>
      <c r="L921" s="14" t="s">
        <v>155</v>
      </c>
      <c r="M921" s="292" t="s">
        <v>153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21"/>
    </row>
    <row r="922" spans="1:26" ht="15.75" customHeight="1">
      <c r="A922" s="125" t="str">
        <f>IF(B922&lt;&gt;"",IF(AND(B922&gt;=_TM1,B922&lt;=_TM2,OR(TH!L922="1111",TH!M922="1111")),TH!D922,""),"")</f>
        <v/>
      </c>
      <c r="B922" s="11">
        <f t="shared" si="67"/>
        <v>6</v>
      </c>
      <c r="C922" s="115">
        <f t="shared" si="66"/>
        <v>40723</v>
      </c>
      <c r="D922" s="115" t="s">
        <v>1069</v>
      </c>
      <c r="E922" s="115">
        <v>40723</v>
      </c>
      <c r="F922" s="116" t="s">
        <v>870</v>
      </c>
      <c r="G922" s="224"/>
      <c r="H922" s="242" t="s">
        <v>1037</v>
      </c>
      <c r="I922" s="141">
        <v>203</v>
      </c>
      <c r="J922" s="141">
        <v>7385.5123152709357</v>
      </c>
      <c r="K922" s="238">
        <f t="shared" si="65"/>
        <v>1499259</v>
      </c>
      <c r="L922" s="14" t="s">
        <v>155</v>
      </c>
      <c r="M922" s="292" t="s">
        <v>153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21"/>
    </row>
    <row r="923" spans="1:26" ht="15.75" customHeight="1">
      <c r="A923" s="125" t="str">
        <f>IF(B923&lt;&gt;"",IF(AND(B923&gt;=_TM1,B923&lt;=_TM2,OR(TH!L923="1111",TH!M923="1111")),TH!D923,""),"")</f>
        <v/>
      </c>
      <c r="B923" s="11">
        <f t="shared" si="67"/>
        <v>6</v>
      </c>
      <c r="C923" s="115">
        <f t="shared" si="66"/>
        <v>40723</v>
      </c>
      <c r="D923" s="115" t="s">
        <v>1069</v>
      </c>
      <c r="E923" s="115">
        <v>40723</v>
      </c>
      <c r="F923" s="116" t="s">
        <v>871</v>
      </c>
      <c r="G923" s="224"/>
      <c r="H923" s="242" t="s">
        <v>1037</v>
      </c>
      <c r="I923" s="141">
        <v>1</v>
      </c>
      <c r="J923" s="141">
        <v>5809</v>
      </c>
      <c r="K923" s="238">
        <f t="shared" si="65"/>
        <v>5809</v>
      </c>
      <c r="L923" s="14" t="s">
        <v>155</v>
      </c>
      <c r="M923" s="292" t="s">
        <v>153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21"/>
    </row>
    <row r="924" spans="1:26" ht="15.75" customHeight="1">
      <c r="A924" s="125" t="str">
        <f>IF(B924&lt;&gt;"",IF(AND(B924&gt;=_TM1,B924&lt;=_TM2,OR(TH!L924="1111",TH!M924="1111")),TH!D924,""),"")</f>
        <v/>
      </c>
      <c r="B924" s="11">
        <f t="shared" si="67"/>
        <v>6</v>
      </c>
      <c r="C924" s="115">
        <f t="shared" si="66"/>
        <v>40723</v>
      </c>
      <c r="D924" s="115" t="s">
        <v>1069</v>
      </c>
      <c r="E924" s="115">
        <v>40723</v>
      </c>
      <c r="F924" s="116" t="s">
        <v>724</v>
      </c>
      <c r="G924" s="224"/>
      <c r="H924" s="242" t="s">
        <v>1037</v>
      </c>
      <c r="I924" s="141">
        <v>1</v>
      </c>
      <c r="J924" s="141">
        <v>9591</v>
      </c>
      <c r="K924" s="238">
        <f t="shared" si="65"/>
        <v>9591</v>
      </c>
      <c r="L924" s="14" t="s">
        <v>155</v>
      </c>
      <c r="M924" s="292" t="s">
        <v>153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21"/>
    </row>
    <row r="925" spans="1:26" ht="15.75" customHeight="1">
      <c r="A925" s="125" t="str">
        <f>IF(B925&lt;&gt;"",IF(AND(B925&gt;=_TM1,B925&lt;=_TM2,OR(TH!L925="1111",TH!M925="1111")),TH!D925,""),"")</f>
        <v/>
      </c>
      <c r="B925" s="11">
        <f t="shared" si="67"/>
        <v>6</v>
      </c>
      <c r="C925" s="115">
        <f t="shared" si="66"/>
        <v>40723</v>
      </c>
      <c r="D925" s="115" t="s">
        <v>1069</v>
      </c>
      <c r="E925" s="115">
        <v>40723</v>
      </c>
      <c r="F925" s="114" t="s">
        <v>872</v>
      </c>
      <c r="G925" s="224"/>
      <c r="H925" s="242" t="s">
        <v>1037</v>
      </c>
      <c r="I925" s="141">
        <v>2</v>
      </c>
      <c r="J925" s="141">
        <v>5951.5</v>
      </c>
      <c r="K925" s="238">
        <f t="shared" si="65"/>
        <v>11903</v>
      </c>
      <c r="L925" s="14" t="s">
        <v>155</v>
      </c>
      <c r="M925" s="292" t="s">
        <v>153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21"/>
    </row>
    <row r="926" spans="1:26" ht="15.75" customHeight="1">
      <c r="A926" s="125" t="str">
        <f>IF(B926&lt;&gt;"",IF(AND(B926&gt;=_TM1,B926&lt;=_TM2,OR(TH!L926="1111",TH!M926="1111")),TH!D926,""),"")</f>
        <v/>
      </c>
      <c r="B926" s="11">
        <f t="shared" si="67"/>
        <v>6</v>
      </c>
      <c r="C926" s="115">
        <f t="shared" si="66"/>
        <v>40723</v>
      </c>
      <c r="D926" s="115" t="s">
        <v>1069</v>
      </c>
      <c r="E926" s="115">
        <v>40723</v>
      </c>
      <c r="F926" s="116" t="s">
        <v>735</v>
      </c>
      <c r="G926" s="224"/>
      <c r="H926" s="242" t="s">
        <v>1037</v>
      </c>
      <c r="I926" s="141">
        <v>1</v>
      </c>
      <c r="J926" s="141">
        <v>14807</v>
      </c>
      <c r="K926" s="238">
        <f t="shared" si="65"/>
        <v>14807</v>
      </c>
      <c r="L926" s="14" t="s">
        <v>155</v>
      </c>
      <c r="M926" s="292" t="s">
        <v>153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21"/>
    </row>
    <row r="927" spans="1:26" ht="15.75" customHeight="1">
      <c r="A927" s="125" t="str">
        <f>IF(B927&lt;&gt;"",IF(AND(B927&gt;=_TM1,B927&lt;=_TM2,OR(TH!L927="1111",TH!M927="1111")),TH!D927,""),"")</f>
        <v/>
      </c>
      <c r="B927" s="11">
        <f t="shared" si="67"/>
        <v>6</v>
      </c>
      <c r="C927" s="115">
        <f t="shared" si="66"/>
        <v>40723</v>
      </c>
      <c r="D927" s="115" t="s">
        <v>1070</v>
      </c>
      <c r="E927" s="115">
        <v>40723</v>
      </c>
      <c r="F927" s="116" t="s">
        <v>873</v>
      </c>
      <c r="G927" s="224"/>
      <c r="H927" s="242" t="s">
        <v>1037</v>
      </c>
      <c r="I927" s="141">
        <v>9</v>
      </c>
      <c r="J927" s="141">
        <v>14806.555555555555</v>
      </c>
      <c r="K927" s="238">
        <f t="shared" ref="K927:K958" si="68">ROUND(I927*J927,0)</f>
        <v>133259</v>
      </c>
      <c r="L927" s="14" t="s">
        <v>155</v>
      </c>
      <c r="M927" s="292" t="s">
        <v>153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21"/>
    </row>
    <row r="928" spans="1:26" ht="15.75" customHeight="1">
      <c r="A928" s="125" t="str">
        <f>IF(B928&lt;&gt;"",IF(AND(B928&gt;=_TM1,B928&lt;=_TM2,OR(TH!L928="1111",TH!M928="1111")),TH!D928,""),"")</f>
        <v/>
      </c>
      <c r="B928" s="11">
        <f t="shared" si="67"/>
        <v>6</v>
      </c>
      <c r="C928" s="115">
        <f t="shared" si="66"/>
        <v>40723</v>
      </c>
      <c r="D928" s="115" t="s">
        <v>1070</v>
      </c>
      <c r="E928" s="12">
        <v>40723</v>
      </c>
      <c r="F928" s="116" t="s">
        <v>874</v>
      </c>
      <c r="G928" s="15"/>
      <c r="H928" s="242" t="s">
        <v>1037</v>
      </c>
      <c r="I928" s="316">
        <v>291</v>
      </c>
      <c r="J928" s="306">
        <v>7483.5120274914088</v>
      </c>
      <c r="K928" s="238">
        <f t="shared" si="68"/>
        <v>2177702</v>
      </c>
      <c r="L928" s="14" t="s">
        <v>155</v>
      </c>
      <c r="M928" s="292" t="s">
        <v>153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21"/>
    </row>
    <row r="929" spans="1:26" ht="15.75" customHeight="1">
      <c r="A929" s="125" t="str">
        <f>IF(B929&lt;&gt;"",IF(AND(B929&gt;=_TM1,B929&lt;=_TM2,OR(TH!L929="1111",TH!M929="1111")),TH!D929,""),"")</f>
        <v/>
      </c>
      <c r="B929" s="11">
        <f t="shared" si="67"/>
        <v>6</v>
      </c>
      <c r="C929" s="115">
        <f t="shared" si="66"/>
        <v>40723</v>
      </c>
      <c r="D929" s="115" t="s">
        <v>1070</v>
      </c>
      <c r="E929" s="12">
        <v>40723</v>
      </c>
      <c r="F929" s="15" t="s">
        <v>862</v>
      </c>
      <c r="G929" s="15"/>
      <c r="H929" s="242" t="s">
        <v>1037</v>
      </c>
      <c r="I929" s="316">
        <v>1</v>
      </c>
      <c r="J929" s="306">
        <v>7484</v>
      </c>
      <c r="K929" s="238">
        <f t="shared" si="68"/>
        <v>7484</v>
      </c>
      <c r="L929" s="14" t="s">
        <v>155</v>
      </c>
      <c r="M929" s="292" t="s">
        <v>153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21"/>
    </row>
    <row r="930" spans="1:26" ht="15.75" customHeight="1">
      <c r="A930" s="125" t="str">
        <f>IF(B930&lt;&gt;"",IF(AND(B930&gt;=_TM1,B930&lt;=_TM2,OR(TH!L930="1111",TH!M930="1111")),TH!D930,""),"")</f>
        <v/>
      </c>
      <c r="B930" s="11">
        <f t="shared" si="67"/>
        <v>6</v>
      </c>
      <c r="C930" s="115">
        <f t="shared" si="66"/>
        <v>40723</v>
      </c>
      <c r="D930" s="115" t="s">
        <v>1070</v>
      </c>
      <c r="E930" s="12">
        <v>40723</v>
      </c>
      <c r="F930" s="114" t="s">
        <v>717</v>
      </c>
      <c r="G930" s="15"/>
      <c r="H930" s="242" t="s">
        <v>1037</v>
      </c>
      <c r="I930" s="316">
        <v>119</v>
      </c>
      <c r="J930" s="306">
        <v>17439.512605042019</v>
      </c>
      <c r="K930" s="238">
        <f t="shared" si="68"/>
        <v>2075302</v>
      </c>
      <c r="L930" s="14" t="s">
        <v>155</v>
      </c>
      <c r="M930" s="292" t="s">
        <v>153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21"/>
    </row>
    <row r="931" spans="1:26" ht="15.75" customHeight="1">
      <c r="A931" s="125" t="str">
        <f>IF(B931&lt;&gt;"",IF(AND(B931&gt;=_TM1,B931&lt;=_TM2,OR(TH!L931="1111",TH!M931="1111")),TH!D931,""),"")</f>
        <v/>
      </c>
      <c r="B931" s="11">
        <f t="shared" si="67"/>
        <v>6</v>
      </c>
      <c r="C931" s="115">
        <f t="shared" si="66"/>
        <v>40723</v>
      </c>
      <c r="D931" s="115" t="s">
        <v>1070</v>
      </c>
      <c r="E931" s="12">
        <v>40723</v>
      </c>
      <c r="F931" s="154" t="s">
        <v>852</v>
      </c>
      <c r="G931" s="15"/>
      <c r="H931" s="242" t="s">
        <v>1037</v>
      </c>
      <c r="I931" s="316">
        <v>304</v>
      </c>
      <c r="J931" s="306">
        <v>12545.513157894737</v>
      </c>
      <c r="K931" s="238">
        <f t="shared" si="68"/>
        <v>3813836</v>
      </c>
      <c r="L931" s="14" t="s">
        <v>155</v>
      </c>
      <c r="M931" s="292" t="s">
        <v>153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21"/>
    </row>
    <row r="932" spans="1:26" ht="15.75" customHeight="1">
      <c r="A932" s="125" t="str">
        <f>IF(B932&lt;&gt;"",IF(AND(B932&gt;=_TM1,B932&lt;=_TM2,OR(TH!L932="1111",TH!M932="1111")),TH!D932,""),"")</f>
        <v/>
      </c>
      <c r="B932" s="11">
        <f t="shared" si="67"/>
        <v>6</v>
      </c>
      <c r="C932" s="115">
        <f t="shared" si="66"/>
        <v>40723</v>
      </c>
      <c r="D932" s="115" t="s">
        <v>1070</v>
      </c>
      <c r="E932" s="12">
        <v>40723</v>
      </c>
      <c r="F932" s="114" t="s">
        <v>851</v>
      </c>
      <c r="G932" s="15"/>
      <c r="H932" s="242" t="s">
        <v>1037</v>
      </c>
      <c r="I932" s="316">
        <v>65</v>
      </c>
      <c r="J932" s="306">
        <v>8499.5076923076922</v>
      </c>
      <c r="K932" s="238">
        <f t="shared" si="68"/>
        <v>552468</v>
      </c>
      <c r="L932" s="14" t="s">
        <v>155</v>
      </c>
      <c r="M932" s="292" t="s">
        <v>153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21"/>
    </row>
    <row r="933" spans="1:26" ht="15.75" customHeight="1">
      <c r="A933" s="125" t="str">
        <f>IF(B933&lt;&gt;"",IF(AND(B933&gt;=_TM1,B933&lt;=_TM2,OR(TH!L933="1111",TH!M933="1111")),TH!D933,""),"")</f>
        <v/>
      </c>
      <c r="B933" s="11">
        <f t="shared" si="67"/>
        <v>6</v>
      </c>
      <c r="C933" s="115">
        <f t="shared" si="66"/>
        <v>40723</v>
      </c>
      <c r="D933" s="115" t="s">
        <v>1070</v>
      </c>
      <c r="E933" s="12">
        <v>40723</v>
      </c>
      <c r="F933" s="154" t="s">
        <v>873</v>
      </c>
      <c r="G933" s="15"/>
      <c r="H933" s="242" t="s">
        <v>1037</v>
      </c>
      <c r="I933" s="316">
        <v>32</v>
      </c>
      <c r="J933" s="306">
        <v>14806.5</v>
      </c>
      <c r="K933" s="238">
        <f t="shared" si="68"/>
        <v>473808</v>
      </c>
      <c r="L933" s="14" t="s">
        <v>155</v>
      </c>
      <c r="M933" s="292" t="s">
        <v>153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21"/>
    </row>
    <row r="934" spans="1:26" ht="15.75" customHeight="1">
      <c r="A934" s="125" t="str">
        <f>IF(B934&lt;&gt;"",IF(AND(B934&gt;=_TM1,B934&lt;=_TM2,OR(TH!L934="1111",TH!M934="1111")),TH!D934,""),"")</f>
        <v/>
      </c>
      <c r="B934" s="11">
        <f t="shared" si="67"/>
        <v>6</v>
      </c>
      <c r="C934" s="115">
        <f t="shared" si="66"/>
        <v>40723</v>
      </c>
      <c r="D934" s="115" t="s">
        <v>1070</v>
      </c>
      <c r="E934" s="12">
        <v>40723</v>
      </c>
      <c r="F934" s="154" t="s">
        <v>726</v>
      </c>
      <c r="G934" s="15"/>
      <c r="H934" s="242" t="s">
        <v>1037</v>
      </c>
      <c r="I934" s="316">
        <v>5</v>
      </c>
      <c r="J934" s="306">
        <v>15586</v>
      </c>
      <c r="K934" s="238">
        <f t="shared" si="68"/>
        <v>77930</v>
      </c>
      <c r="L934" s="14" t="s">
        <v>155</v>
      </c>
      <c r="M934" s="292" t="s">
        <v>153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21"/>
    </row>
    <row r="935" spans="1:26" ht="15.75" customHeight="1">
      <c r="A935" s="125" t="str">
        <f>IF(B935&lt;&gt;"",IF(AND(B935&gt;=_TM1,B935&lt;=_TM2,OR(TH!L935="1111",TH!M935="1111")),TH!D935,""),"")</f>
        <v/>
      </c>
      <c r="B935" s="11">
        <f t="shared" si="67"/>
        <v>6</v>
      </c>
      <c r="C935" s="115">
        <f t="shared" si="66"/>
        <v>40723</v>
      </c>
      <c r="D935" s="115" t="s">
        <v>1070</v>
      </c>
      <c r="E935" s="12">
        <v>40723</v>
      </c>
      <c r="F935" s="154" t="s">
        <v>861</v>
      </c>
      <c r="G935" s="15"/>
      <c r="H935" s="242" t="s">
        <v>1037</v>
      </c>
      <c r="I935" s="316">
        <v>80</v>
      </c>
      <c r="J935" s="306">
        <v>13362.012500000001</v>
      </c>
      <c r="K935" s="238">
        <f t="shared" si="68"/>
        <v>1068961</v>
      </c>
      <c r="L935" s="14" t="s">
        <v>155</v>
      </c>
      <c r="M935" s="292" t="s">
        <v>153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21"/>
    </row>
    <row r="936" spans="1:26" ht="15.75" customHeight="1">
      <c r="A936" s="125" t="str">
        <f>IF(B936&lt;&gt;"",IF(AND(B936&gt;=_TM1,B936&lt;=_TM2,OR(TH!L936="1111",TH!M936="1111")),TH!D936,""),"")</f>
        <v/>
      </c>
      <c r="B936" s="11">
        <f t="shared" si="67"/>
        <v>6</v>
      </c>
      <c r="C936" s="115">
        <f t="shared" si="66"/>
        <v>40723</v>
      </c>
      <c r="D936" s="115" t="s">
        <v>1071</v>
      </c>
      <c r="E936" s="12">
        <v>40723</v>
      </c>
      <c r="F936" s="114" t="s">
        <v>722</v>
      </c>
      <c r="G936" s="15"/>
      <c r="H936" s="242" t="s">
        <v>1037</v>
      </c>
      <c r="I936" s="316">
        <v>49</v>
      </c>
      <c r="J936" s="306">
        <v>8499.5102040816328</v>
      </c>
      <c r="K936" s="238">
        <f t="shared" si="68"/>
        <v>416476</v>
      </c>
      <c r="L936" s="14" t="s">
        <v>155</v>
      </c>
      <c r="M936" s="292" t="s">
        <v>153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21"/>
    </row>
    <row r="937" spans="1:26" ht="15.75" customHeight="1">
      <c r="A937" s="125" t="str">
        <f>IF(B937&lt;&gt;"",IF(AND(B937&gt;=_TM1,B937&lt;=_TM2,OR(TH!L937="1111",TH!M937="1111")),TH!D937,""),"")</f>
        <v/>
      </c>
      <c r="B937" s="11">
        <f t="shared" si="67"/>
        <v>6</v>
      </c>
      <c r="C937" s="115">
        <f t="shared" si="66"/>
        <v>40723</v>
      </c>
      <c r="D937" s="115" t="s">
        <v>1071</v>
      </c>
      <c r="E937" s="12">
        <v>40723</v>
      </c>
      <c r="F937" s="114" t="s">
        <v>734</v>
      </c>
      <c r="G937" s="15"/>
      <c r="H937" s="242" t="s">
        <v>1037</v>
      </c>
      <c r="I937" s="316">
        <v>2</v>
      </c>
      <c r="J937" s="306">
        <v>5951.5</v>
      </c>
      <c r="K937" s="238">
        <f t="shared" si="68"/>
        <v>11903</v>
      </c>
      <c r="L937" s="14" t="s">
        <v>155</v>
      </c>
      <c r="M937" s="292" t="s">
        <v>153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21"/>
    </row>
    <row r="938" spans="1:26" ht="15.75" customHeight="1">
      <c r="A938" s="125" t="str">
        <f>IF(B938&lt;&gt;"",IF(AND(B938&gt;=_TM1,B938&lt;=_TM2,OR(TH!L938="1111",TH!M938="1111")),TH!D938,""),"")</f>
        <v/>
      </c>
      <c r="B938" s="11">
        <f t="shared" si="67"/>
        <v>6</v>
      </c>
      <c r="C938" s="115">
        <f t="shared" si="66"/>
        <v>40723</v>
      </c>
      <c r="D938" s="115" t="s">
        <v>1071</v>
      </c>
      <c r="E938" s="12">
        <v>40723</v>
      </c>
      <c r="F938" s="15" t="s">
        <v>876</v>
      </c>
      <c r="G938" s="15"/>
      <c r="H938" s="242" t="s">
        <v>1037</v>
      </c>
      <c r="I938" s="155">
        <v>2</v>
      </c>
      <c r="J938" s="307">
        <v>9590.5</v>
      </c>
      <c r="K938" s="238">
        <f t="shared" si="68"/>
        <v>19181</v>
      </c>
      <c r="L938" s="14" t="s">
        <v>155</v>
      </c>
      <c r="M938" s="292" t="s">
        <v>153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21"/>
    </row>
    <row r="939" spans="1:26" ht="15.75" customHeight="1">
      <c r="A939" s="125" t="str">
        <f>IF(B939&lt;&gt;"",IF(AND(B939&gt;=_TM1,B939&lt;=_TM2,OR(TH!L939="1111",TH!M939="1111")),TH!D939,""),"")</f>
        <v/>
      </c>
      <c r="B939" s="11">
        <f t="shared" si="67"/>
        <v>6</v>
      </c>
      <c r="C939" s="115">
        <f t="shared" si="66"/>
        <v>40723</v>
      </c>
      <c r="D939" s="115" t="s">
        <v>1071</v>
      </c>
      <c r="E939" s="12">
        <v>40723</v>
      </c>
      <c r="F939" s="116" t="s">
        <v>874</v>
      </c>
      <c r="G939" s="15"/>
      <c r="H939" s="242" t="s">
        <v>1037</v>
      </c>
      <c r="I939" s="155">
        <v>5</v>
      </c>
      <c r="J939" s="307">
        <v>7483.6</v>
      </c>
      <c r="K939" s="238">
        <f t="shared" si="68"/>
        <v>37418</v>
      </c>
      <c r="L939" s="14" t="s">
        <v>155</v>
      </c>
      <c r="M939" s="292" t="s">
        <v>153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21"/>
    </row>
    <row r="940" spans="1:26" ht="15.75" customHeight="1">
      <c r="A940" s="125" t="str">
        <f>IF(B940&lt;&gt;"",IF(AND(B940&gt;=_TM1,B940&lt;=_TM2,OR(TH!L940="1111",TH!M940="1111")),TH!D940,""),"")</f>
        <v/>
      </c>
      <c r="B940" s="11">
        <f t="shared" si="67"/>
        <v>6</v>
      </c>
      <c r="C940" s="115">
        <f t="shared" si="66"/>
        <v>40723</v>
      </c>
      <c r="D940" s="115" t="s">
        <v>1071</v>
      </c>
      <c r="E940" s="12">
        <v>40723</v>
      </c>
      <c r="F940" s="15" t="s">
        <v>731</v>
      </c>
      <c r="G940" s="15"/>
      <c r="H940" s="242" t="s">
        <v>1037</v>
      </c>
      <c r="I940" s="155">
        <v>1</v>
      </c>
      <c r="J940" s="307">
        <v>9591</v>
      </c>
      <c r="K940" s="238">
        <f t="shared" si="68"/>
        <v>9591</v>
      </c>
      <c r="L940" s="14" t="s">
        <v>155</v>
      </c>
      <c r="M940" s="292" t="s">
        <v>153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21"/>
    </row>
    <row r="941" spans="1:26" ht="15.75" customHeight="1">
      <c r="A941" s="125" t="str">
        <f>IF(B941&lt;&gt;"",IF(AND(B941&gt;=_TM1,B941&lt;=_TM2,OR(TH!L941="1111",TH!M941="1111")),TH!D941,""),"")</f>
        <v/>
      </c>
      <c r="B941" s="11">
        <f t="shared" si="67"/>
        <v>6</v>
      </c>
      <c r="C941" s="115">
        <f t="shared" ref="C941:C972" si="69">E941</f>
        <v>40723</v>
      </c>
      <c r="D941" s="115" t="s">
        <v>1071</v>
      </c>
      <c r="E941" s="12">
        <v>40723</v>
      </c>
      <c r="F941" s="114" t="s">
        <v>733</v>
      </c>
      <c r="G941" s="15"/>
      <c r="H941" s="242" t="s">
        <v>1037</v>
      </c>
      <c r="I941" s="155">
        <v>1</v>
      </c>
      <c r="J941" s="307">
        <v>5809</v>
      </c>
      <c r="K941" s="238">
        <f t="shared" si="68"/>
        <v>5809</v>
      </c>
      <c r="L941" s="14" t="s">
        <v>155</v>
      </c>
      <c r="M941" s="292" t="s">
        <v>153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21"/>
    </row>
    <row r="942" spans="1:26" ht="15.75" customHeight="1">
      <c r="A942" s="125" t="str">
        <f>IF(B942&lt;&gt;"",IF(AND(B942&gt;=_TM1,B942&lt;=_TM2,OR(TH!L942="1111",TH!M942="1111")),TH!D942,""),"")</f>
        <v/>
      </c>
      <c r="B942" s="11">
        <f t="shared" si="67"/>
        <v>6</v>
      </c>
      <c r="C942" s="115">
        <f t="shared" si="69"/>
        <v>40723</v>
      </c>
      <c r="D942" s="115" t="s">
        <v>1071</v>
      </c>
      <c r="E942" s="12">
        <v>40723</v>
      </c>
      <c r="F942" s="114" t="s">
        <v>729</v>
      </c>
      <c r="G942" s="15"/>
      <c r="H942" s="242" t="s">
        <v>1037</v>
      </c>
      <c r="I942" s="155">
        <v>3</v>
      </c>
      <c r="J942" s="307">
        <v>15438.666666666666</v>
      </c>
      <c r="K942" s="238">
        <f t="shared" si="68"/>
        <v>46316</v>
      </c>
      <c r="L942" s="14" t="s">
        <v>155</v>
      </c>
      <c r="M942" s="292" t="s">
        <v>153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21"/>
    </row>
    <row r="943" spans="1:26" ht="15.75" customHeight="1">
      <c r="A943" s="125" t="str">
        <f>IF(B943&lt;&gt;"",IF(AND(B943&gt;=_TM1,B943&lt;=_TM2,OR(TH!L943="1111",TH!M943="1111")),TH!D943,""),"")</f>
        <v/>
      </c>
      <c r="B943" s="11">
        <f t="shared" si="67"/>
        <v>6</v>
      </c>
      <c r="C943" s="115">
        <f t="shared" si="69"/>
        <v>40723</v>
      </c>
      <c r="D943" s="115" t="s">
        <v>1071</v>
      </c>
      <c r="E943" s="12">
        <v>40723</v>
      </c>
      <c r="F943" s="15" t="s">
        <v>723</v>
      </c>
      <c r="G943" s="15"/>
      <c r="H943" s="242" t="s">
        <v>1037</v>
      </c>
      <c r="I943" s="155">
        <v>2</v>
      </c>
      <c r="J943" s="307">
        <v>9590.5</v>
      </c>
      <c r="K943" s="238">
        <f t="shared" si="68"/>
        <v>19181</v>
      </c>
      <c r="L943" s="14" t="s">
        <v>155</v>
      </c>
      <c r="M943" s="292" t="s">
        <v>153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21"/>
    </row>
    <row r="944" spans="1:26" ht="15.75" customHeight="1">
      <c r="A944" s="125" t="str">
        <f>IF(B944&lt;&gt;"",IF(AND(B944&gt;=_TM1,B944&lt;=_TM2,OR(TH!L944="1111",TH!M944="1111")),TH!D944,""),"")</f>
        <v/>
      </c>
      <c r="B944" s="11">
        <f t="shared" si="67"/>
        <v>6</v>
      </c>
      <c r="C944" s="115">
        <f t="shared" si="69"/>
        <v>40723</v>
      </c>
      <c r="D944" s="115" t="s">
        <v>1071</v>
      </c>
      <c r="E944" s="12">
        <v>40723</v>
      </c>
      <c r="F944" s="116" t="s">
        <v>870</v>
      </c>
      <c r="G944" s="15"/>
      <c r="H944" s="242" t="s">
        <v>1037</v>
      </c>
      <c r="I944" s="155">
        <v>8</v>
      </c>
      <c r="J944" s="307">
        <v>7385.5</v>
      </c>
      <c r="K944" s="238">
        <f t="shared" si="68"/>
        <v>59084</v>
      </c>
      <c r="L944" s="14" t="s">
        <v>155</v>
      </c>
      <c r="M944" s="292" t="s">
        <v>153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21"/>
    </row>
    <row r="945" spans="1:26" ht="15.75" customHeight="1">
      <c r="A945" s="125" t="str">
        <f>IF(B945&lt;&gt;"",IF(AND(B945&gt;=_TM1,B945&lt;=_TM2,OR(TH!L945="1111",TH!M945="1111")),TH!D945,""),"")</f>
        <v/>
      </c>
      <c r="B945" s="11">
        <f t="shared" si="67"/>
        <v>6</v>
      </c>
      <c r="C945" s="115">
        <f t="shared" si="69"/>
        <v>40723</v>
      </c>
      <c r="D945" s="115" t="s">
        <v>1072</v>
      </c>
      <c r="E945" s="12">
        <v>40723</v>
      </c>
      <c r="F945" s="154" t="s">
        <v>721</v>
      </c>
      <c r="G945" s="15"/>
      <c r="H945" s="242" t="s">
        <v>1037</v>
      </c>
      <c r="I945" s="155">
        <v>1</v>
      </c>
      <c r="J945" s="307">
        <v>7484</v>
      </c>
      <c r="K945" s="238">
        <f t="shared" si="68"/>
        <v>7484</v>
      </c>
      <c r="L945" s="14" t="s">
        <v>155</v>
      </c>
      <c r="M945" s="292" t="s">
        <v>153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21"/>
    </row>
    <row r="946" spans="1:26" ht="15.75" customHeight="1">
      <c r="A946" s="125" t="str">
        <f>IF(B946&lt;&gt;"",IF(AND(B946&gt;=_TM1,B946&lt;=_TM2,OR(TH!L946="1111",TH!M946="1111")),TH!D946,""),"")</f>
        <v/>
      </c>
      <c r="B946" s="11">
        <f t="shared" si="67"/>
        <v>6</v>
      </c>
      <c r="C946" s="115">
        <f t="shared" si="69"/>
        <v>40723</v>
      </c>
      <c r="D946" s="115" t="s">
        <v>1072</v>
      </c>
      <c r="E946" s="12">
        <v>40723</v>
      </c>
      <c r="F946" s="154" t="s">
        <v>724</v>
      </c>
      <c r="G946" s="15"/>
      <c r="H946" s="242" t="s">
        <v>1037</v>
      </c>
      <c r="I946" s="155">
        <v>1</v>
      </c>
      <c r="J946" s="307">
        <v>9591</v>
      </c>
      <c r="K946" s="238">
        <f t="shared" si="68"/>
        <v>9591</v>
      </c>
      <c r="L946" s="14" t="s">
        <v>155</v>
      </c>
      <c r="M946" s="292" t="s">
        <v>153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21"/>
    </row>
    <row r="947" spans="1:26" ht="15.75" customHeight="1">
      <c r="A947" s="125" t="str">
        <f>IF(B947&lt;&gt;"",IF(AND(B947&gt;=_TM1,B947&lt;=_TM2,OR(TH!L947="1111",TH!M947="1111")),TH!D947,""),"")</f>
        <v/>
      </c>
      <c r="B947" s="11">
        <f t="shared" si="67"/>
        <v>6</v>
      </c>
      <c r="C947" s="115">
        <f t="shared" si="69"/>
        <v>40723</v>
      </c>
      <c r="D947" s="115" t="s">
        <v>1072</v>
      </c>
      <c r="E947" s="12">
        <v>40723</v>
      </c>
      <c r="F947" s="154" t="s">
        <v>725</v>
      </c>
      <c r="G947" s="15"/>
      <c r="H947" s="242" t="s">
        <v>1037</v>
      </c>
      <c r="I947" s="155">
        <v>4</v>
      </c>
      <c r="J947" s="307">
        <v>10554.5</v>
      </c>
      <c r="K947" s="238">
        <f t="shared" si="68"/>
        <v>42218</v>
      </c>
      <c r="L947" s="14" t="s">
        <v>155</v>
      </c>
      <c r="M947" s="292" t="s">
        <v>153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21"/>
    </row>
    <row r="948" spans="1:26" ht="15.75" customHeight="1">
      <c r="A948" s="125" t="str">
        <f>IF(B948&lt;&gt;"",IF(AND(B948&gt;=_TM1,B948&lt;=_TM2,OR(TH!L948="1111",TH!M948="1111")),TH!D948,""),"")</f>
        <v/>
      </c>
      <c r="B948" s="11">
        <f t="shared" si="67"/>
        <v>6</v>
      </c>
      <c r="C948" s="115">
        <f t="shared" si="69"/>
        <v>40723</v>
      </c>
      <c r="D948" s="115" t="s">
        <v>1072</v>
      </c>
      <c r="E948" s="12">
        <v>40723</v>
      </c>
      <c r="F948" s="154" t="s">
        <v>730</v>
      </c>
      <c r="G948" s="15"/>
      <c r="H948" s="242" t="s">
        <v>1037</v>
      </c>
      <c r="I948" s="155">
        <v>1</v>
      </c>
      <c r="J948" s="307">
        <v>9591</v>
      </c>
      <c r="K948" s="238">
        <f t="shared" si="68"/>
        <v>9591</v>
      </c>
      <c r="L948" s="14" t="s">
        <v>155</v>
      </c>
      <c r="M948" s="292" t="s">
        <v>153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21"/>
    </row>
    <row r="949" spans="1:26" ht="15.75" customHeight="1">
      <c r="A949" s="125" t="str">
        <f>IF(B949&lt;&gt;"",IF(AND(B949&gt;=_TM1,B949&lt;=_TM2,OR(TH!L949="1111",TH!M949="1111")),TH!D949,""),"")</f>
        <v/>
      </c>
      <c r="B949" s="11">
        <f t="shared" si="67"/>
        <v>6</v>
      </c>
      <c r="C949" s="115">
        <f t="shared" si="69"/>
        <v>40723</v>
      </c>
      <c r="D949" s="115" t="s">
        <v>1072</v>
      </c>
      <c r="E949" s="12">
        <v>40723</v>
      </c>
      <c r="F949" s="154" t="s">
        <v>878</v>
      </c>
      <c r="G949" s="15"/>
      <c r="H949" s="242" t="s">
        <v>1037</v>
      </c>
      <c r="I949" s="155">
        <v>2</v>
      </c>
      <c r="J949" s="307">
        <v>5808.5</v>
      </c>
      <c r="K949" s="238">
        <f t="shared" si="68"/>
        <v>11617</v>
      </c>
      <c r="L949" s="14" t="s">
        <v>155</v>
      </c>
      <c r="M949" s="292" t="s">
        <v>153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21"/>
    </row>
    <row r="950" spans="1:26" ht="15.75" customHeight="1">
      <c r="A950" s="125" t="str">
        <f>IF(B950&lt;&gt;"",IF(AND(B950&gt;=_TM1,B950&lt;=_TM2,OR(TH!L950="1111",TH!M950="1111")),TH!D950,""),"")</f>
        <v/>
      </c>
      <c r="B950" s="11">
        <f t="shared" si="67"/>
        <v>6</v>
      </c>
      <c r="C950" s="115">
        <f t="shared" si="69"/>
        <v>40723</v>
      </c>
      <c r="D950" s="115" t="s">
        <v>1072</v>
      </c>
      <c r="E950" s="12">
        <v>40723</v>
      </c>
      <c r="F950" s="154" t="s">
        <v>879</v>
      </c>
      <c r="G950" s="15"/>
      <c r="H950" s="242" t="s">
        <v>1037</v>
      </c>
      <c r="I950" s="155">
        <v>2</v>
      </c>
      <c r="J950" s="307">
        <v>10554.5</v>
      </c>
      <c r="K950" s="238">
        <f t="shared" si="68"/>
        <v>21109</v>
      </c>
      <c r="L950" s="14" t="s">
        <v>155</v>
      </c>
      <c r="M950" s="292" t="s">
        <v>153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21"/>
    </row>
    <row r="951" spans="1:26" ht="15.75" customHeight="1">
      <c r="A951" s="125" t="str">
        <f>IF(B951&lt;&gt;"",IF(AND(B951&gt;=_TM1,B951&lt;=_TM2,OR(TH!L951="1111",TH!M951="1111")),TH!D951,""),"")</f>
        <v/>
      </c>
      <c r="B951" s="11">
        <f t="shared" si="67"/>
        <v>6</v>
      </c>
      <c r="C951" s="115">
        <f t="shared" si="69"/>
        <v>40723</v>
      </c>
      <c r="D951" s="115" t="s">
        <v>1072</v>
      </c>
      <c r="E951" s="12">
        <v>40723</v>
      </c>
      <c r="F951" s="114" t="s">
        <v>720</v>
      </c>
      <c r="G951" s="15"/>
      <c r="H951" s="242" t="s">
        <v>1037</v>
      </c>
      <c r="I951" s="155">
        <v>37</v>
      </c>
      <c r="J951" s="301">
        <v>13362</v>
      </c>
      <c r="K951" s="238">
        <f t="shared" si="68"/>
        <v>494394</v>
      </c>
      <c r="L951" s="14" t="s">
        <v>155</v>
      </c>
      <c r="M951" s="292" t="s">
        <v>153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21"/>
    </row>
    <row r="952" spans="1:26" ht="15.75" customHeight="1">
      <c r="A952" s="125" t="str">
        <f>IF(B952&lt;&gt;"",IF(AND(B952&gt;=_TM1,B952&lt;=_TM2,OR(TH!L952="1111",TH!M952="1111")),TH!D952,""),"")</f>
        <v/>
      </c>
      <c r="B952" s="11">
        <f t="shared" si="67"/>
        <v>6</v>
      </c>
      <c r="C952" s="115">
        <f t="shared" si="69"/>
        <v>40723</v>
      </c>
      <c r="D952" s="115" t="s">
        <v>1072</v>
      </c>
      <c r="E952" s="12">
        <v>40723</v>
      </c>
      <c r="F952" s="15" t="s">
        <v>880</v>
      </c>
      <c r="G952" s="15"/>
      <c r="H952" s="242" t="s">
        <v>1037</v>
      </c>
      <c r="I952" s="155">
        <v>897</v>
      </c>
      <c r="J952" s="307">
        <v>9361.1794871794864</v>
      </c>
      <c r="K952" s="238">
        <f t="shared" si="68"/>
        <v>8396978</v>
      </c>
      <c r="L952" s="14" t="s">
        <v>155</v>
      </c>
      <c r="M952" s="292" t="s">
        <v>153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21"/>
    </row>
    <row r="953" spans="1:26" ht="15.75" customHeight="1">
      <c r="A953" s="125" t="str">
        <f>IF(B953&lt;&gt;"",IF(AND(B953&gt;=_TM1,B953&lt;=_TM2,OR(TH!L953="1111",TH!M953="1111")),TH!D953,""),"")</f>
        <v/>
      </c>
      <c r="B953" s="11">
        <f t="shared" si="67"/>
        <v>6</v>
      </c>
      <c r="C953" s="115">
        <f t="shared" si="69"/>
        <v>40723</v>
      </c>
      <c r="D953" s="115" t="s">
        <v>1072</v>
      </c>
      <c r="E953" s="12">
        <v>40723</v>
      </c>
      <c r="F953" s="114" t="s">
        <v>877</v>
      </c>
      <c r="G953" s="15"/>
      <c r="H953" s="242" t="s">
        <v>1037</v>
      </c>
      <c r="I953" s="155">
        <v>917</v>
      </c>
      <c r="J953" s="307">
        <v>2523.9182115594331</v>
      </c>
      <c r="K953" s="238">
        <f t="shared" si="68"/>
        <v>2314433</v>
      </c>
      <c r="L953" s="14" t="s">
        <v>155</v>
      </c>
      <c r="M953" s="292" t="s">
        <v>153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21"/>
    </row>
    <row r="954" spans="1:26" ht="15.75" customHeight="1">
      <c r="A954" s="125" t="str">
        <f>IF(B954&lt;&gt;"",IF(AND(B954&gt;=_TM1,B954&lt;=_TM2,OR(TH!L954="1111",TH!M954="1111")),TH!D954,""),"")</f>
        <v/>
      </c>
      <c r="B954" s="11">
        <f t="shared" si="67"/>
        <v>6</v>
      </c>
      <c r="C954" s="115">
        <f t="shared" si="69"/>
        <v>40723</v>
      </c>
      <c r="D954" s="115" t="s">
        <v>1073</v>
      </c>
      <c r="E954" s="12">
        <v>40723</v>
      </c>
      <c r="F954" s="114" t="s">
        <v>881</v>
      </c>
      <c r="G954" s="15"/>
      <c r="H954" s="242" t="s">
        <v>1037</v>
      </c>
      <c r="I954" s="155">
        <v>169</v>
      </c>
      <c r="J954" s="307">
        <v>7385.5147928994083</v>
      </c>
      <c r="K954" s="238">
        <f t="shared" si="68"/>
        <v>1248152</v>
      </c>
      <c r="L954" s="14" t="s">
        <v>155</v>
      </c>
      <c r="M954" s="292" t="s">
        <v>153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21"/>
    </row>
    <row r="955" spans="1:26" ht="15.75" customHeight="1">
      <c r="A955" s="125" t="str">
        <f>IF(B955&lt;&gt;"",IF(AND(B955&gt;=_TM1,B955&lt;=_TM2,OR(TH!L955="1111",TH!M955="1111")),TH!D955,""),"")</f>
        <v/>
      </c>
      <c r="B955" s="11">
        <f t="shared" si="67"/>
        <v>6</v>
      </c>
      <c r="C955" s="115">
        <f t="shared" si="69"/>
        <v>40723</v>
      </c>
      <c r="D955" s="115" t="s">
        <v>1073</v>
      </c>
      <c r="E955" s="12">
        <v>40723</v>
      </c>
      <c r="F955" s="15" t="s">
        <v>877</v>
      </c>
      <c r="G955" s="15"/>
      <c r="H955" s="242" t="s">
        <v>1037</v>
      </c>
      <c r="I955" s="155">
        <v>170</v>
      </c>
      <c r="J955" s="307">
        <v>2471.7647058823532</v>
      </c>
      <c r="K955" s="238">
        <f t="shared" si="68"/>
        <v>420200</v>
      </c>
      <c r="L955" s="14" t="s">
        <v>155</v>
      </c>
      <c r="M955" s="292" t="s">
        <v>153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21"/>
    </row>
    <row r="956" spans="1:26" ht="15.75" customHeight="1">
      <c r="A956" s="125" t="str">
        <f>IF(B956&lt;&gt;"",IF(AND(B956&gt;=_TM1,B956&lt;=_TM2,OR(TH!L956="1111",TH!M956="1111")),TH!D956,""),"")</f>
        <v/>
      </c>
      <c r="B956" s="11">
        <f t="shared" si="67"/>
        <v>6</v>
      </c>
      <c r="C956" s="115">
        <f t="shared" si="69"/>
        <v>40723</v>
      </c>
      <c r="D956" s="115" t="s">
        <v>1073</v>
      </c>
      <c r="E956" s="12">
        <v>40723</v>
      </c>
      <c r="F956" s="154" t="s">
        <v>718</v>
      </c>
      <c r="G956" s="15"/>
      <c r="H956" s="242" t="s">
        <v>1037</v>
      </c>
      <c r="I956" s="155">
        <v>442</v>
      </c>
      <c r="J956" s="301">
        <v>18786.513574660632</v>
      </c>
      <c r="K956" s="238">
        <f t="shared" si="68"/>
        <v>8303639</v>
      </c>
      <c r="L956" s="14" t="s">
        <v>155</v>
      </c>
      <c r="M956" s="292" t="s">
        <v>153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21"/>
    </row>
    <row r="957" spans="1:26" ht="15.75" customHeight="1">
      <c r="A957" s="125" t="str">
        <f>IF(B957&lt;&gt;"",IF(AND(B957&gt;=_TM1,B957&lt;=_TM2,OR(TH!L957="1111",TH!M957="1111")),TH!D957,""),"")</f>
        <v/>
      </c>
      <c r="B957" s="11">
        <f t="shared" si="67"/>
        <v>6</v>
      </c>
      <c r="C957" s="115">
        <f t="shared" si="69"/>
        <v>40723</v>
      </c>
      <c r="D957" s="115" t="s">
        <v>1073</v>
      </c>
      <c r="E957" s="12">
        <v>40723</v>
      </c>
      <c r="F957" s="114" t="s">
        <v>882</v>
      </c>
      <c r="G957" s="15"/>
      <c r="H957" s="242" t="s">
        <v>1037</v>
      </c>
      <c r="I957" s="155">
        <v>36</v>
      </c>
      <c r="J957" s="307">
        <v>17039.5</v>
      </c>
      <c r="K957" s="238">
        <f t="shared" si="68"/>
        <v>613422</v>
      </c>
      <c r="L957" s="14" t="s">
        <v>155</v>
      </c>
      <c r="M957" s="292" t="s">
        <v>153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21"/>
    </row>
    <row r="958" spans="1:26" ht="15.75" customHeight="1">
      <c r="A958" s="125" t="str">
        <f>IF(B958&lt;&gt;"",IF(AND(B958&gt;=_TM1,B958&lt;=_TM2,OR(TH!L958="1111",TH!M958="1111")),TH!D958,""),"")</f>
        <v/>
      </c>
      <c r="B958" s="11">
        <f t="shared" si="67"/>
        <v>6</v>
      </c>
      <c r="C958" s="115">
        <f t="shared" si="69"/>
        <v>40723</v>
      </c>
      <c r="D958" s="115" t="s">
        <v>1073</v>
      </c>
      <c r="E958" s="12">
        <v>40723</v>
      </c>
      <c r="F958" s="114" t="s">
        <v>877</v>
      </c>
      <c r="G958" s="15"/>
      <c r="H958" s="242" t="s">
        <v>1037</v>
      </c>
      <c r="I958" s="155">
        <v>90</v>
      </c>
      <c r="J958" s="307">
        <v>2471.7666666666669</v>
      </c>
      <c r="K958" s="238">
        <f t="shared" si="68"/>
        <v>222459</v>
      </c>
      <c r="L958" s="14" t="s">
        <v>155</v>
      </c>
      <c r="M958" s="292" t="s">
        <v>153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/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21"/>
    </row>
    <row r="959" spans="1:26" ht="15.75" customHeight="1">
      <c r="A959" s="125" t="str">
        <f>IF(B959&lt;&gt;"",IF(AND(B959&gt;=_TM1,B959&lt;=_TM2,OR(TH!L959="1111",TH!M959="1111")),TH!D959,""),"")</f>
        <v/>
      </c>
      <c r="B959" s="11">
        <f t="shared" si="67"/>
        <v>6</v>
      </c>
      <c r="C959" s="115">
        <f t="shared" si="69"/>
        <v>40723</v>
      </c>
      <c r="D959" s="115" t="s">
        <v>1073</v>
      </c>
      <c r="E959" s="12">
        <v>40723</v>
      </c>
      <c r="F959" s="15" t="s">
        <v>877</v>
      </c>
      <c r="G959" s="15"/>
      <c r="H959" s="242" t="s">
        <v>1037</v>
      </c>
      <c r="I959" s="155">
        <v>164</v>
      </c>
      <c r="J959" s="307">
        <v>2471.7621951219512</v>
      </c>
      <c r="K959" s="238">
        <f t="shared" ref="K959:K986" si="70">ROUND(I959*J959,0)</f>
        <v>405369</v>
      </c>
      <c r="L959" s="14" t="s">
        <v>155</v>
      </c>
      <c r="M959" s="292" t="s">
        <v>153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21"/>
    </row>
    <row r="960" spans="1:26" ht="15.75" customHeight="1">
      <c r="A960" s="125" t="str">
        <f>IF(B960&lt;&gt;"",IF(AND(B960&gt;=_TM1,B960&lt;=_TM2,OR(TH!L960="1111",TH!M960="1111")),TH!D960,""),"")</f>
        <v/>
      </c>
      <c r="B960" s="11">
        <f t="shared" si="67"/>
        <v>6</v>
      </c>
      <c r="C960" s="115">
        <f t="shared" si="69"/>
        <v>40723</v>
      </c>
      <c r="D960" s="115" t="s">
        <v>1073</v>
      </c>
      <c r="E960" s="12">
        <v>40723</v>
      </c>
      <c r="F960" s="154" t="s">
        <v>719</v>
      </c>
      <c r="G960" s="15"/>
      <c r="H960" s="242" t="s">
        <v>1037</v>
      </c>
      <c r="I960" s="155">
        <v>639</v>
      </c>
      <c r="J960" s="351">
        <v>18443.433489827858</v>
      </c>
      <c r="K960" s="238">
        <f t="shared" si="70"/>
        <v>11785354</v>
      </c>
      <c r="L960" s="14" t="s">
        <v>155</v>
      </c>
      <c r="M960" s="292" t="s">
        <v>153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/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21"/>
    </row>
    <row r="961" spans="1:26" ht="15.75" customHeight="1">
      <c r="A961" s="125" t="str">
        <f>IF(B961&lt;&gt;"",IF(AND(B961&gt;=_TM1,B961&lt;=_TM2,OR(TH!L961="1111",TH!M961="1111")),TH!D961,""),"")</f>
        <v/>
      </c>
      <c r="B961" s="11">
        <f t="shared" si="67"/>
        <v>6</v>
      </c>
      <c r="C961" s="115">
        <f t="shared" si="69"/>
        <v>40723</v>
      </c>
      <c r="D961" s="115" t="s">
        <v>1073</v>
      </c>
      <c r="E961" s="12">
        <v>40723</v>
      </c>
      <c r="F961" s="15" t="s">
        <v>877</v>
      </c>
      <c r="G961" s="15"/>
      <c r="H961" s="242" t="s">
        <v>1037</v>
      </c>
      <c r="I961" s="155">
        <v>210</v>
      </c>
      <c r="J961" s="306">
        <v>5808.5142857142855</v>
      </c>
      <c r="K961" s="238">
        <f t="shared" si="70"/>
        <v>1219788</v>
      </c>
      <c r="L961" s="14" t="s">
        <v>155</v>
      </c>
      <c r="M961" s="292" t="s">
        <v>153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21"/>
    </row>
    <row r="962" spans="1:26" ht="15.75" customHeight="1">
      <c r="A962" s="125" t="str">
        <f>IF(B962&lt;&gt;"",IF(AND(B962&gt;=_TM1,B962&lt;=_TM2,OR(TH!L962="1111",TH!M962="1111")),TH!D962,""),"")</f>
        <v/>
      </c>
      <c r="B962" s="11">
        <f t="shared" si="67"/>
        <v>6</v>
      </c>
      <c r="C962" s="115">
        <f t="shared" si="69"/>
        <v>40723</v>
      </c>
      <c r="D962" s="115" t="s">
        <v>1073</v>
      </c>
      <c r="E962" s="12">
        <v>40723</v>
      </c>
      <c r="F962" s="15" t="s">
        <v>877</v>
      </c>
      <c r="G962" s="15"/>
      <c r="H962" s="242" t="s">
        <v>1037</v>
      </c>
      <c r="I962" s="155">
        <v>422</v>
      </c>
      <c r="J962" s="307">
        <v>3584.0118483412321</v>
      </c>
      <c r="K962" s="238">
        <f t="shared" si="70"/>
        <v>1512453</v>
      </c>
      <c r="L962" s="14" t="s">
        <v>155</v>
      </c>
      <c r="M962" s="292" t="s">
        <v>153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21"/>
    </row>
    <row r="963" spans="1:26" ht="15.75" customHeight="1">
      <c r="A963" s="125" t="str">
        <f>IF(B963&lt;&gt;"",IF(AND(B963&gt;=_TM1,B963&lt;=_TM2,OR(TH!L963="1111",TH!M963="1111")),TH!D963,""),"")</f>
        <v/>
      </c>
      <c r="B963" s="11">
        <f t="shared" si="67"/>
        <v>6</v>
      </c>
      <c r="C963" s="115">
        <f t="shared" si="69"/>
        <v>40723</v>
      </c>
      <c r="D963" s="115" t="s">
        <v>1074</v>
      </c>
      <c r="E963" s="12">
        <v>40723</v>
      </c>
      <c r="F963" s="217" t="s">
        <v>717</v>
      </c>
      <c r="G963" s="15"/>
      <c r="H963" s="242" t="s">
        <v>1037</v>
      </c>
      <c r="I963" s="155">
        <v>209</v>
      </c>
      <c r="J963" s="307">
        <v>17381.808612440193</v>
      </c>
      <c r="K963" s="238">
        <f t="shared" si="70"/>
        <v>3632798</v>
      </c>
      <c r="L963" s="14" t="s">
        <v>155</v>
      </c>
      <c r="M963" s="292" t="s">
        <v>153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21"/>
    </row>
    <row r="964" spans="1:26" ht="15.75" customHeight="1">
      <c r="A964" s="125" t="str">
        <f>IF(B964&lt;&gt;"",IF(AND(B964&gt;=_TM1,B964&lt;=_TM2,OR(TH!L964="1111",TH!M964="1111")),TH!D964,""),"")</f>
        <v/>
      </c>
      <c r="B964" s="11">
        <f t="shared" si="67"/>
        <v>6</v>
      </c>
      <c r="C964" s="115">
        <f t="shared" si="69"/>
        <v>40723</v>
      </c>
      <c r="D964" s="115" t="s">
        <v>1074</v>
      </c>
      <c r="E964" s="12">
        <v>40723</v>
      </c>
      <c r="F964" s="154" t="s">
        <v>883</v>
      </c>
      <c r="G964" s="15"/>
      <c r="H964" s="242" t="s">
        <v>1037</v>
      </c>
      <c r="I964" s="155">
        <v>55</v>
      </c>
      <c r="J964" s="307">
        <v>17595.436363636363</v>
      </c>
      <c r="K964" s="238">
        <f t="shared" si="70"/>
        <v>967749</v>
      </c>
      <c r="L964" s="14" t="s">
        <v>155</v>
      </c>
      <c r="M964" s="292" t="s">
        <v>153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21"/>
    </row>
    <row r="965" spans="1:26" ht="15.75" customHeight="1">
      <c r="A965" s="125" t="str">
        <f>IF(B965&lt;&gt;"",IF(AND(B965&gt;=_TM1,B965&lt;=_TM2,OR(TH!L965="1111",TH!M965="1111")),TH!D965,""),"")</f>
        <v/>
      </c>
      <c r="B965" s="11">
        <f t="shared" si="67"/>
        <v>6</v>
      </c>
      <c r="C965" s="115">
        <f t="shared" si="69"/>
        <v>40723</v>
      </c>
      <c r="D965" s="115" t="s">
        <v>1074</v>
      </c>
      <c r="E965" s="12">
        <v>40723</v>
      </c>
      <c r="F965" s="15" t="s">
        <v>884</v>
      </c>
      <c r="G965" s="15"/>
      <c r="H965" s="242" t="s">
        <v>1037</v>
      </c>
      <c r="I965" s="155">
        <v>40</v>
      </c>
      <c r="J965" s="307">
        <v>13362.025</v>
      </c>
      <c r="K965" s="238">
        <f t="shared" si="70"/>
        <v>534481</v>
      </c>
      <c r="L965" s="14" t="s">
        <v>155</v>
      </c>
      <c r="M965" s="292" t="s">
        <v>153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/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21"/>
    </row>
    <row r="966" spans="1:26" ht="15.75" customHeight="1">
      <c r="A966" s="125" t="str">
        <f>IF(B966&lt;&gt;"",IF(AND(B966&gt;=_TM1,B966&lt;=_TM2,OR(TH!L966="1111",TH!M966="1111")),TH!D966,""),"")</f>
        <v/>
      </c>
      <c r="B966" s="11">
        <f t="shared" si="67"/>
        <v>6</v>
      </c>
      <c r="C966" s="115">
        <f t="shared" si="69"/>
        <v>40723</v>
      </c>
      <c r="D966" s="115" t="s">
        <v>1074</v>
      </c>
      <c r="E966" s="12">
        <v>40723</v>
      </c>
      <c r="F966" s="347" t="s">
        <v>852</v>
      </c>
      <c r="G966" s="15"/>
      <c r="H966" s="242" t="s">
        <v>1037</v>
      </c>
      <c r="I966" s="155">
        <v>2</v>
      </c>
      <c r="J966" s="306">
        <v>8566.5</v>
      </c>
      <c r="K966" s="238">
        <f t="shared" si="70"/>
        <v>17133</v>
      </c>
      <c r="L966" s="14" t="s">
        <v>155</v>
      </c>
      <c r="M966" s="292" t="s">
        <v>153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/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21"/>
    </row>
    <row r="967" spans="1:26" ht="15.75" customHeight="1">
      <c r="A967" s="125" t="str">
        <f>IF(B967&lt;&gt;"",IF(AND(B967&gt;=_TM1,B967&lt;=_TM2,OR(TH!L967="1111",TH!M967="1111")),TH!D967,""),"")</f>
        <v/>
      </c>
      <c r="B967" s="11">
        <f t="shared" si="67"/>
        <v>6</v>
      </c>
      <c r="C967" s="115">
        <f t="shared" si="69"/>
        <v>40723</v>
      </c>
      <c r="D967" s="115" t="s">
        <v>1074</v>
      </c>
      <c r="E967" s="12">
        <v>40723</v>
      </c>
      <c r="F967" s="15" t="s">
        <v>885</v>
      </c>
      <c r="G967" s="15"/>
      <c r="H967" s="242" t="s">
        <v>1037</v>
      </c>
      <c r="I967" s="155">
        <v>207</v>
      </c>
      <c r="J967" s="307">
        <v>23151.830917874395</v>
      </c>
      <c r="K967" s="238">
        <f t="shared" si="70"/>
        <v>4792429</v>
      </c>
      <c r="L967" s="14" t="s">
        <v>155</v>
      </c>
      <c r="M967" s="292" t="s">
        <v>153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21"/>
    </row>
    <row r="968" spans="1:26" ht="15.75" customHeight="1">
      <c r="A968" s="125" t="str">
        <f>IF(B968&lt;&gt;"",IF(AND(B968&gt;=_TM1,B968&lt;=_TM2,OR(TH!L968="1111",TH!M968="1111")),TH!D968,""),"")</f>
        <v/>
      </c>
      <c r="B968" s="11">
        <f t="shared" si="67"/>
        <v>6</v>
      </c>
      <c r="C968" s="115">
        <f t="shared" si="69"/>
        <v>40723</v>
      </c>
      <c r="D968" s="115" t="s">
        <v>1074</v>
      </c>
      <c r="E968" s="12">
        <v>40723</v>
      </c>
      <c r="F968" s="114" t="s">
        <v>877</v>
      </c>
      <c r="G968" s="15"/>
      <c r="H968" s="242" t="s">
        <v>1037</v>
      </c>
      <c r="I968" s="155">
        <v>203</v>
      </c>
      <c r="J968" s="307">
        <v>10599.807881773399</v>
      </c>
      <c r="K968" s="238">
        <f t="shared" si="70"/>
        <v>2151761</v>
      </c>
      <c r="L968" s="14" t="s">
        <v>155</v>
      </c>
      <c r="M968" s="292" t="s">
        <v>153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21"/>
    </row>
    <row r="969" spans="1:26" ht="15.75" customHeight="1">
      <c r="A969" s="125" t="str">
        <f>IF(B969&lt;&gt;"",IF(AND(B969&gt;=_TM1,B969&lt;=_TM2,OR(TH!L969="1111",TH!M969="1111")),TH!D969,""),"")</f>
        <v/>
      </c>
      <c r="B969" s="11">
        <f t="shared" si="67"/>
        <v>6</v>
      </c>
      <c r="C969" s="115">
        <f t="shared" si="69"/>
        <v>40723</v>
      </c>
      <c r="D969" s="115" t="s">
        <v>1074</v>
      </c>
      <c r="E969" s="12">
        <v>40723</v>
      </c>
      <c r="F969" s="15" t="s">
        <v>886</v>
      </c>
      <c r="G969" s="15"/>
      <c r="H969" s="242" t="s">
        <v>1037</v>
      </c>
      <c r="I969" s="155">
        <v>9</v>
      </c>
      <c r="J969" s="307">
        <v>18786.555555555555</v>
      </c>
      <c r="K969" s="238">
        <f t="shared" si="70"/>
        <v>169079</v>
      </c>
      <c r="L969" s="14" t="s">
        <v>155</v>
      </c>
      <c r="M969" s="292" t="s">
        <v>153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/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21"/>
    </row>
    <row r="970" spans="1:26" ht="15.75" customHeight="1">
      <c r="A970" s="125" t="str">
        <f>IF(B970&lt;&gt;"",IF(AND(B970&gt;=_TM1,B970&lt;=_TM2,OR(TH!L970="1111",TH!M970="1111")),TH!D970,""),"")</f>
        <v/>
      </c>
      <c r="B970" s="11">
        <f t="shared" si="67"/>
        <v>6</v>
      </c>
      <c r="C970" s="115">
        <f t="shared" si="69"/>
        <v>40723</v>
      </c>
      <c r="D970" s="115" t="s">
        <v>1074</v>
      </c>
      <c r="E970" s="12">
        <v>40723</v>
      </c>
      <c r="F970" s="153" t="s">
        <v>728</v>
      </c>
      <c r="G970" s="15"/>
      <c r="H970" s="242" t="s">
        <v>1037</v>
      </c>
      <c r="I970" s="155">
        <v>1</v>
      </c>
      <c r="J970" s="306">
        <v>15439</v>
      </c>
      <c r="K970" s="238">
        <f t="shared" si="70"/>
        <v>15439</v>
      </c>
      <c r="L970" s="14" t="s">
        <v>155</v>
      </c>
      <c r="M970" s="292" t="s">
        <v>153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21"/>
    </row>
    <row r="971" spans="1:26" ht="15.75" customHeight="1">
      <c r="A971" s="125" t="str">
        <f>IF(B971&lt;&gt;"",IF(AND(B971&gt;=_TM1,B971&lt;=_TM2,OR(TH!L971="1111",TH!M971="1111")),TH!D971,""),"")</f>
        <v/>
      </c>
      <c r="B971" s="11">
        <f t="shared" si="67"/>
        <v>6</v>
      </c>
      <c r="C971" s="115">
        <f t="shared" si="69"/>
        <v>40723</v>
      </c>
      <c r="D971" s="115" t="s">
        <v>1074</v>
      </c>
      <c r="E971" s="12">
        <v>40723</v>
      </c>
      <c r="F971" s="15" t="s">
        <v>887</v>
      </c>
      <c r="G971" s="15"/>
      <c r="H971" s="242" t="s">
        <v>1037</v>
      </c>
      <c r="I971" s="155">
        <v>3</v>
      </c>
      <c r="J971" s="307">
        <v>19142.666666666668</v>
      </c>
      <c r="K971" s="238">
        <f t="shared" si="70"/>
        <v>57428</v>
      </c>
      <c r="L971" s="14" t="s">
        <v>155</v>
      </c>
      <c r="M971" s="292" t="s">
        <v>153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21"/>
    </row>
    <row r="972" spans="1:26" ht="15.75" customHeight="1">
      <c r="A972" s="125" t="str">
        <f>IF(B972&lt;&gt;"",IF(AND(B972&gt;=_TM1,B972&lt;=_TM2,OR(TH!L972="1111",TH!M972="1111")),TH!D972,""),"")</f>
        <v/>
      </c>
      <c r="B972" s="11">
        <f t="shared" si="67"/>
        <v>6</v>
      </c>
      <c r="C972" s="115">
        <f t="shared" si="69"/>
        <v>40723</v>
      </c>
      <c r="D972" s="115" t="s">
        <v>1075</v>
      </c>
      <c r="E972" s="12">
        <v>40723</v>
      </c>
      <c r="F972" s="114" t="s">
        <v>727</v>
      </c>
      <c r="G972" s="15"/>
      <c r="H972" s="242" t="s">
        <v>1037</v>
      </c>
      <c r="I972" s="155">
        <v>11</v>
      </c>
      <c r="J972" s="307">
        <v>13362</v>
      </c>
      <c r="K972" s="238">
        <f t="shared" si="70"/>
        <v>146982</v>
      </c>
      <c r="L972" s="14" t="s">
        <v>155</v>
      </c>
      <c r="M972" s="292" t="s">
        <v>153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21"/>
    </row>
    <row r="973" spans="1:26" ht="15.75" customHeight="1">
      <c r="A973" s="125" t="str">
        <f>IF(B973&lt;&gt;"",IF(AND(B973&gt;=_TM1,B973&lt;=_TM2,OR(TH!L973="1111",TH!M973="1111")),TH!D973,""),"")</f>
        <v/>
      </c>
      <c r="B973" s="11">
        <f t="shared" si="67"/>
        <v>6</v>
      </c>
      <c r="C973" s="115">
        <f t="shared" ref="C973:C993" si="71">E973</f>
        <v>40723</v>
      </c>
      <c r="D973" s="115" t="s">
        <v>1075</v>
      </c>
      <c r="E973" s="12">
        <v>40723</v>
      </c>
      <c r="F973" s="114" t="s">
        <v>851</v>
      </c>
      <c r="G973" s="15"/>
      <c r="H973" s="242" t="s">
        <v>1037</v>
      </c>
      <c r="I973" s="155">
        <v>26</v>
      </c>
      <c r="J973" s="307">
        <v>8566.5</v>
      </c>
      <c r="K973" s="238">
        <f t="shared" si="70"/>
        <v>222729</v>
      </c>
      <c r="L973" s="14" t="s">
        <v>155</v>
      </c>
      <c r="M973" s="292" t="s">
        <v>153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21"/>
    </row>
    <row r="974" spans="1:26" ht="15.75" customHeight="1">
      <c r="A974" s="125" t="str">
        <f>IF(B974&lt;&gt;"",IF(AND(B974&gt;=_TM1,B974&lt;=_TM2,OR(TH!L974="1111",TH!M974="1111")),TH!D974,""),"")</f>
        <v/>
      </c>
      <c r="B974" s="11">
        <f t="shared" si="67"/>
        <v>6</v>
      </c>
      <c r="C974" s="115">
        <f t="shared" si="71"/>
        <v>40723</v>
      </c>
      <c r="D974" s="115" t="s">
        <v>1075</v>
      </c>
      <c r="E974" s="12">
        <v>40723</v>
      </c>
      <c r="F974" s="114" t="s">
        <v>888</v>
      </c>
      <c r="G974" s="15"/>
      <c r="H974" s="242" t="s">
        <v>1037</v>
      </c>
      <c r="I974" s="155">
        <v>20</v>
      </c>
      <c r="J974" s="307">
        <v>18019.5</v>
      </c>
      <c r="K974" s="238">
        <f t="shared" si="70"/>
        <v>360390</v>
      </c>
      <c r="L974" s="14" t="s">
        <v>155</v>
      </c>
      <c r="M974" s="292" t="s">
        <v>153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21"/>
    </row>
    <row r="975" spans="1:26" ht="15.75" customHeight="1">
      <c r="A975" s="125" t="str">
        <f>IF(B975&lt;&gt;"",IF(AND(B975&gt;=_TM1,B975&lt;=_TM2,OR(TH!L975="1111",TH!M975="1111")),TH!D975,""),"")</f>
        <v/>
      </c>
      <c r="B975" s="11">
        <f t="shared" si="67"/>
        <v>6</v>
      </c>
      <c r="C975" s="115">
        <f t="shared" si="71"/>
        <v>40723</v>
      </c>
      <c r="D975" s="115" t="s">
        <v>1075</v>
      </c>
      <c r="E975" s="12">
        <v>40723</v>
      </c>
      <c r="F975" s="114" t="s">
        <v>889</v>
      </c>
      <c r="G975" s="15"/>
      <c r="H975" s="242" t="s">
        <v>1037</v>
      </c>
      <c r="I975" s="155">
        <v>61</v>
      </c>
      <c r="J975" s="307">
        <v>19878.065573770491</v>
      </c>
      <c r="K975" s="238">
        <f t="shared" si="70"/>
        <v>1212562</v>
      </c>
      <c r="L975" s="14" t="s">
        <v>155</v>
      </c>
      <c r="M975" s="292" t="s">
        <v>153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21"/>
    </row>
    <row r="976" spans="1:26" ht="15.75" customHeight="1">
      <c r="A976" s="125" t="str">
        <f>IF(B976&lt;&gt;"",IF(AND(B976&gt;=_TM1,B976&lt;=_TM2,OR(TH!L976="1111",TH!M976="1111")),TH!D976,""),"")</f>
        <v/>
      </c>
      <c r="B976" s="11">
        <f t="shared" si="67"/>
        <v>6</v>
      </c>
      <c r="C976" s="115">
        <f t="shared" si="71"/>
        <v>40723</v>
      </c>
      <c r="D976" s="115" t="s">
        <v>1075</v>
      </c>
      <c r="E976" s="12">
        <v>40723</v>
      </c>
      <c r="F976" s="116" t="s">
        <v>732</v>
      </c>
      <c r="G976" s="15"/>
      <c r="H976" s="242" t="s">
        <v>1037</v>
      </c>
      <c r="I976" s="155">
        <v>140</v>
      </c>
      <c r="J976" s="351">
        <v>2471.7642857142855</v>
      </c>
      <c r="K976" s="238">
        <f t="shared" si="70"/>
        <v>346047</v>
      </c>
      <c r="L976" s="14" t="s">
        <v>155</v>
      </c>
      <c r="M976" s="292" t="s">
        <v>153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21"/>
    </row>
    <row r="977" spans="1:26" ht="15.75" customHeight="1">
      <c r="A977" s="125" t="str">
        <f>IF(B977&lt;&gt;"",IF(AND(B977&gt;=_TM1,B977&lt;=_TM2,OR(TH!L977="1111",TH!M977="1111")),TH!D977,""),"")</f>
        <v/>
      </c>
      <c r="B977" s="11">
        <f t="shared" si="67"/>
        <v>6</v>
      </c>
      <c r="C977" s="115">
        <f t="shared" si="71"/>
        <v>40723</v>
      </c>
      <c r="D977" s="115" t="s">
        <v>1075</v>
      </c>
      <c r="E977" s="12">
        <v>40723</v>
      </c>
      <c r="F977" s="114" t="s">
        <v>882</v>
      </c>
      <c r="G977" s="15"/>
      <c r="H977" s="242" t="s">
        <v>1037</v>
      </c>
      <c r="I977" s="155">
        <v>40</v>
      </c>
      <c r="J977" s="306">
        <v>17179.525000000001</v>
      </c>
      <c r="K977" s="238">
        <f t="shared" si="70"/>
        <v>687181</v>
      </c>
      <c r="L977" s="14" t="s">
        <v>155</v>
      </c>
      <c r="M977" s="292" t="s">
        <v>153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21"/>
    </row>
    <row r="978" spans="1:26" ht="15.75" customHeight="1">
      <c r="A978" s="125" t="str">
        <f>IF(B978&lt;&gt;"",IF(AND(B978&gt;=_TM1,B978&lt;=_TM2,OR(TH!L978="1111",TH!M978="1111")),TH!D978,""),"")</f>
        <v/>
      </c>
      <c r="B978" s="11">
        <f t="shared" si="67"/>
        <v>6</v>
      </c>
      <c r="C978" s="115">
        <f t="shared" si="71"/>
        <v>40723</v>
      </c>
      <c r="D978" s="115" t="s">
        <v>1075</v>
      </c>
      <c r="E978" s="12">
        <v>40723</v>
      </c>
      <c r="F978" s="154" t="s">
        <v>720</v>
      </c>
      <c r="G978" s="15"/>
      <c r="H978" s="242" t="s">
        <v>1037</v>
      </c>
      <c r="I978" s="155">
        <v>95</v>
      </c>
      <c r="J978" s="307">
        <v>13488.357894736842</v>
      </c>
      <c r="K978" s="238">
        <f t="shared" si="70"/>
        <v>1281394</v>
      </c>
      <c r="L978" s="14" t="s">
        <v>155</v>
      </c>
      <c r="M978" s="292" t="s">
        <v>153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21"/>
    </row>
    <row r="979" spans="1:26" ht="15.75" customHeight="1">
      <c r="A979" s="125" t="str">
        <f>IF(B979&lt;&gt;"",IF(AND(B979&gt;=_TM1,B979&lt;=_TM2,OR(TH!L979="1111",TH!M979="1111")),TH!D979,""),"")</f>
        <v/>
      </c>
      <c r="B979" s="11">
        <f t="shared" si="67"/>
        <v>6</v>
      </c>
      <c r="C979" s="115">
        <f t="shared" si="71"/>
        <v>40723</v>
      </c>
      <c r="D979" s="115" t="s">
        <v>1075</v>
      </c>
      <c r="E979" s="12">
        <v>40723</v>
      </c>
      <c r="F979" s="114" t="s">
        <v>855</v>
      </c>
      <c r="G979" s="15"/>
      <c r="H979" s="242" t="s">
        <v>1037</v>
      </c>
      <c r="I979" s="155">
        <v>2000</v>
      </c>
      <c r="J979" s="317">
        <v>5951.5129999999999</v>
      </c>
      <c r="K979" s="238">
        <f t="shared" si="70"/>
        <v>11903026</v>
      </c>
      <c r="L979" s="14" t="s">
        <v>155</v>
      </c>
      <c r="M979" s="292" t="s">
        <v>153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21"/>
    </row>
    <row r="980" spans="1:26" ht="15.75" customHeight="1">
      <c r="A980" s="125" t="str">
        <f>IF(B980&lt;&gt;"",IF(AND(B980&gt;=_TM1,B980&lt;=_TM2,OR(TH!L980="1111",TH!M980="1111")),TH!D980,""),"")</f>
        <v/>
      </c>
      <c r="B980" s="11">
        <f t="shared" si="67"/>
        <v>6</v>
      </c>
      <c r="C980" s="115">
        <f t="shared" si="71"/>
        <v>40723</v>
      </c>
      <c r="D980" s="115" t="s">
        <v>1075</v>
      </c>
      <c r="E980" s="12">
        <v>40723</v>
      </c>
      <c r="F980" s="154" t="s">
        <v>890</v>
      </c>
      <c r="G980" s="15"/>
      <c r="H980" s="242" t="s">
        <v>1037</v>
      </c>
      <c r="I980" s="155">
        <v>306</v>
      </c>
      <c r="J980" s="306">
        <v>13362.013071895424</v>
      </c>
      <c r="K980" s="238">
        <f t="shared" si="70"/>
        <v>4088776</v>
      </c>
      <c r="L980" s="14" t="s">
        <v>155</v>
      </c>
      <c r="M980" s="292" t="s">
        <v>153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/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21"/>
    </row>
    <row r="981" spans="1:26" ht="15.75" customHeight="1">
      <c r="A981" s="125" t="str">
        <f>IF(B981&lt;&gt;"",IF(AND(B981&gt;=_TM1,B981&lt;=_TM2,OR(TH!L981="1111",TH!M981="1111")),TH!D981,""),"")</f>
        <v/>
      </c>
      <c r="B981" s="11">
        <f t="shared" si="67"/>
        <v>6</v>
      </c>
      <c r="C981" s="115">
        <f t="shared" si="71"/>
        <v>40723</v>
      </c>
      <c r="D981" s="115" t="s">
        <v>1076</v>
      </c>
      <c r="E981" s="12">
        <v>40723</v>
      </c>
      <c r="F981" s="154" t="s">
        <v>777</v>
      </c>
      <c r="G981" s="15"/>
      <c r="H981" s="242" t="s">
        <v>1037</v>
      </c>
      <c r="I981" s="155">
        <v>391</v>
      </c>
      <c r="J981" s="307">
        <v>7483.5140664961637</v>
      </c>
      <c r="K981" s="238">
        <f t="shared" si="70"/>
        <v>2926054</v>
      </c>
      <c r="L981" s="14" t="s">
        <v>155</v>
      </c>
      <c r="M981" s="292" t="s">
        <v>153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/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21"/>
    </row>
    <row r="982" spans="1:26" ht="15.75" customHeight="1">
      <c r="A982" s="125" t="str">
        <f>IF(B982&lt;&gt;"",IF(AND(B982&gt;=_TM1,B982&lt;=_TM2,OR(TH!L982="1111",TH!M982="1111")),TH!D982,""),"")</f>
        <v/>
      </c>
      <c r="B982" s="11">
        <f t="shared" ref="B982:B1045" si="72">IF(C982&lt;&gt;"",MONTH(C982),"")</f>
        <v>6</v>
      </c>
      <c r="C982" s="115">
        <f t="shared" si="71"/>
        <v>40723</v>
      </c>
      <c r="D982" s="115" t="s">
        <v>1076</v>
      </c>
      <c r="E982" s="12">
        <v>40723</v>
      </c>
      <c r="F982" s="154" t="s">
        <v>770</v>
      </c>
      <c r="G982" s="15"/>
      <c r="H982" s="242" t="s">
        <v>1037</v>
      </c>
      <c r="I982" s="155">
        <v>297</v>
      </c>
      <c r="J982" s="307">
        <v>7385.5117845117848</v>
      </c>
      <c r="K982" s="238">
        <f t="shared" si="70"/>
        <v>2193497</v>
      </c>
      <c r="L982" s="14" t="s">
        <v>155</v>
      </c>
      <c r="M982" s="292" t="s">
        <v>153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/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21"/>
    </row>
    <row r="983" spans="1:26" ht="15.75" customHeight="1">
      <c r="A983" s="125" t="str">
        <f>IF(B983&lt;&gt;"",IF(AND(B983&gt;=_TM1,B983&lt;=_TM2,OR(TH!L983="1111",TH!M983="1111")),TH!D983,""),"")</f>
        <v/>
      </c>
      <c r="B983" s="11">
        <f t="shared" si="72"/>
        <v>6</v>
      </c>
      <c r="C983" s="115">
        <f t="shared" si="71"/>
        <v>40723</v>
      </c>
      <c r="D983" s="115" t="s">
        <v>1076</v>
      </c>
      <c r="E983" s="12">
        <v>40723</v>
      </c>
      <c r="F983" s="15" t="s">
        <v>892</v>
      </c>
      <c r="G983" s="15"/>
      <c r="H983" s="242" t="s">
        <v>1037</v>
      </c>
      <c r="I983" s="155">
        <v>101</v>
      </c>
      <c r="J983" s="307">
        <v>7385.5148514851489</v>
      </c>
      <c r="K983" s="238">
        <f t="shared" si="70"/>
        <v>745937</v>
      </c>
      <c r="L983" s="14" t="s">
        <v>155</v>
      </c>
      <c r="M983" s="292" t="s">
        <v>153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21"/>
    </row>
    <row r="984" spans="1:26" ht="15.75" customHeight="1">
      <c r="A984" s="125" t="str">
        <f>IF(B984&lt;&gt;"",IF(AND(B984&gt;=_TM1,B984&lt;=_TM2,OR(TH!L984="1111",TH!M984="1111")),TH!D984,""),"")</f>
        <v/>
      </c>
      <c r="B984" s="11">
        <f t="shared" si="72"/>
        <v>6</v>
      </c>
      <c r="C984" s="115">
        <f t="shared" si="71"/>
        <v>40723</v>
      </c>
      <c r="D984" s="115" t="s">
        <v>1076</v>
      </c>
      <c r="E984" s="12">
        <v>40723</v>
      </c>
      <c r="F984" s="154" t="s">
        <v>891</v>
      </c>
      <c r="G984" s="15"/>
      <c r="H984" s="242" t="s">
        <v>1037</v>
      </c>
      <c r="I984" s="155">
        <v>103</v>
      </c>
      <c r="J984" s="307">
        <v>7385.5145631067962</v>
      </c>
      <c r="K984" s="238">
        <f t="shared" si="70"/>
        <v>760708</v>
      </c>
      <c r="L984" s="14" t="s">
        <v>155</v>
      </c>
      <c r="M984" s="292" t="s">
        <v>153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21"/>
    </row>
    <row r="985" spans="1:26" ht="15.75" customHeight="1">
      <c r="A985" s="125" t="str">
        <f>IF(B985&lt;&gt;"",IF(AND(B985&gt;=_TM1,B985&lt;=_TM2,OR(TH!L985="1111",TH!M985="1111")),TH!D985,""),"")</f>
        <v/>
      </c>
      <c r="B985" s="11">
        <f t="shared" si="72"/>
        <v>6</v>
      </c>
      <c r="C985" s="115">
        <f t="shared" si="71"/>
        <v>40723</v>
      </c>
      <c r="D985" s="115" t="s">
        <v>1076</v>
      </c>
      <c r="E985" s="12">
        <v>40723</v>
      </c>
      <c r="F985" s="154" t="s">
        <v>767</v>
      </c>
      <c r="G985" s="15"/>
      <c r="H985" s="242" t="s">
        <v>1037</v>
      </c>
      <c r="I985" s="155">
        <v>109</v>
      </c>
      <c r="J985" s="301">
        <v>16526.394495412846</v>
      </c>
      <c r="K985" s="238">
        <f t="shared" si="70"/>
        <v>1801377</v>
      </c>
      <c r="L985" s="14" t="s">
        <v>155</v>
      </c>
      <c r="M985" s="292" t="s">
        <v>153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21"/>
    </row>
    <row r="986" spans="1:26" ht="15.75" customHeight="1">
      <c r="A986" s="125" t="str">
        <f>IF(B986&lt;&gt;"",IF(AND(B986&gt;=_TM1,B986&lt;=_TM2,OR(TH!L986="1111",TH!M986="1111")),TH!D986,""),"")</f>
        <v/>
      </c>
      <c r="B986" s="11">
        <f t="shared" si="72"/>
        <v>6</v>
      </c>
      <c r="C986" s="115">
        <f t="shared" si="71"/>
        <v>40723</v>
      </c>
      <c r="D986" s="115" t="s">
        <v>1076</v>
      </c>
      <c r="E986" s="12">
        <v>40723</v>
      </c>
      <c r="F986" s="114" t="s">
        <v>893</v>
      </c>
      <c r="G986" s="15"/>
      <c r="H986" s="242" t="s">
        <v>1037</v>
      </c>
      <c r="I986" s="155">
        <v>104</v>
      </c>
      <c r="J986" s="306">
        <v>21595.509615384617</v>
      </c>
      <c r="K986" s="238">
        <f t="shared" si="70"/>
        <v>2245933</v>
      </c>
      <c r="L986" s="14" t="s">
        <v>155</v>
      </c>
      <c r="M986" s="292" t="s">
        <v>153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21"/>
    </row>
    <row r="987" spans="1:26" ht="15.75" customHeight="1">
      <c r="A987" s="125" t="str">
        <f>IF(B987&lt;&gt;"",IF(AND(B987&gt;=_TM1,B987&lt;=_TM2,OR(TH!L987="1111",TH!M987="1111")),TH!D987,""),"")</f>
        <v/>
      </c>
      <c r="B987" s="11">
        <f t="shared" si="72"/>
        <v>6</v>
      </c>
      <c r="C987" s="288">
        <f t="shared" si="71"/>
        <v>40724</v>
      </c>
      <c r="D987" s="110" t="s">
        <v>1033</v>
      </c>
      <c r="E987" s="293">
        <v>40724</v>
      </c>
      <c r="F987" s="289" t="str">
        <f>"Thanh toán tiền lương tháng "&amp;MONTH(E987)&amp;"/"&amp;YEAR(E987)</f>
        <v>Thanh toán tiền lương tháng 6/2011</v>
      </c>
      <c r="G987" s="290"/>
      <c r="H987" s="242" t="s">
        <v>340</v>
      </c>
      <c r="I987" s="349"/>
      <c r="J987" s="349"/>
      <c r="K987" s="291">
        <v>13340000</v>
      </c>
      <c r="L987" s="292" t="s">
        <v>240</v>
      </c>
      <c r="M987" s="292" t="s">
        <v>44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>x</v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235"/>
    </row>
    <row r="988" spans="1:26" ht="15.75" customHeight="1">
      <c r="A988" s="125" t="str">
        <f>IF(B988&lt;&gt;"",IF(AND(B988&gt;=_TM1,B988&lt;=_TM2,OR(TH!L988="1111",TH!M988="1111")),TH!D988,""),"")</f>
        <v/>
      </c>
      <c r="B988" s="11">
        <f t="shared" si="72"/>
        <v>6</v>
      </c>
      <c r="C988" s="115">
        <f t="shared" si="71"/>
        <v>40724</v>
      </c>
      <c r="D988" s="110" t="s">
        <v>1034</v>
      </c>
      <c r="E988" s="115">
        <v>40724</v>
      </c>
      <c r="F988" s="116" t="s">
        <v>445</v>
      </c>
      <c r="G988" s="221" t="s">
        <v>516</v>
      </c>
      <c r="H988" s="20" t="s">
        <v>449</v>
      </c>
      <c r="I988" s="302"/>
      <c r="J988" s="301"/>
      <c r="K988" s="13">
        <v>1127386</v>
      </c>
      <c r="L988" s="118" t="s">
        <v>73</v>
      </c>
      <c r="M988" s="239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/>
      </c>
      <c r="P988" s="25" t="str">
        <f>IF(AND($L988=$O$7,$B988&lt;'111'!$N$11),"x","")</f>
        <v/>
      </c>
      <c r="Q988" s="25" t="str">
        <f>IF(AND($M988=$O$7,$B988&lt;'111'!$N$11),"x","")</f>
        <v>x</v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>x</v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32">
        <v>6</v>
      </c>
    </row>
    <row r="989" spans="1:26" ht="15.75" customHeight="1">
      <c r="A989" s="125" t="str">
        <f>IF(B989&lt;&gt;"",IF(AND(B989&gt;=_TM1,B989&lt;=_TM2,OR(TH!L989="1111",TH!M989="1111")),TH!D989,""),"")</f>
        <v/>
      </c>
      <c r="B989" s="11">
        <f t="shared" si="72"/>
        <v>6</v>
      </c>
      <c r="C989" s="115">
        <f t="shared" si="71"/>
        <v>40724</v>
      </c>
      <c r="D989" s="110" t="s">
        <v>1034</v>
      </c>
      <c r="E989" s="115">
        <v>40724</v>
      </c>
      <c r="F989" s="116" t="s">
        <v>448</v>
      </c>
      <c r="G989" s="221" t="s">
        <v>516</v>
      </c>
      <c r="H989" s="20" t="s">
        <v>449</v>
      </c>
      <c r="I989" s="302"/>
      <c r="J989" s="301"/>
      <c r="K989" s="13">
        <v>112739</v>
      </c>
      <c r="L989" s="118" t="s">
        <v>9</v>
      </c>
      <c r="M989" s="239" t="s">
        <v>44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>x</v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32">
        <v>6</v>
      </c>
    </row>
    <row r="990" spans="1:26" ht="15.75" customHeight="1">
      <c r="A990" s="125" t="str">
        <f>IF(B990&lt;&gt;"",IF(AND(B990&gt;=_TM1,B990&lt;=_TM2,OR(TH!L990="1111",TH!M990="1111")),TH!D990,""),"")</f>
        <v/>
      </c>
      <c r="B990" s="11">
        <f t="shared" si="72"/>
        <v>6</v>
      </c>
      <c r="C990" s="115">
        <f t="shared" si="71"/>
        <v>40724</v>
      </c>
      <c r="D990" s="110" t="s">
        <v>1035</v>
      </c>
      <c r="E990" s="115">
        <v>40724</v>
      </c>
      <c r="F990" s="116" t="s">
        <v>445</v>
      </c>
      <c r="G990" s="221" t="s">
        <v>517</v>
      </c>
      <c r="H990" s="20" t="s">
        <v>447</v>
      </c>
      <c r="I990" s="302"/>
      <c r="J990" s="301"/>
      <c r="K990" s="13">
        <v>234053</v>
      </c>
      <c r="L990" s="118" t="s">
        <v>73</v>
      </c>
      <c r="M990" s="239" t="s">
        <v>44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>x</v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>x</v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32">
        <v>6</v>
      </c>
    </row>
    <row r="991" spans="1:26" ht="15.75" customHeight="1">
      <c r="A991" s="125" t="str">
        <f>IF(B991&lt;&gt;"",IF(AND(B991&gt;=_TM1,B991&lt;=_TM2,OR(TH!L991="1111",TH!M991="1111")),TH!D991,""),"")</f>
        <v/>
      </c>
      <c r="B991" s="11">
        <f t="shared" si="72"/>
        <v>6</v>
      </c>
      <c r="C991" s="115">
        <f t="shared" si="71"/>
        <v>40724</v>
      </c>
      <c r="D991" s="110" t="s">
        <v>1035</v>
      </c>
      <c r="E991" s="115">
        <v>40724</v>
      </c>
      <c r="F991" s="116" t="s">
        <v>445</v>
      </c>
      <c r="G991" s="221" t="s">
        <v>517</v>
      </c>
      <c r="H991" s="20" t="s">
        <v>447</v>
      </c>
      <c r="I991" s="302"/>
      <c r="J991" s="301"/>
      <c r="K991" s="13">
        <v>23406</v>
      </c>
      <c r="L991" s="118" t="s">
        <v>9</v>
      </c>
      <c r="M991" s="239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/>
      </c>
      <c r="P991" s="25" t="str">
        <f>IF(AND($L991=$O$7,$B991&lt;'111'!$N$11),"x","")</f>
        <v/>
      </c>
      <c r="Q991" s="25" t="str">
        <f>IF(AND($M991=$O$7,$B991&lt;'111'!$N$11),"x","")</f>
        <v>x</v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32">
        <v>6</v>
      </c>
    </row>
    <row r="992" spans="1:26" ht="15.75" customHeight="1">
      <c r="A992" s="125" t="str">
        <f>IF(B992&lt;&gt;"",IF(AND(B992&gt;=_TM1,B992&lt;=_TM2,OR(TH!L992="1111",TH!M992="1111")),TH!D992,""),"")</f>
        <v/>
      </c>
      <c r="B992" s="11">
        <f t="shared" si="72"/>
        <v>6</v>
      </c>
      <c r="C992" s="288">
        <f t="shared" si="71"/>
        <v>40724</v>
      </c>
      <c r="D992" s="288" t="s">
        <v>314</v>
      </c>
      <c r="E992" s="293">
        <v>40724</v>
      </c>
      <c r="F992" s="289" t="s">
        <v>895</v>
      </c>
      <c r="G992" s="290"/>
      <c r="H992" s="242"/>
      <c r="I992" s="349"/>
      <c r="J992" s="349"/>
      <c r="K992" s="291">
        <v>7070000</v>
      </c>
      <c r="L992" s="292" t="s">
        <v>73</v>
      </c>
      <c r="M992" s="292" t="s">
        <v>240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/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>x</v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235"/>
    </row>
    <row r="993" spans="1:26" ht="15.75" customHeight="1">
      <c r="A993" s="125" t="str">
        <f>IF(B993&lt;&gt;"",IF(AND(B993&gt;=_TM1,B993&lt;=_TM2,OR(TH!L993="1111",TH!M993="1111")),TH!D993,""),"")</f>
        <v/>
      </c>
      <c r="B993" s="11">
        <f t="shared" si="72"/>
        <v>6</v>
      </c>
      <c r="C993" s="288">
        <f t="shared" si="71"/>
        <v>40724</v>
      </c>
      <c r="D993" s="288" t="s">
        <v>314</v>
      </c>
      <c r="E993" s="293">
        <v>40724</v>
      </c>
      <c r="F993" s="289" t="s">
        <v>755</v>
      </c>
      <c r="G993" s="290"/>
      <c r="H993" s="242"/>
      <c r="I993" s="349"/>
      <c r="J993" s="349"/>
      <c r="K993" s="291">
        <v>6270000</v>
      </c>
      <c r="L993" s="292" t="s">
        <v>153</v>
      </c>
      <c r="M993" s="292" t="s">
        <v>240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235"/>
    </row>
    <row r="994" spans="1:26" ht="15.75" customHeight="1">
      <c r="A994" s="125" t="str">
        <f>IF(B994&lt;&gt;"",IF(AND(B994&gt;=_TM1,B994&lt;=_TM2,OR(TH!L994="1111",TH!M994="1111")),TH!D994,""),"")</f>
        <v/>
      </c>
      <c r="B994" s="11">
        <f t="shared" si="72"/>
        <v>6</v>
      </c>
      <c r="C994" s="115">
        <v>40724</v>
      </c>
      <c r="D994" s="115" t="s">
        <v>901</v>
      </c>
      <c r="E994" s="110">
        <v>40724</v>
      </c>
      <c r="F994" s="116" t="s">
        <v>855</v>
      </c>
      <c r="G994" s="224" t="s">
        <v>894</v>
      </c>
      <c r="H994" s="131" t="s">
        <v>854</v>
      </c>
      <c r="I994" s="301"/>
      <c r="J994" s="301"/>
      <c r="K994" s="238">
        <v>6186585</v>
      </c>
      <c r="L994" s="118" t="s">
        <v>44</v>
      </c>
      <c r="M994" s="118" t="s">
        <v>237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>x</v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21"/>
    </row>
    <row r="995" spans="1:26" ht="15.75" customHeight="1">
      <c r="A995" s="125" t="str">
        <f>IF(B995&lt;&gt;"",IF(AND(B995&gt;=_TM1,B995&lt;=_TM2,OR(TH!L995="1111",TH!M995="1111")),TH!D995,""),"")</f>
        <v/>
      </c>
      <c r="B995" s="11">
        <f t="shared" si="72"/>
        <v>6</v>
      </c>
      <c r="C995" s="115">
        <v>40724</v>
      </c>
      <c r="D995" s="115" t="s">
        <v>1146</v>
      </c>
      <c r="E995" s="110">
        <v>40724</v>
      </c>
      <c r="F995" s="116" t="s">
        <v>855</v>
      </c>
      <c r="G995" s="224" t="s">
        <v>894</v>
      </c>
      <c r="H995" s="131" t="s">
        <v>854</v>
      </c>
      <c r="I995" s="301">
        <v>778</v>
      </c>
      <c r="J995" s="301">
        <v>7229</v>
      </c>
      <c r="K995" s="238">
        <v>5624162</v>
      </c>
      <c r="L995" s="118" t="s">
        <v>237</v>
      </c>
      <c r="M995" s="118" t="s">
        <v>163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310"/>
    </row>
    <row r="996" spans="1:26" ht="15.75" customHeight="1">
      <c r="A996" s="125" t="str">
        <f>IF(B996&lt;&gt;"",IF(AND(B996&gt;=_TM1,B996&lt;=_TM2,OR(TH!L996="1111",TH!M996="1111")),TH!D996,""),"")</f>
        <v/>
      </c>
      <c r="B996" s="11">
        <f t="shared" si="72"/>
        <v>6</v>
      </c>
      <c r="C996" s="115">
        <v>40724</v>
      </c>
      <c r="D996" s="115" t="s">
        <v>1146</v>
      </c>
      <c r="E996" s="110">
        <v>40724</v>
      </c>
      <c r="F996" s="322" t="s">
        <v>783</v>
      </c>
      <c r="G996" s="224" t="s">
        <v>894</v>
      </c>
      <c r="H996" s="131" t="s">
        <v>854</v>
      </c>
      <c r="I996" s="301"/>
      <c r="J996" s="141"/>
      <c r="K996" s="238">
        <f>562416+7</f>
        <v>562423</v>
      </c>
      <c r="L996" s="118" t="s">
        <v>237</v>
      </c>
      <c r="M996" s="118" t="s">
        <v>707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/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310"/>
    </row>
    <row r="997" spans="1:26" ht="15.75" customHeight="1">
      <c r="A997" s="125" t="str">
        <f>IF(B997&lt;&gt;"",IF(AND(B997&gt;=_TM1,B997&lt;=_TM2,OR(TH!L997="1111",TH!M997="1111")),TH!D997,""),"")</f>
        <v/>
      </c>
      <c r="B997" s="11">
        <f t="shared" si="72"/>
        <v>6</v>
      </c>
      <c r="C997" s="115">
        <v>40724</v>
      </c>
      <c r="D997" s="115" t="s">
        <v>1146</v>
      </c>
      <c r="E997" s="110">
        <v>40724</v>
      </c>
      <c r="F997" s="116" t="s">
        <v>855</v>
      </c>
      <c r="G997" s="224" t="s">
        <v>894</v>
      </c>
      <c r="H997" s="131" t="s">
        <v>854</v>
      </c>
      <c r="I997" s="301">
        <v>778</v>
      </c>
      <c r="J997" s="351">
        <v>7385.5128534704372</v>
      </c>
      <c r="K997" s="238">
        <f>ROUND(I997*J997,0)</f>
        <v>5745929</v>
      </c>
      <c r="L997" s="319" t="s">
        <v>161</v>
      </c>
      <c r="M997" s="319" t="s">
        <v>155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21"/>
    </row>
    <row r="998" spans="1:26" ht="15.75" customHeight="1">
      <c r="A998" s="125" t="str">
        <f>IF(B998&lt;&gt;"",IF(AND(B998&gt;=_TM1,B998&lt;=_TM2,OR(TH!L998="1111",TH!M998="1111")),TH!D998,""),"")</f>
        <v/>
      </c>
      <c r="B998" s="11">
        <f t="shared" si="72"/>
        <v>6</v>
      </c>
      <c r="C998" s="115">
        <f t="shared" ref="C998:C1003" si="73">E998</f>
        <v>40724</v>
      </c>
      <c r="D998" s="115" t="s">
        <v>1077</v>
      </c>
      <c r="E998" s="12">
        <v>40724</v>
      </c>
      <c r="F998" s="154" t="s">
        <v>855</v>
      </c>
      <c r="G998" s="15"/>
      <c r="H998" s="242" t="s">
        <v>1037</v>
      </c>
      <c r="I998" s="155">
        <v>778</v>
      </c>
      <c r="J998" s="306">
        <v>7385.5128534704372</v>
      </c>
      <c r="K998" s="238">
        <f>ROUND(I998*J998,0)</f>
        <v>5745929</v>
      </c>
      <c r="L998" s="14" t="s">
        <v>155</v>
      </c>
      <c r="M998" s="292" t="s">
        <v>153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21"/>
    </row>
    <row r="999" spans="1:26" ht="15.75" customHeight="1">
      <c r="A999" s="125" t="str">
        <f>IF(B999&lt;&gt;"",IF(AND(B999&gt;=_TM1,B999&lt;=_TM2,OR(TH!L999="1111",TH!M999="1111")),TH!D999,""),"")</f>
        <v/>
      </c>
      <c r="B999" s="11">
        <f t="shared" si="72"/>
        <v>7</v>
      </c>
      <c r="C999" s="288">
        <f t="shared" si="73"/>
        <v>40725</v>
      </c>
      <c r="D999" s="288" t="s">
        <v>314</v>
      </c>
      <c r="E999" s="312">
        <v>40725</v>
      </c>
      <c r="F999" s="289" t="s">
        <v>752</v>
      </c>
      <c r="G999" s="290"/>
      <c r="H999" s="242"/>
      <c r="I999" s="220"/>
      <c r="J999" s="220"/>
      <c r="K999" s="238">
        <v>18250000</v>
      </c>
      <c r="L999" s="292" t="s">
        <v>153</v>
      </c>
      <c r="M999" s="292" t="s">
        <v>238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/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>x</v>
      </c>
      <c r="Z999" s="121"/>
    </row>
    <row r="1000" spans="1:26" ht="15.75" customHeight="1">
      <c r="A1000" s="125" t="str">
        <f>IF(B1000&lt;&gt;"",IF(AND(B1000&gt;=_TM1,B1000&lt;=_TM2,OR(TH!L1000="1111",TH!M1000="1111")),TH!D1000,""),"")</f>
        <v/>
      </c>
      <c r="B1000" s="11">
        <f t="shared" si="72"/>
        <v>7</v>
      </c>
      <c r="C1000" s="288">
        <f t="shared" si="73"/>
        <v>40725</v>
      </c>
      <c r="D1000" s="288" t="s">
        <v>314</v>
      </c>
      <c r="E1000" s="312">
        <v>40725</v>
      </c>
      <c r="F1000" s="289" t="s">
        <v>753</v>
      </c>
      <c r="G1000" s="290"/>
      <c r="H1000" s="242"/>
      <c r="I1000" s="220"/>
      <c r="J1000" s="220"/>
      <c r="K1000" s="238">
        <v>3164845</v>
      </c>
      <c r="L1000" s="292" t="s">
        <v>153</v>
      </c>
      <c r="M1000" s="292" t="s">
        <v>744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>x</v>
      </c>
      <c r="Z1000" s="121"/>
    </row>
    <row r="1001" spans="1:26" ht="15.75" customHeight="1">
      <c r="A1001" s="125" t="str">
        <f>IF(B1001&lt;&gt;"",IF(AND(B1001&gt;=_TM1,B1001&lt;=_TM2,OR(TH!L1001="1111",TH!M1001="1111")),TH!D1001,""),"")</f>
        <v/>
      </c>
      <c r="B1001" s="11">
        <f t="shared" si="72"/>
        <v>7</v>
      </c>
      <c r="C1001" s="12">
        <f t="shared" si="73"/>
        <v>40725</v>
      </c>
      <c r="D1001" s="12" t="s">
        <v>903</v>
      </c>
      <c r="E1001" s="12">
        <v>40725</v>
      </c>
      <c r="F1001" s="15" t="s">
        <v>365</v>
      </c>
      <c r="G1001" s="15"/>
      <c r="H1001" s="242" t="s">
        <v>1037</v>
      </c>
      <c r="I1001" s="141">
        <v>50</v>
      </c>
      <c r="J1001" s="141">
        <v>23500</v>
      </c>
      <c r="K1001" s="238">
        <f>ROUND(I1001*J1001,0)</f>
        <v>1175000</v>
      </c>
      <c r="L1001" s="14" t="s">
        <v>153</v>
      </c>
      <c r="M1001" s="14" t="s">
        <v>149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>x</v>
      </c>
      <c r="Y1001" s="25" t="str">
        <f>IF(AND(B1001&lt;=NKC!$N$8,B1001&gt;=NKC!$M$8),"x","")</f>
        <v>x</v>
      </c>
      <c r="Z1001" s="121"/>
    </row>
    <row r="1002" spans="1:26" ht="15.75" customHeight="1">
      <c r="A1002" s="125" t="str">
        <f>IF(B1002&lt;&gt;"",IF(AND(B1002&gt;=_TM1,B1002&lt;=_TM2,OR(TH!L1002="1111",TH!M1002="1111")),TH!D1002,""),"")</f>
        <v/>
      </c>
      <c r="B1002" s="11">
        <f t="shared" si="72"/>
        <v>7</v>
      </c>
      <c r="C1002" s="12">
        <f t="shared" si="73"/>
        <v>40725</v>
      </c>
      <c r="D1002" s="12" t="s">
        <v>903</v>
      </c>
      <c r="E1002" s="12">
        <v>40725</v>
      </c>
      <c r="F1002" s="15" t="s">
        <v>317</v>
      </c>
      <c r="G1002" s="15"/>
      <c r="H1002" s="242" t="s">
        <v>1037</v>
      </c>
      <c r="I1002" s="141">
        <v>28</v>
      </c>
      <c r="J1002" s="141">
        <v>42000</v>
      </c>
      <c r="K1002" s="238">
        <f>ROUND(I1002*J1002,0)</f>
        <v>1176000</v>
      </c>
      <c r="L1002" s="14" t="s">
        <v>153</v>
      </c>
      <c r="M1002" s="14" t="s">
        <v>149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>x</v>
      </c>
      <c r="Z1002" s="121"/>
    </row>
    <row r="1003" spans="1:26" ht="15.75" customHeight="1">
      <c r="A1003" s="125" t="str">
        <f>IF(B1003&lt;&gt;"",IF(AND(B1003&gt;=_TM1,B1003&lt;=_TM2,OR(TH!L1003="1111",TH!M1003="1111")),TH!D1003,""),"")</f>
        <v/>
      </c>
      <c r="B1003" s="11">
        <f t="shared" si="72"/>
        <v>7</v>
      </c>
      <c r="C1003" s="12">
        <f t="shared" si="73"/>
        <v>40725</v>
      </c>
      <c r="D1003" s="12" t="s">
        <v>903</v>
      </c>
      <c r="E1003" s="12">
        <v>40725</v>
      </c>
      <c r="F1003" s="15" t="s">
        <v>452</v>
      </c>
      <c r="G1003" s="15"/>
      <c r="H1003" s="242" t="s">
        <v>1037</v>
      </c>
      <c r="I1003" s="141">
        <v>6413.5</v>
      </c>
      <c r="J1003" s="141">
        <v>220</v>
      </c>
      <c r="K1003" s="238">
        <f>ROUND(I1003*J1003,0)</f>
        <v>1410970</v>
      </c>
      <c r="L1003" s="14" t="s">
        <v>153</v>
      </c>
      <c r="M1003" s="14" t="s">
        <v>149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>x</v>
      </c>
      <c r="Z1003" s="121"/>
    </row>
    <row r="1004" spans="1:26" ht="15.75" customHeight="1">
      <c r="A1004" s="125" t="str">
        <f>IF(B1004&lt;&gt;"",IF(AND(B1004&gt;=_TM1,B1004&lt;=_TM2,OR(TH!L1004="1111",TH!M1004="1111")),TH!D1004,""),"")</f>
        <v/>
      </c>
      <c r="B1004" s="11">
        <f t="shared" si="72"/>
        <v>7</v>
      </c>
      <c r="C1004" s="115">
        <v>40729</v>
      </c>
      <c r="D1004" s="110" t="s">
        <v>411</v>
      </c>
      <c r="E1004" s="115">
        <v>40729</v>
      </c>
      <c r="F1004" s="154" t="s">
        <v>1081</v>
      </c>
      <c r="G1004" s="224" t="s">
        <v>1082</v>
      </c>
      <c r="H1004" s="4" t="s">
        <v>348</v>
      </c>
      <c r="I1004" s="141">
        <v>40</v>
      </c>
      <c r="J1004" s="141">
        <v>67000</v>
      </c>
      <c r="K1004" s="238">
        <v>2680000</v>
      </c>
      <c r="L1004" s="118" t="s">
        <v>153</v>
      </c>
      <c r="M1004" s="118" t="s">
        <v>44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>x</v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>x</v>
      </c>
      <c r="Z1004" s="132">
        <v>7</v>
      </c>
    </row>
    <row r="1005" spans="1:26" ht="15.75" customHeight="1">
      <c r="A1005" s="125" t="str">
        <f>IF(B1005&lt;&gt;"",IF(AND(B1005&gt;=_TM1,B1005&lt;=_TM2,OR(TH!L1005="1111",TH!M1005="1111")),TH!D1005,""),"")</f>
        <v/>
      </c>
      <c r="B1005" s="11">
        <f t="shared" si="72"/>
        <v>7</v>
      </c>
      <c r="C1005" s="115">
        <v>40729</v>
      </c>
      <c r="D1005" s="110" t="s">
        <v>411</v>
      </c>
      <c r="E1005" s="115">
        <v>40729</v>
      </c>
      <c r="F1005" s="154" t="s">
        <v>1083</v>
      </c>
      <c r="G1005" s="224" t="s">
        <v>1082</v>
      </c>
      <c r="H1005" s="4" t="s">
        <v>348</v>
      </c>
      <c r="I1005" s="141"/>
      <c r="J1005" s="141"/>
      <c r="K1005" s="13">
        <v>268000</v>
      </c>
      <c r="L1005" s="118" t="s">
        <v>9</v>
      </c>
      <c r="M1005" s="118" t="s">
        <v>44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>x</v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>x</v>
      </c>
      <c r="Z1005" s="132">
        <v>7</v>
      </c>
    </row>
    <row r="1006" spans="1:26" ht="15.75" customHeight="1">
      <c r="A1006" s="125" t="str">
        <f>IF(B1006&lt;&gt;"",IF(AND(B1006&gt;=_TM1,B1006&lt;=_TM2,OR(TH!L1006="1111",TH!M1006="1111")),TH!D1006,""),"")</f>
        <v/>
      </c>
      <c r="B1006" s="11">
        <f t="shared" si="72"/>
        <v>7</v>
      </c>
      <c r="C1006" s="12">
        <f t="shared" ref="C1006:C1021" si="74">E1006</f>
        <v>40729</v>
      </c>
      <c r="D1006" s="12" t="s">
        <v>1036</v>
      </c>
      <c r="E1006" s="304">
        <v>40729</v>
      </c>
      <c r="F1006" s="154" t="s">
        <v>456</v>
      </c>
      <c r="G1006" s="15"/>
      <c r="H1006" s="242" t="s">
        <v>1037</v>
      </c>
      <c r="I1006" s="141">
        <v>124</v>
      </c>
      <c r="J1006" s="141">
        <v>6026</v>
      </c>
      <c r="K1006" s="238">
        <f t="shared" ref="K1006:K1021" si="75">ROUND(I1006*J1006,0)</f>
        <v>747224</v>
      </c>
      <c r="L1006" s="14" t="s">
        <v>153</v>
      </c>
      <c r="M1006" s="14" t="s">
        <v>147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>x</v>
      </c>
      <c r="Z1006" s="121"/>
    </row>
    <row r="1007" spans="1:26" ht="15.75" customHeight="1">
      <c r="A1007" s="125" t="str">
        <f>IF(B1007&lt;&gt;"",IF(AND(B1007&gt;=_TM1,B1007&lt;=_TM2,OR(TH!L1007="1111",TH!M1007="1111")),TH!D1007,""),"")</f>
        <v/>
      </c>
      <c r="B1007" s="11">
        <f t="shared" si="72"/>
        <v>7</v>
      </c>
      <c r="C1007" s="12">
        <f t="shared" si="74"/>
        <v>40729</v>
      </c>
      <c r="D1007" s="12" t="s">
        <v>1036</v>
      </c>
      <c r="E1007" s="304">
        <v>40729</v>
      </c>
      <c r="F1007" s="15" t="s">
        <v>587</v>
      </c>
      <c r="G1007" s="15"/>
      <c r="H1007" s="242" t="s">
        <v>1037</v>
      </c>
      <c r="I1007" s="141">
        <v>487</v>
      </c>
      <c r="J1007" s="141">
        <v>22484</v>
      </c>
      <c r="K1007" s="238">
        <f t="shared" si="75"/>
        <v>10949708</v>
      </c>
      <c r="L1007" s="14" t="s">
        <v>153</v>
      </c>
      <c r="M1007" s="14" t="s">
        <v>147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>x</v>
      </c>
      <c r="Z1007" s="121"/>
    </row>
    <row r="1008" spans="1:26" ht="15.75" customHeight="1">
      <c r="A1008" s="125" t="str">
        <f>IF(B1008&lt;&gt;"",IF(AND(B1008&gt;=_TM1,B1008&lt;=_TM2,OR(TH!L1008="1111",TH!M1008="1111")),TH!D1008,""),"")</f>
        <v/>
      </c>
      <c r="B1008" s="11">
        <f t="shared" si="72"/>
        <v>7</v>
      </c>
      <c r="C1008" s="12">
        <f t="shared" si="74"/>
        <v>40729</v>
      </c>
      <c r="D1008" s="12" t="s">
        <v>1036</v>
      </c>
      <c r="E1008" s="304">
        <v>40729</v>
      </c>
      <c r="F1008" s="15" t="s">
        <v>605</v>
      </c>
      <c r="G1008" s="15"/>
      <c r="H1008" s="242" t="s">
        <v>1037</v>
      </c>
      <c r="I1008" s="315">
        <v>13</v>
      </c>
      <c r="J1008" s="141">
        <v>32985</v>
      </c>
      <c r="K1008" s="238">
        <f t="shared" si="75"/>
        <v>428805</v>
      </c>
      <c r="L1008" s="14" t="s">
        <v>153</v>
      </c>
      <c r="M1008" s="14" t="s">
        <v>147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>x</v>
      </c>
      <c r="Z1008" s="121"/>
    </row>
    <row r="1009" spans="1:26" ht="15.75" customHeight="1">
      <c r="A1009" s="125" t="str">
        <f>IF(B1009&lt;&gt;"",IF(AND(B1009&gt;=_TM1,B1009&lt;=_TM2,OR(TH!L1009="1111",TH!M1009="1111")),TH!D1009,""),"")</f>
        <v/>
      </c>
      <c r="B1009" s="11">
        <f t="shared" si="72"/>
        <v>7</v>
      </c>
      <c r="C1009" s="12">
        <f t="shared" si="74"/>
        <v>40729</v>
      </c>
      <c r="D1009" s="12" t="s">
        <v>1036</v>
      </c>
      <c r="E1009" s="304">
        <v>40729</v>
      </c>
      <c r="F1009" s="114" t="s">
        <v>364</v>
      </c>
      <c r="G1009" s="15"/>
      <c r="H1009" s="242" t="s">
        <v>1037</v>
      </c>
      <c r="I1009" s="315">
        <v>60</v>
      </c>
      <c r="J1009" s="141">
        <v>4449</v>
      </c>
      <c r="K1009" s="238">
        <f t="shared" si="75"/>
        <v>266940</v>
      </c>
      <c r="L1009" s="14" t="s">
        <v>153</v>
      </c>
      <c r="M1009" s="14" t="s">
        <v>147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>x</v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>x</v>
      </c>
      <c r="Z1009" s="121"/>
    </row>
    <row r="1010" spans="1:26" ht="15.75" customHeight="1">
      <c r="A1010" s="125" t="str">
        <f>IF(B1010&lt;&gt;"",IF(AND(B1010&gt;=_TM1,B1010&lt;=_TM2,OR(TH!L1010="1111",TH!M1010="1111")),TH!D1010,""),"")</f>
        <v/>
      </c>
      <c r="B1010" s="11">
        <f t="shared" si="72"/>
        <v>7</v>
      </c>
      <c r="C1010" s="12">
        <f t="shared" si="74"/>
        <v>40729</v>
      </c>
      <c r="D1010" s="12" t="s">
        <v>1036</v>
      </c>
      <c r="E1010" s="304">
        <v>40729</v>
      </c>
      <c r="F1010" s="114" t="s">
        <v>364</v>
      </c>
      <c r="G1010" s="15"/>
      <c r="H1010" s="242" t="s">
        <v>1037</v>
      </c>
      <c r="I1010" s="315">
        <v>60</v>
      </c>
      <c r="J1010" s="141">
        <v>4449</v>
      </c>
      <c r="K1010" s="238">
        <f t="shared" si="75"/>
        <v>266940</v>
      </c>
      <c r="L1010" s="14" t="s">
        <v>153</v>
      </c>
      <c r="M1010" s="14" t="s">
        <v>147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>x</v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>x</v>
      </c>
      <c r="Z1010" s="121"/>
    </row>
    <row r="1011" spans="1:26" ht="15.75" customHeight="1">
      <c r="A1011" s="125" t="str">
        <f>IF(B1011&lt;&gt;"",IF(AND(B1011&gt;=_TM1,B1011&lt;=_TM2,OR(TH!L1011="1111",TH!M1011="1111")),TH!D1011,""),"")</f>
        <v/>
      </c>
      <c r="B1011" s="11">
        <f t="shared" si="72"/>
        <v>7</v>
      </c>
      <c r="C1011" s="12">
        <f t="shared" si="74"/>
        <v>40729</v>
      </c>
      <c r="D1011" s="12" t="s">
        <v>1036</v>
      </c>
      <c r="E1011" s="304">
        <v>40729</v>
      </c>
      <c r="F1011" s="154" t="s">
        <v>455</v>
      </c>
      <c r="G1011" s="15"/>
      <c r="H1011" s="242" t="s">
        <v>1037</v>
      </c>
      <c r="I1011" s="141">
        <v>17</v>
      </c>
      <c r="J1011" s="141">
        <v>4592</v>
      </c>
      <c r="K1011" s="238">
        <f t="shared" si="75"/>
        <v>78064</v>
      </c>
      <c r="L1011" s="14" t="s">
        <v>153</v>
      </c>
      <c r="M1011" s="14" t="s">
        <v>147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>x</v>
      </c>
      <c r="Z1011" s="121"/>
    </row>
    <row r="1012" spans="1:26" ht="15.75" customHeight="1">
      <c r="A1012" s="125" t="str">
        <f>IF(B1012&lt;&gt;"",IF(AND(B1012&gt;=_TM1,B1012&lt;=_TM2,OR(TH!L1012="1111",TH!M1012="1111")),TH!D1012,""),"")</f>
        <v/>
      </c>
      <c r="B1012" s="11">
        <f t="shared" si="72"/>
        <v>7</v>
      </c>
      <c r="C1012" s="12">
        <f t="shared" si="74"/>
        <v>40729</v>
      </c>
      <c r="D1012" s="12" t="s">
        <v>1036</v>
      </c>
      <c r="E1012" s="304">
        <v>40729</v>
      </c>
      <c r="F1012" s="114" t="s">
        <v>364</v>
      </c>
      <c r="G1012" s="15"/>
      <c r="H1012" s="242" t="s">
        <v>1037</v>
      </c>
      <c r="I1012" s="315">
        <v>100</v>
      </c>
      <c r="J1012" s="141">
        <v>4448.97</v>
      </c>
      <c r="K1012" s="238">
        <f t="shared" si="75"/>
        <v>444897</v>
      </c>
      <c r="L1012" s="14" t="s">
        <v>153</v>
      </c>
      <c r="M1012" s="14" t="s">
        <v>147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/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>x</v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>x</v>
      </c>
      <c r="Z1012" s="329"/>
    </row>
    <row r="1013" spans="1:26" ht="15.75" customHeight="1">
      <c r="A1013" s="125" t="str">
        <f>IF(B1013&lt;&gt;"",IF(AND(B1013&gt;=_TM1,B1013&lt;=_TM2,OR(TH!L1013="1111",TH!M1013="1111")),TH!D1013,""),"")</f>
        <v/>
      </c>
      <c r="B1013" s="11">
        <f t="shared" si="72"/>
        <v>7</v>
      </c>
      <c r="C1013" s="12">
        <f t="shared" si="74"/>
        <v>40729</v>
      </c>
      <c r="D1013" s="12" t="s">
        <v>1036</v>
      </c>
      <c r="E1013" s="304">
        <v>40729</v>
      </c>
      <c r="F1013" s="114" t="s">
        <v>364</v>
      </c>
      <c r="G1013" s="15"/>
      <c r="H1013" s="242" t="s">
        <v>1037</v>
      </c>
      <c r="I1013" s="315">
        <v>6</v>
      </c>
      <c r="J1013" s="141">
        <v>4449</v>
      </c>
      <c r="K1013" s="238">
        <f t="shared" si="75"/>
        <v>26694</v>
      </c>
      <c r="L1013" s="14" t="s">
        <v>153</v>
      </c>
      <c r="M1013" s="14" t="s">
        <v>147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>x</v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>x</v>
      </c>
      <c r="Z1013" s="121"/>
    </row>
    <row r="1014" spans="1:26" ht="15.75" customHeight="1">
      <c r="A1014" s="125" t="str">
        <f>IF(B1014&lt;&gt;"",IF(AND(B1014&gt;=_TM1,B1014&lt;=_TM2,OR(TH!L1014="1111",TH!M1014="1111")),TH!D1014,""),"")</f>
        <v/>
      </c>
      <c r="B1014" s="11">
        <f t="shared" si="72"/>
        <v>7</v>
      </c>
      <c r="C1014" s="12">
        <f t="shared" si="74"/>
        <v>40733</v>
      </c>
      <c r="D1014" s="12" t="s">
        <v>1038</v>
      </c>
      <c r="E1014" s="304">
        <v>40733</v>
      </c>
      <c r="F1014" s="15" t="s">
        <v>603</v>
      </c>
      <c r="G1014" s="15"/>
      <c r="H1014" s="242" t="s">
        <v>1037</v>
      </c>
      <c r="I1014" s="141">
        <v>3</v>
      </c>
      <c r="J1014" s="141">
        <v>23975</v>
      </c>
      <c r="K1014" s="238">
        <f t="shared" si="75"/>
        <v>71925</v>
      </c>
      <c r="L1014" s="14" t="s">
        <v>153</v>
      </c>
      <c r="M1014" s="14" t="s">
        <v>147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>x</v>
      </c>
      <c r="Z1014" s="121"/>
    </row>
    <row r="1015" spans="1:26" ht="15.75" customHeight="1">
      <c r="A1015" s="125" t="str">
        <f>IF(B1015&lt;&gt;"",IF(AND(B1015&gt;=_TM1,B1015&lt;=_TM2,OR(TH!L1015="1111",TH!M1015="1111")),TH!D1015,""),"")</f>
        <v/>
      </c>
      <c r="B1015" s="11">
        <f t="shared" si="72"/>
        <v>7</v>
      </c>
      <c r="C1015" s="12">
        <f t="shared" si="74"/>
        <v>40733</v>
      </c>
      <c r="D1015" s="12" t="s">
        <v>1038</v>
      </c>
      <c r="E1015" s="304">
        <v>40733</v>
      </c>
      <c r="F1015" s="114" t="s">
        <v>376</v>
      </c>
      <c r="G1015" s="15"/>
      <c r="H1015" s="242" t="s">
        <v>1037</v>
      </c>
      <c r="I1015" s="141">
        <v>50</v>
      </c>
      <c r="J1015" s="141">
        <v>15998</v>
      </c>
      <c r="K1015" s="238">
        <f t="shared" si="75"/>
        <v>799900</v>
      </c>
      <c r="L1015" s="14" t="s">
        <v>153</v>
      </c>
      <c r="M1015" s="14" t="s">
        <v>147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>x</v>
      </c>
      <c r="Z1015" s="121"/>
    </row>
    <row r="1016" spans="1:26" ht="15.75" customHeight="1">
      <c r="A1016" s="125" t="str">
        <f>IF(B1016&lt;&gt;"",IF(AND(B1016&gt;=_TM1,B1016&lt;=_TM2,OR(TH!L1016="1111",TH!M1016="1111")),TH!D1016,""),"")</f>
        <v/>
      </c>
      <c r="B1016" s="11">
        <f t="shared" si="72"/>
        <v>7</v>
      </c>
      <c r="C1016" s="12">
        <f t="shared" si="74"/>
        <v>40733</v>
      </c>
      <c r="D1016" s="12" t="s">
        <v>1038</v>
      </c>
      <c r="E1016" s="304">
        <v>40733</v>
      </c>
      <c r="F1016" s="15" t="s">
        <v>567</v>
      </c>
      <c r="G1016" s="15"/>
      <c r="H1016" s="242" t="s">
        <v>1037</v>
      </c>
      <c r="I1016" s="141">
        <v>60.5</v>
      </c>
      <c r="J1016" s="141">
        <v>35812</v>
      </c>
      <c r="K1016" s="238">
        <f t="shared" si="75"/>
        <v>2166626</v>
      </c>
      <c r="L1016" s="14" t="s">
        <v>153</v>
      </c>
      <c r="M1016" s="14" t="s">
        <v>147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>x</v>
      </c>
      <c r="Z1016" s="121"/>
    </row>
    <row r="1017" spans="1:26" ht="15.75" customHeight="1">
      <c r="A1017" s="125" t="str">
        <f>IF(B1017&lt;&gt;"",IF(AND(B1017&gt;=_TM1,B1017&lt;=_TM2,OR(TH!L1017="1111",TH!M1017="1111")),TH!D1017,""),"")</f>
        <v/>
      </c>
      <c r="B1017" s="11">
        <f t="shared" si="72"/>
        <v>7</v>
      </c>
      <c r="C1017" s="12">
        <f t="shared" si="74"/>
        <v>40733</v>
      </c>
      <c r="D1017" s="12" t="s">
        <v>1038</v>
      </c>
      <c r="E1017" s="304">
        <v>40733</v>
      </c>
      <c r="F1017" s="114" t="s">
        <v>465</v>
      </c>
      <c r="G1017" s="15"/>
      <c r="H1017" s="242" t="s">
        <v>1037</v>
      </c>
      <c r="I1017" s="141">
        <v>83</v>
      </c>
      <c r="J1017" s="141">
        <v>16172.963855421687</v>
      </c>
      <c r="K1017" s="238">
        <f t="shared" si="75"/>
        <v>1342356</v>
      </c>
      <c r="L1017" s="14" t="s">
        <v>153</v>
      </c>
      <c r="M1017" s="14" t="s">
        <v>147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>x</v>
      </c>
      <c r="Z1017" s="121"/>
    </row>
    <row r="1018" spans="1:26" ht="15.75" customHeight="1">
      <c r="A1018" s="125" t="str">
        <f>IF(B1018&lt;&gt;"",IF(AND(B1018&gt;=_TM1,B1018&lt;=_TM2,OR(TH!L1018="1111",TH!M1018="1111")),TH!D1018,""),"")</f>
        <v/>
      </c>
      <c r="B1018" s="11">
        <f t="shared" si="72"/>
        <v>7</v>
      </c>
      <c r="C1018" s="12">
        <f t="shared" si="74"/>
        <v>40733</v>
      </c>
      <c r="D1018" s="12" t="s">
        <v>1038</v>
      </c>
      <c r="E1018" s="304">
        <v>40733</v>
      </c>
      <c r="F1018" s="114" t="s">
        <v>465</v>
      </c>
      <c r="G1018" s="15"/>
      <c r="H1018" s="242" t="s">
        <v>1037</v>
      </c>
      <c r="I1018" s="141">
        <v>0.5</v>
      </c>
      <c r="J1018" s="141">
        <v>16173</v>
      </c>
      <c r="K1018" s="238">
        <f t="shared" si="75"/>
        <v>8087</v>
      </c>
      <c r="L1018" s="14" t="s">
        <v>153</v>
      </c>
      <c r="M1018" s="14" t="s">
        <v>147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>x</v>
      </c>
      <c r="Z1018" s="121"/>
    </row>
    <row r="1019" spans="1:26" ht="15.75" customHeight="1">
      <c r="A1019" s="125" t="str">
        <f>IF(B1019&lt;&gt;"",IF(AND(B1019&gt;=_TM1,B1019&lt;=_TM2,OR(TH!L1019="1111",TH!M1019="1111")),TH!D1019,""),"")</f>
        <v/>
      </c>
      <c r="B1019" s="11">
        <f t="shared" si="72"/>
        <v>7</v>
      </c>
      <c r="C1019" s="12">
        <f t="shared" si="74"/>
        <v>40733</v>
      </c>
      <c r="D1019" s="12" t="s">
        <v>1038</v>
      </c>
      <c r="E1019" s="304">
        <v>40733</v>
      </c>
      <c r="F1019" s="15" t="s">
        <v>567</v>
      </c>
      <c r="G1019" s="15"/>
      <c r="H1019" s="242" t="s">
        <v>1037</v>
      </c>
      <c r="I1019" s="141">
        <v>40</v>
      </c>
      <c r="J1019" s="141">
        <v>35812</v>
      </c>
      <c r="K1019" s="238">
        <f t="shared" si="75"/>
        <v>1432480</v>
      </c>
      <c r="L1019" s="14" t="s">
        <v>153</v>
      </c>
      <c r="M1019" s="14" t="s">
        <v>147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>x</v>
      </c>
      <c r="Z1019" s="121"/>
    </row>
    <row r="1020" spans="1:26" ht="15.75" customHeight="1">
      <c r="A1020" s="125" t="str">
        <f>IF(B1020&lt;&gt;"",IF(AND(B1020&gt;=_TM1,B1020&lt;=_TM2,OR(TH!L1020="1111",TH!M1020="1111")),TH!D1020,""),"")</f>
        <v/>
      </c>
      <c r="B1020" s="11">
        <f t="shared" si="72"/>
        <v>7</v>
      </c>
      <c r="C1020" s="12">
        <f t="shared" si="74"/>
        <v>40733</v>
      </c>
      <c r="D1020" s="12" t="s">
        <v>1038</v>
      </c>
      <c r="E1020" s="304">
        <v>40733</v>
      </c>
      <c r="F1020" s="114" t="s">
        <v>542</v>
      </c>
      <c r="G1020" s="15"/>
      <c r="H1020" s="242" t="s">
        <v>1037</v>
      </c>
      <c r="I1020" s="141">
        <v>78</v>
      </c>
      <c r="J1020" s="141">
        <v>29579</v>
      </c>
      <c r="K1020" s="238">
        <f t="shared" si="75"/>
        <v>2307162</v>
      </c>
      <c r="L1020" s="14" t="s">
        <v>153</v>
      </c>
      <c r="M1020" s="14" t="s">
        <v>147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>x</v>
      </c>
      <c r="Z1020" s="121"/>
    </row>
    <row r="1021" spans="1:26" ht="15.75" customHeight="1">
      <c r="A1021" s="125" t="str">
        <f>IF(B1021&lt;&gt;"",IF(AND(B1021&gt;=_TM1,B1021&lt;=_TM2,OR(TH!L1021="1111",TH!M1021="1111")),TH!D1021,""),"")</f>
        <v/>
      </c>
      <c r="B1021" s="11">
        <f t="shared" si="72"/>
        <v>7</v>
      </c>
      <c r="C1021" s="12">
        <f t="shared" si="74"/>
        <v>40733</v>
      </c>
      <c r="D1021" s="12" t="s">
        <v>1038</v>
      </c>
      <c r="E1021" s="304">
        <v>40733</v>
      </c>
      <c r="F1021" s="114" t="s">
        <v>496</v>
      </c>
      <c r="G1021" s="15"/>
      <c r="H1021" s="242" t="s">
        <v>1037</v>
      </c>
      <c r="I1021" s="141">
        <v>305</v>
      </c>
      <c r="J1021" s="141">
        <v>10603</v>
      </c>
      <c r="K1021" s="238">
        <f t="shared" si="75"/>
        <v>3233915</v>
      </c>
      <c r="L1021" s="14" t="s">
        <v>153</v>
      </c>
      <c r="M1021" s="14" t="s">
        <v>147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/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>x</v>
      </c>
      <c r="Z1021" s="121"/>
    </row>
    <row r="1022" spans="1:26" ht="15.75" customHeight="1">
      <c r="A1022" s="125" t="str">
        <f>IF(B1022&lt;&gt;"",IF(AND(B1022&gt;=_TM1,B1022&lt;=_TM2,OR(TH!L1022="1111",TH!M1022="1111")),TH!D1022,""),"")</f>
        <v/>
      </c>
      <c r="B1022" s="11">
        <f t="shared" si="72"/>
        <v>7</v>
      </c>
      <c r="C1022" s="110">
        <v>40735</v>
      </c>
      <c r="D1022" s="110" t="s">
        <v>310</v>
      </c>
      <c r="E1022" s="110">
        <v>40735</v>
      </c>
      <c r="F1022" s="114" t="s">
        <v>312</v>
      </c>
      <c r="G1022" s="240" t="s">
        <v>307</v>
      </c>
      <c r="H1022" s="117" t="s">
        <v>709</v>
      </c>
      <c r="I1022" s="141"/>
      <c r="J1022" s="141"/>
      <c r="K1022" s="238">
        <v>109673711</v>
      </c>
      <c r="L1022" s="239" t="s">
        <v>23</v>
      </c>
      <c r="M1022" s="239" t="s">
        <v>237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>x</v>
      </c>
      <c r="Z1022" s="121"/>
    </row>
    <row r="1023" spans="1:26" ht="15.75" customHeight="1">
      <c r="A1023" s="125" t="str">
        <f>IF(B1023&lt;&gt;"",IF(AND(B1023&gt;=_TM1,B1023&lt;=_TM2,OR(TH!L1023="1111",TH!M1023="1111")),TH!D1023,""),"")</f>
        <v/>
      </c>
      <c r="B1023" s="11">
        <f t="shared" si="72"/>
        <v>7</v>
      </c>
      <c r="C1023" s="110">
        <v>40736</v>
      </c>
      <c r="D1023" s="110" t="s">
        <v>412</v>
      </c>
      <c r="E1023" s="110">
        <v>40736</v>
      </c>
      <c r="F1023" s="114" t="s">
        <v>339</v>
      </c>
      <c r="G1023" s="240" t="s">
        <v>307</v>
      </c>
      <c r="H1023" s="117" t="s">
        <v>340</v>
      </c>
      <c r="I1023" s="141"/>
      <c r="J1023" s="141"/>
      <c r="K1023" s="238">
        <v>114504000</v>
      </c>
      <c r="L1023" s="239" t="s">
        <v>23</v>
      </c>
      <c r="M1023" s="239" t="s">
        <v>44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>x</v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>x</v>
      </c>
      <c r="Z1023" s="121"/>
    </row>
    <row r="1024" spans="1:26" ht="15.75" customHeight="1">
      <c r="A1024" s="125" t="str">
        <f>IF(B1024&lt;&gt;"",IF(AND(B1024&gt;=_TM1,B1024&lt;=_TM2,OR(TH!L1024="1111",TH!M1024="1111")),TH!D1024,""),"")</f>
        <v/>
      </c>
      <c r="B1024" s="11">
        <f t="shared" si="72"/>
        <v>7</v>
      </c>
      <c r="C1024" s="110">
        <v>40736</v>
      </c>
      <c r="D1024" s="110" t="s">
        <v>311</v>
      </c>
      <c r="E1024" s="110">
        <v>40736</v>
      </c>
      <c r="F1024" s="114" t="s">
        <v>344</v>
      </c>
      <c r="G1024" s="240" t="s">
        <v>307</v>
      </c>
      <c r="H1024" s="4" t="s">
        <v>536</v>
      </c>
      <c r="I1024" s="141"/>
      <c r="J1024" s="141"/>
      <c r="K1024" s="238">
        <v>114504000</v>
      </c>
      <c r="L1024" s="239" t="s">
        <v>8</v>
      </c>
      <c r="M1024" s="239" t="s">
        <v>23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>x</v>
      </c>
      <c r="Z1024" s="121"/>
    </row>
    <row r="1025" spans="1:26" ht="15.75" customHeight="1">
      <c r="A1025" s="125" t="str">
        <f>IF(B1025&lt;&gt;"",IF(AND(B1025&gt;=_TM1,B1025&lt;=_TM2,OR(TH!L1025="1111",TH!M1025="1111")),TH!D1025,""),"")</f>
        <v/>
      </c>
      <c r="B1025" s="11">
        <f t="shared" si="72"/>
        <v>7</v>
      </c>
      <c r="C1025" s="110">
        <v>40736</v>
      </c>
      <c r="D1025" s="110" t="s">
        <v>311</v>
      </c>
      <c r="E1025" s="110">
        <v>40736</v>
      </c>
      <c r="F1025" s="114" t="s">
        <v>344</v>
      </c>
      <c r="G1025" s="240" t="s">
        <v>307</v>
      </c>
      <c r="H1025" s="4" t="s">
        <v>476</v>
      </c>
      <c r="I1025" s="141"/>
      <c r="J1025" s="141"/>
      <c r="K1025" s="238">
        <v>58400000</v>
      </c>
      <c r="L1025" s="239" t="s">
        <v>8</v>
      </c>
      <c r="M1025" s="239" t="s">
        <v>23</v>
      </c>
      <c r="N1025" s="25" t="str">
        <f>IF(AND('331-CT'!$E$7=TH!H1025,OR(L1025="331",M1025="331")),"331",IF(AND(OR(L1025="131",M1025="131"),H1025='131-CT'!$E$7),"131",""))</f>
        <v>331</v>
      </c>
      <c r="O1025" s="25" t="str">
        <f>IF(AND($B1025&gt;='111'!$N$11,$B1025&lt;='111'!$O$11,OR($L1025=$O$7,$M1025=$O$7)),"x","")</f>
        <v/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>x</v>
      </c>
      <c r="Z1025" s="121"/>
    </row>
    <row r="1026" spans="1:26" ht="15.75" customHeight="1">
      <c r="A1026" s="125" t="str">
        <f>IF(B1026&lt;&gt;"",IF(AND(B1026&gt;=_TM1,B1026&lt;=_TM2,OR(TH!L1026="1111",TH!M1026="1111")),TH!D1026,""),"")</f>
        <v/>
      </c>
      <c r="B1026" s="11">
        <f t="shared" si="72"/>
        <v>7</v>
      </c>
      <c r="C1026" s="110">
        <v>40736</v>
      </c>
      <c r="D1026" s="110" t="s">
        <v>311</v>
      </c>
      <c r="E1026" s="110">
        <v>40736</v>
      </c>
      <c r="F1026" s="114" t="s">
        <v>347</v>
      </c>
      <c r="G1026" s="240" t="s">
        <v>307</v>
      </c>
      <c r="H1026" s="4"/>
      <c r="I1026" s="141"/>
      <c r="J1026" s="141"/>
      <c r="K1026" s="238">
        <v>18478</v>
      </c>
      <c r="L1026" s="239" t="s">
        <v>73</v>
      </c>
      <c r="M1026" s="239" t="s">
        <v>23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/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>x</v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>x</v>
      </c>
      <c r="Z1026" s="121"/>
    </row>
    <row r="1027" spans="1:26" ht="15.75" customHeight="1">
      <c r="A1027" s="125" t="str">
        <f>IF(B1027&lt;&gt;"",IF(AND(B1027&gt;=_TM1,B1027&lt;=_TM2,OR(TH!L1027="1111",TH!M1027="1111")),TH!D1027,""),"")</f>
        <v/>
      </c>
      <c r="B1027" s="11">
        <f t="shared" si="72"/>
        <v>7</v>
      </c>
      <c r="C1027" s="110">
        <v>40736</v>
      </c>
      <c r="D1027" s="110" t="s">
        <v>311</v>
      </c>
      <c r="E1027" s="110">
        <v>40736</v>
      </c>
      <c r="F1027" s="114" t="s">
        <v>313</v>
      </c>
      <c r="G1027" s="240" t="s">
        <v>307</v>
      </c>
      <c r="H1027" s="4"/>
      <c r="I1027" s="141"/>
      <c r="J1027" s="141"/>
      <c r="K1027" s="238">
        <v>10000</v>
      </c>
      <c r="L1027" s="239" t="s">
        <v>73</v>
      </c>
      <c r="M1027" s="239" t="s">
        <v>23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/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>x</v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>x</v>
      </c>
      <c r="Z1027" s="121"/>
    </row>
    <row r="1028" spans="1:26" ht="15.75" customHeight="1">
      <c r="A1028" s="125" t="str">
        <f>IF(B1028&lt;&gt;"",IF(AND(B1028&gt;=_TM1,B1028&lt;=_TM2,OR(TH!L1028="1111",TH!M1028="1111")),TH!D1028,""),"")</f>
        <v/>
      </c>
      <c r="B1028" s="11">
        <f t="shared" si="72"/>
        <v>7</v>
      </c>
      <c r="C1028" s="110">
        <v>40737</v>
      </c>
      <c r="D1028" s="110" t="s">
        <v>310</v>
      </c>
      <c r="E1028" s="110">
        <v>40737</v>
      </c>
      <c r="F1028" s="114" t="s">
        <v>312</v>
      </c>
      <c r="G1028" s="240" t="s">
        <v>307</v>
      </c>
      <c r="H1028" s="117" t="s">
        <v>709</v>
      </c>
      <c r="I1028" s="141"/>
      <c r="J1028" s="141"/>
      <c r="K1028" s="238">
        <v>14691258</v>
      </c>
      <c r="L1028" s="239" t="s">
        <v>23</v>
      </c>
      <c r="M1028" s="239" t="s">
        <v>237</v>
      </c>
      <c r="N1028" s="25" t="str">
        <f>IF(AND('331-CT'!$E$7=TH!H1028,OR(L1028="331",M1028="331")),"331",IF(AND(OR(L1028="131",M1028="131"),H1028='131-CT'!$E$7),"131",""))</f>
        <v>131</v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>x</v>
      </c>
      <c r="Z1028" s="121"/>
    </row>
    <row r="1029" spans="1:26" ht="15.75" customHeight="1">
      <c r="A1029" s="125" t="str">
        <f>IF(B1029&lt;&gt;"",IF(AND(B1029&gt;=_TM1,B1029&lt;=_TM2,OR(TH!L1029="1111",TH!M1029="1111")),TH!D1029,""),"")</f>
        <v/>
      </c>
      <c r="B1029" s="11">
        <f t="shared" si="72"/>
        <v>7</v>
      </c>
      <c r="C1029" s="12">
        <f t="shared" ref="C1029:C1036" si="76">E1029</f>
        <v>40737</v>
      </c>
      <c r="D1029" s="12" t="s">
        <v>1039</v>
      </c>
      <c r="E1029" s="304">
        <v>40737</v>
      </c>
      <c r="F1029" s="114" t="s">
        <v>555</v>
      </c>
      <c r="G1029" s="15"/>
      <c r="H1029" s="242" t="s">
        <v>1037</v>
      </c>
      <c r="I1029" s="141">
        <v>82</v>
      </c>
      <c r="J1029" s="141">
        <v>10344</v>
      </c>
      <c r="K1029" s="238">
        <f t="shared" ref="K1029:K1036" si="77">ROUND(I1029*J1029,0)</f>
        <v>848208</v>
      </c>
      <c r="L1029" s="14" t="s">
        <v>153</v>
      </c>
      <c r="M1029" s="14" t="s">
        <v>147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/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>x</v>
      </c>
      <c r="Z1029" s="121"/>
    </row>
    <row r="1030" spans="1:26" ht="15.75" customHeight="1">
      <c r="A1030" s="125" t="str">
        <f>IF(B1030&lt;&gt;"",IF(AND(B1030&gt;=_TM1,B1030&lt;=_TM2,OR(TH!L1030="1111",TH!M1030="1111")),TH!D1030,""),"")</f>
        <v/>
      </c>
      <c r="B1030" s="11">
        <f t="shared" si="72"/>
        <v>7</v>
      </c>
      <c r="C1030" s="12">
        <f t="shared" si="76"/>
        <v>40737</v>
      </c>
      <c r="D1030" s="12" t="s">
        <v>1039</v>
      </c>
      <c r="E1030" s="304">
        <v>40737</v>
      </c>
      <c r="F1030" s="114" t="s">
        <v>555</v>
      </c>
      <c r="G1030" s="15"/>
      <c r="H1030" s="242" t="s">
        <v>1037</v>
      </c>
      <c r="I1030" s="141">
        <v>0.5</v>
      </c>
      <c r="J1030" s="141">
        <v>10344</v>
      </c>
      <c r="K1030" s="238">
        <f t="shared" si="77"/>
        <v>5172</v>
      </c>
      <c r="L1030" s="14" t="s">
        <v>153</v>
      </c>
      <c r="M1030" s="14" t="s">
        <v>147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/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>x</v>
      </c>
      <c r="Z1030" s="121"/>
    </row>
    <row r="1031" spans="1:26" ht="15.75" customHeight="1">
      <c r="A1031" s="125" t="str">
        <f>IF(B1031&lt;&gt;"",IF(AND(B1031&gt;=_TM1,B1031&lt;=_TM2,OR(TH!L1031="1111",TH!M1031="1111")),TH!D1031,""),"")</f>
        <v/>
      </c>
      <c r="B1031" s="11">
        <f t="shared" si="72"/>
        <v>7</v>
      </c>
      <c r="C1031" s="12">
        <f t="shared" si="76"/>
        <v>40737</v>
      </c>
      <c r="D1031" s="12" t="s">
        <v>1039</v>
      </c>
      <c r="E1031" s="304">
        <v>40737</v>
      </c>
      <c r="F1031" s="114" t="s">
        <v>364</v>
      </c>
      <c r="G1031" s="15"/>
      <c r="H1031" s="242" t="s">
        <v>1037</v>
      </c>
      <c r="I1031" s="315">
        <v>0.5</v>
      </c>
      <c r="J1031" s="141">
        <v>4449</v>
      </c>
      <c r="K1031" s="238">
        <f t="shared" si="77"/>
        <v>2225</v>
      </c>
      <c r="L1031" s="14" t="s">
        <v>153</v>
      </c>
      <c r="M1031" s="14" t="s">
        <v>147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>x</v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>x</v>
      </c>
      <c r="Z1031" s="121"/>
    </row>
    <row r="1032" spans="1:26" ht="15.75" customHeight="1">
      <c r="A1032" s="125" t="str">
        <f>IF(B1032&lt;&gt;"",IF(AND(B1032&gt;=_TM1,B1032&lt;=_TM2,OR(TH!L1032="1111",TH!M1032="1111")),TH!D1032,""),"")</f>
        <v/>
      </c>
      <c r="B1032" s="11">
        <f t="shared" si="72"/>
        <v>7</v>
      </c>
      <c r="C1032" s="12">
        <f t="shared" si="76"/>
        <v>40737</v>
      </c>
      <c r="D1032" s="12" t="s">
        <v>1039</v>
      </c>
      <c r="E1032" s="304">
        <v>40737</v>
      </c>
      <c r="F1032" s="114" t="s">
        <v>364</v>
      </c>
      <c r="G1032" s="15"/>
      <c r="H1032" s="242" t="s">
        <v>1037</v>
      </c>
      <c r="I1032" s="315">
        <v>1</v>
      </c>
      <c r="J1032" s="141">
        <v>4449</v>
      </c>
      <c r="K1032" s="238">
        <f t="shared" si="77"/>
        <v>4449</v>
      </c>
      <c r="L1032" s="14" t="s">
        <v>153</v>
      </c>
      <c r="M1032" s="14" t="s">
        <v>147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>x</v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>x</v>
      </c>
      <c r="Z1032" s="121"/>
    </row>
    <row r="1033" spans="1:26" ht="15.75" customHeight="1">
      <c r="A1033" s="125" t="str">
        <f>IF(B1033&lt;&gt;"",IF(AND(B1033&gt;=_TM1,B1033&lt;=_TM2,OR(TH!L1033="1111",TH!M1033="1111")),TH!D1033,""),"")</f>
        <v/>
      </c>
      <c r="B1033" s="11">
        <f t="shared" si="72"/>
        <v>7</v>
      </c>
      <c r="C1033" s="12">
        <f t="shared" si="76"/>
        <v>40737</v>
      </c>
      <c r="D1033" s="12" t="s">
        <v>1039</v>
      </c>
      <c r="E1033" s="304">
        <v>40737</v>
      </c>
      <c r="F1033" s="114" t="s">
        <v>529</v>
      </c>
      <c r="G1033" s="15"/>
      <c r="H1033" s="242" t="s">
        <v>1037</v>
      </c>
      <c r="I1033" s="141">
        <v>3</v>
      </c>
      <c r="J1033" s="141">
        <v>11247</v>
      </c>
      <c r="K1033" s="238">
        <f t="shared" si="77"/>
        <v>33741</v>
      </c>
      <c r="L1033" s="14" t="s">
        <v>153</v>
      </c>
      <c r="M1033" s="14" t="s">
        <v>147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>x</v>
      </c>
      <c r="Z1033" s="121"/>
    </row>
    <row r="1034" spans="1:26" ht="15.75" customHeight="1">
      <c r="A1034" s="125" t="str">
        <f>IF(B1034&lt;&gt;"",IF(AND(B1034&gt;=_TM1,B1034&lt;=_TM2,OR(TH!L1034="1111",TH!M1034="1111")),TH!D1034,""),"")</f>
        <v/>
      </c>
      <c r="B1034" s="11">
        <f t="shared" si="72"/>
        <v>7</v>
      </c>
      <c r="C1034" s="12">
        <f t="shared" si="76"/>
        <v>40737</v>
      </c>
      <c r="D1034" s="12" t="s">
        <v>1039</v>
      </c>
      <c r="E1034" s="304">
        <v>40737</v>
      </c>
      <c r="F1034" s="114" t="s">
        <v>364</v>
      </c>
      <c r="G1034" s="15"/>
      <c r="H1034" s="242" t="s">
        <v>1037</v>
      </c>
      <c r="I1034" s="315">
        <v>1</v>
      </c>
      <c r="J1034" s="141">
        <v>4449</v>
      </c>
      <c r="K1034" s="238">
        <f t="shared" si="77"/>
        <v>4449</v>
      </c>
      <c r="L1034" s="14" t="s">
        <v>153</v>
      </c>
      <c r="M1034" s="14" t="s">
        <v>147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>x</v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>x</v>
      </c>
      <c r="Z1034" s="121"/>
    </row>
    <row r="1035" spans="1:26" ht="15.75" customHeight="1">
      <c r="A1035" s="125" t="str">
        <f>IF(B1035&lt;&gt;"",IF(AND(B1035&gt;=_TM1,B1035&lt;=_TM2,OR(TH!L1035="1111",TH!M1035="1111")),TH!D1035,""),"")</f>
        <v/>
      </c>
      <c r="B1035" s="11">
        <f t="shared" si="72"/>
        <v>7</v>
      </c>
      <c r="C1035" s="12">
        <f t="shared" si="76"/>
        <v>40737</v>
      </c>
      <c r="D1035" s="12" t="s">
        <v>1039</v>
      </c>
      <c r="E1035" s="304">
        <v>40737</v>
      </c>
      <c r="F1035" s="154" t="s">
        <v>456</v>
      </c>
      <c r="G1035" s="15"/>
      <c r="H1035" s="242" t="s">
        <v>1037</v>
      </c>
      <c r="I1035" s="141">
        <v>3</v>
      </c>
      <c r="J1035" s="141">
        <v>6026</v>
      </c>
      <c r="K1035" s="238">
        <f t="shared" si="77"/>
        <v>18078</v>
      </c>
      <c r="L1035" s="14" t="s">
        <v>153</v>
      </c>
      <c r="M1035" s="14" t="s">
        <v>147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>x</v>
      </c>
      <c r="Z1035" s="121"/>
    </row>
    <row r="1036" spans="1:26" ht="15.75" customHeight="1">
      <c r="A1036" s="125" t="str">
        <f>IF(B1036&lt;&gt;"",IF(AND(B1036&gt;=_TM1,B1036&lt;=_TM2,OR(TH!L1036="1111",TH!M1036="1111")),TH!D1036,""),"")</f>
        <v/>
      </c>
      <c r="B1036" s="11">
        <f t="shared" si="72"/>
        <v>7</v>
      </c>
      <c r="C1036" s="12">
        <f t="shared" si="76"/>
        <v>40737</v>
      </c>
      <c r="D1036" s="12" t="s">
        <v>1039</v>
      </c>
      <c r="E1036" s="304">
        <v>40737</v>
      </c>
      <c r="F1036" s="15" t="s">
        <v>579</v>
      </c>
      <c r="G1036" s="15"/>
      <c r="H1036" s="242" t="s">
        <v>1037</v>
      </c>
      <c r="I1036" s="141">
        <v>6</v>
      </c>
      <c r="J1036" s="141">
        <v>13090</v>
      </c>
      <c r="K1036" s="238">
        <f t="shared" si="77"/>
        <v>78540</v>
      </c>
      <c r="L1036" s="14" t="s">
        <v>153</v>
      </c>
      <c r="M1036" s="14" t="s">
        <v>147</v>
      </c>
      <c r="N1036" s="25" t="str">
        <f>IF(AND('331-CT'!$E$7=TH!H1036,OR(L1036="331",M1036="331")),"331",IF(AND(OR(L1036="131",M1036="131"),H1036='131-CT'!$E$7),"131",""))</f>
        <v/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>x</v>
      </c>
      <c r="Z1036" s="121"/>
    </row>
    <row r="1037" spans="1:26" ht="15.75" customHeight="1">
      <c r="A1037" s="125" t="str">
        <f>IF(B1037&lt;&gt;"",IF(AND(B1037&gt;=_TM1,B1037&lt;=_TM2,OR(TH!L1037="1111",TH!M1037="1111")),TH!D1037,""),"")</f>
        <v/>
      </c>
      <c r="B1037" s="11">
        <f t="shared" si="72"/>
        <v>7</v>
      </c>
      <c r="C1037" s="115">
        <v>40738</v>
      </c>
      <c r="D1037" s="110" t="s">
        <v>413</v>
      </c>
      <c r="E1037" s="115">
        <v>40738</v>
      </c>
      <c r="F1037" s="116" t="s">
        <v>1084</v>
      </c>
      <c r="G1037" s="224" t="s">
        <v>563</v>
      </c>
      <c r="H1037" s="313" t="s">
        <v>1085</v>
      </c>
      <c r="I1037" s="144"/>
      <c r="J1037" s="144"/>
      <c r="K1037" s="238">
        <v>1090909</v>
      </c>
      <c r="L1037" s="118" t="s">
        <v>153</v>
      </c>
      <c r="M1037" s="118" t="s">
        <v>44</v>
      </c>
      <c r="N1037" s="25" t="str">
        <f>IF(AND('331-CT'!$E$7=TH!H1037,OR(L1037="331",M1037="331")),"331",IF(AND(OR(L1037="131",M1037="131"),H1037='131-CT'!$E$7),"131",""))</f>
        <v/>
      </c>
      <c r="O1037" s="25" t="str">
        <f>IF(AND($B1037&gt;='111'!$N$11,$B1037&lt;='111'!$O$11,OR($L1037=$O$7,$M1037=$O$7)),"x","")</f>
        <v>x</v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>x</v>
      </c>
      <c r="Z1037" s="121">
        <v>7</v>
      </c>
    </row>
    <row r="1038" spans="1:26" ht="15.75" customHeight="1">
      <c r="A1038" s="125" t="str">
        <f>IF(B1038&lt;&gt;"",IF(AND(B1038&gt;=_TM1,B1038&lt;=_TM2,OR(TH!L1038="1111",TH!M1038="1111")),TH!D1038,""),"")</f>
        <v/>
      </c>
      <c r="B1038" s="11">
        <f t="shared" si="72"/>
        <v>7</v>
      </c>
      <c r="C1038" s="115">
        <v>40738</v>
      </c>
      <c r="D1038" s="110" t="s">
        <v>413</v>
      </c>
      <c r="E1038" s="115">
        <v>40738</v>
      </c>
      <c r="F1038" s="116" t="s">
        <v>1086</v>
      </c>
      <c r="G1038" s="224" t="s">
        <v>563</v>
      </c>
      <c r="H1038" s="313" t="s">
        <v>1085</v>
      </c>
      <c r="I1038" s="144"/>
      <c r="J1038" s="144"/>
      <c r="K1038" s="13">
        <v>109091</v>
      </c>
      <c r="L1038" s="118" t="s">
        <v>9</v>
      </c>
      <c r="M1038" s="118" t="s">
        <v>44</v>
      </c>
      <c r="N1038" s="25" t="str">
        <f>IF(AND('331-CT'!$E$7=TH!H1038,OR(L1038="331",M1038="331")),"331",IF(AND(OR(L1038="131",M1038="131"),H1038='131-CT'!$E$7),"131",""))</f>
        <v/>
      </c>
      <c r="O1038" s="25" t="str">
        <f>IF(AND($B1038&gt;='111'!$N$11,$B1038&lt;='111'!$O$11,OR($L1038=$O$7,$M1038=$O$7)),"x","")</f>
        <v>x</v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>x</v>
      </c>
      <c r="Z1038" s="121">
        <v>7</v>
      </c>
    </row>
    <row r="1039" spans="1:26" ht="15.75" customHeight="1">
      <c r="A1039" s="125" t="str">
        <f>IF(B1039&lt;&gt;"",IF(AND(B1039&gt;=_TM1,B1039&lt;=_TM2,OR(TH!L1039="1111",TH!M1039="1111")),TH!D1039,""),"")</f>
        <v/>
      </c>
      <c r="B1039" s="11">
        <f t="shared" si="72"/>
        <v>7</v>
      </c>
      <c r="C1039" s="110">
        <v>40739</v>
      </c>
      <c r="D1039" s="110" t="s">
        <v>310</v>
      </c>
      <c r="E1039" s="110">
        <v>40739</v>
      </c>
      <c r="F1039" s="114" t="s">
        <v>312</v>
      </c>
      <c r="G1039" s="240" t="s">
        <v>307</v>
      </c>
      <c r="H1039" s="117" t="s">
        <v>710</v>
      </c>
      <c r="I1039" s="141"/>
      <c r="J1039" s="141"/>
      <c r="K1039" s="238">
        <v>18227209</v>
      </c>
      <c r="L1039" s="239" t="s">
        <v>23</v>
      </c>
      <c r="M1039" s="239" t="s">
        <v>237</v>
      </c>
      <c r="N1039" s="25" t="str">
        <f>IF(AND('331-CT'!$E$7=TH!H1039,OR(L1039="331",M1039="331")),"331",IF(AND(OR(L1039="131",M1039="131"),H1039='131-CT'!$E$7),"131",""))</f>
        <v/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>x</v>
      </c>
      <c r="Z1039" s="121"/>
    </row>
    <row r="1040" spans="1:26" ht="15.75" customHeight="1">
      <c r="A1040" s="125" t="str">
        <f>IF(B1040&lt;&gt;"",IF(AND(B1040&gt;=_TM1,B1040&lt;=_TM2,OR(TH!L1040="1111",TH!M1040="1111")),TH!D1040,""),"")</f>
        <v/>
      </c>
      <c r="B1040" s="11">
        <f t="shared" si="72"/>
        <v>7</v>
      </c>
      <c r="C1040" s="110">
        <v>40739</v>
      </c>
      <c r="D1040" s="110" t="s">
        <v>311</v>
      </c>
      <c r="E1040" s="110">
        <v>40739</v>
      </c>
      <c r="F1040" s="114" t="s">
        <v>344</v>
      </c>
      <c r="G1040" s="240" t="s">
        <v>307</v>
      </c>
      <c r="H1040" s="4" t="s">
        <v>525</v>
      </c>
      <c r="I1040" s="141"/>
      <c r="J1040" s="141"/>
      <c r="K1040" s="238">
        <v>23400000</v>
      </c>
      <c r="L1040" s="239" t="s">
        <v>8</v>
      </c>
      <c r="M1040" s="239" t="s">
        <v>23</v>
      </c>
      <c r="N1040" s="25" t="str">
        <f>IF(AND('331-CT'!$E$7=TH!H1040,OR(L1040="331",M1040="331")),"331",IF(AND(OR(L1040="131",M1040="131"),H1040='131-CT'!$E$7),"131",""))</f>
        <v/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>x</v>
      </c>
      <c r="Z1040" s="121"/>
    </row>
    <row r="1041" spans="1:26" ht="15.75" customHeight="1">
      <c r="A1041" s="125" t="str">
        <f>IF(B1041&lt;&gt;"",IF(AND(B1041&gt;=_TM1,B1041&lt;=_TM2,OR(TH!L1041="1111",TH!M1041="1111")),TH!D1041,""),"")</f>
        <v/>
      </c>
      <c r="B1041" s="11">
        <f t="shared" si="72"/>
        <v>7</v>
      </c>
      <c r="C1041" s="115">
        <v>40739</v>
      </c>
      <c r="D1041" s="115" t="s">
        <v>905</v>
      </c>
      <c r="E1041" s="115">
        <v>40739</v>
      </c>
      <c r="F1041" s="116" t="s">
        <v>933</v>
      </c>
      <c r="G1041" s="224" t="s">
        <v>1118</v>
      </c>
      <c r="H1041" s="117" t="s">
        <v>709</v>
      </c>
      <c r="I1041" s="141">
        <v>124</v>
      </c>
      <c r="J1041" s="141">
        <v>10748</v>
      </c>
      <c r="K1041" s="238">
        <v>1332752</v>
      </c>
      <c r="L1041" s="118" t="s">
        <v>237</v>
      </c>
      <c r="M1041" s="118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>x</v>
      </c>
      <c r="Z1041" s="121"/>
    </row>
    <row r="1042" spans="1:26" ht="15.75" customHeight="1">
      <c r="A1042" s="125" t="str">
        <f>IF(B1042&lt;&gt;"",IF(AND(B1042&gt;=_TM1,B1042&lt;=_TM2,OR(TH!L1042="1111",TH!M1042="1111")),TH!D1042,""),"")</f>
        <v/>
      </c>
      <c r="B1042" s="11">
        <f t="shared" si="72"/>
        <v>7</v>
      </c>
      <c r="C1042" s="115">
        <v>40739</v>
      </c>
      <c r="D1042" s="115" t="s">
        <v>905</v>
      </c>
      <c r="E1042" s="115">
        <v>40739</v>
      </c>
      <c r="F1042" s="116" t="s">
        <v>934</v>
      </c>
      <c r="G1042" s="224" t="s">
        <v>1118</v>
      </c>
      <c r="H1042" s="117" t="s">
        <v>709</v>
      </c>
      <c r="I1042" s="141">
        <v>1292</v>
      </c>
      <c r="J1042" s="141">
        <v>14010</v>
      </c>
      <c r="K1042" s="238">
        <v>18100920</v>
      </c>
      <c r="L1042" s="118" t="s">
        <v>237</v>
      </c>
      <c r="M1042" s="118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>x</v>
      </c>
      <c r="Z1042" s="121"/>
    </row>
    <row r="1043" spans="1:26" ht="15.75" customHeight="1">
      <c r="A1043" s="125" t="str">
        <f>IF(B1043&lt;&gt;"",IF(AND(B1043&gt;=_TM1,B1043&lt;=_TM2,OR(TH!L1043="1111",TH!M1043="1111")),TH!D1043,""),"")</f>
        <v/>
      </c>
      <c r="B1043" s="11">
        <f t="shared" si="72"/>
        <v>7</v>
      </c>
      <c r="C1043" s="115">
        <v>40739</v>
      </c>
      <c r="D1043" s="115" t="s">
        <v>905</v>
      </c>
      <c r="E1043" s="115">
        <v>40739</v>
      </c>
      <c r="F1043" s="116" t="s">
        <v>935</v>
      </c>
      <c r="G1043" s="224" t="s">
        <v>1118</v>
      </c>
      <c r="H1043" s="117" t="s">
        <v>709</v>
      </c>
      <c r="I1043" s="141">
        <v>27</v>
      </c>
      <c r="J1043" s="141">
        <v>18287</v>
      </c>
      <c r="K1043" s="238">
        <v>493749</v>
      </c>
      <c r="L1043" s="118" t="s">
        <v>237</v>
      </c>
      <c r="M1043" s="118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>x</v>
      </c>
      <c r="Z1043" s="121"/>
    </row>
    <row r="1044" spans="1:26" ht="15.75" customHeight="1">
      <c r="A1044" s="125" t="str">
        <f>IF(B1044&lt;&gt;"",IF(AND(B1044&gt;=_TM1,B1044&lt;=_TM2,OR(TH!L1044="1111",TH!M1044="1111")),TH!D1044,""),"")</f>
        <v/>
      </c>
      <c r="B1044" s="11">
        <f t="shared" si="72"/>
        <v>7</v>
      </c>
      <c r="C1044" s="115">
        <v>40739</v>
      </c>
      <c r="D1044" s="115" t="s">
        <v>905</v>
      </c>
      <c r="E1044" s="115">
        <v>40739</v>
      </c>
      <c r="F1044" s="116" t="s">
        <v>936</v>
      </c>
      <c r="G1044" s="224" t="s">
        <v>1118</v>
      </c>
      <c r="H1044" s="117" t="s">
        <v>709</v>
      </c>
      <c r="I1044" s="141">
        <v>120</v>
      </c>
      <c r="J1044" s="141">
        <v>4504</v>
      </c>
      <c r="K1044" s="238">
        <v>540480</v>
      </c>
      <c r="L1044" s="118" t="s">
        <v>237</v>
      </c>
      <c r="M1044" s="118" t="s">
        <v>163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>x</v>
      </c>
      <c r="Z1044" s="121"/>
    </row>
    <row r="1045" spans="1:26" ht="15.75" customHeight="1">
      <c r="A1045" s="125" t="str">
        <f>IF(B1045&lt;&gt;"",IF(AND(B1045&gt;=_TM1,B1045&lt;=_TM2,OR(TH!L1045="1111",TH!M1045="1111")),TH!D1045,""),"")</f>
        <v/>
      </c>
      <c r="B1045" s="11">
        <f t="shared" si="72"/>
        <v>7</v>
      </c>
      <c r="C1045" s="115">
        <v>40739</v>
      </c>
      <c r="D1045" s="115" t="s">
        <v>905</v>
      </c>
      <c r="E1045" s="115">
        <v>40739</v>
      </c>
      <c r="F1045" s="116" t="s">
        <v>937</v>
      </c>
      <c r="G1045" s="224" t="s">
        <v>1118</v>
      </c>
      <c r="H1045" s="117" t="s">
        <v>709</v>
      </c>
      <c r="I1045" s="145">
        <v>600</v>
      </c>
      <c r="J1045" s="145">
        <v>2538</v>
      </c>
      <c r="K1045" s="238">
        <v>1522800</v>
      </c>
      <c r="L1045" s="118" t="s">
        <v>237</v>
      </c>
      <c r="M1045" s="118" t="s">
        <v>163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>x</v>
      </c>
      <c r="Z1045" s="121"/>
    </row>
    <row r="1046" spans="1:26" ht="15.75" customHeight="1">
      <c r="A1046" s="125" t="str">
        <f>IF(B1046&lt;&gt;"",IF(AND(B1046&gt;=_TM1,B1046&lt;=_TM2,OR(TH!L1046="1111",TH!M1046="1111")),TH!D1046,""),"")</f>
        <v/>
      </c>
      <c r="B1046" s="11">
        <f t="shared" ref="B1046:B1109" si="78">IF(C1046&lt;&gt;"",MONTH(C1046),"")</f>
        <v>7</v>
      </c>
      <c r="C1046" s="115">
        <v>40739</v>
      </c>
      <c r="D1046" s="115" t="s">
        <v>905</v>
      </c>
      <c r="E1046" s="115">
        <v>40739</v>
      </c>
      <c r="F1046" s="116" t="s">
        <v>938</v>
      </c>
      <c r="G1046" s="224" t="s">
        <v>1118</v>
      </c>
      <c r="H1046" s="117" t="s">
        <v>709</v>
      </c>
      <c r="I1046" s="145">
        <v>170</v>
      </c>
      <c r="J1046" s="145">
        <v>2333</v>
      </c>
      <c r="K1046" s="238">
        <v>396610</v>
      </c>
      <c r="L1046" s="118" t="s">
        <v>237</v>
      </c>
      <c r="M1046" s="118" t="s">
        <v>163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>x</v>
      </c>
      <c r="Z1046" s="121"/>
    </row>
    <row r="1047" spans="1:26" ht="15.75" customHeight="1">
      <c r="A1047" s="125" t="str">
        <f>IF(B1047&lt;&gt;"",IF(AND(B1047&gt;=_TM1,B1047&lt;=_TM2,OR(TH!L1047="1111",TH!M1047="1111")),TH!D1047,""),"")</f>
        <v/>
      </c>
      <c r="B1047" s="11">
        <f t="shared" si="78"/>
        <v>7</v>
      </c>
      <c r="C1047" s="115">
        <v>40739</v>
      </c>
      <c r="D1047" s="115" t="s">
        <v>905</v>
      </c>
      <c r="E1047" s="115">
        <v>40739</v>
      </c>
      <c r="F1047" s="116" t="s">
        <v>939</v>
      </c>
      <c r="G1047" s="224" t="s">
        <v>1118</v>
      </c>
      <c r="H1047" s="117" t="s">
        <v>709</v>
      </c>
      <c r="I1047" s="141">
        <v>100</v>
      </c>
      <c r="J1047" s="141">
        <v>6577</v>
      </c>
      <c r="K1047" s="238">
        <v>657700</v>
      </c>
      <c r="L1047" s="118" t="s">
        <v>237</v>
      </c>
      <c r="M1047" s="118" t="s">
        <v>163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>x</v>
      </c>
      <c r="Z1047" s="121"/>
    </row>
    <row r="1048" spans="1:26" ht="15.75" customHeight="1">
      <c r="A1048" s="125" t="str">
        <f>IF(B1048&lt;&gt;"",IF(AND(B1048&gt;=_TM1,B1048&lt;=_TM2,OR(TH!L1048="1111",TH!M1048="1111")),TH!D1048,""),"")</f>
        <v/>
      </c>
      <c r="B1048" s="11">
        <f t="shared" si="78"/>
        <v>7</v>
      </c>
      <c r="C1048" s="115">
        <v>40739</v>
      </c>
      <c r="D1048" s="115" t="s">
        <v>905</v>
      </c>
      <c r="E1048" s="115">
        <v>40739</v>
      </c>
      <c r="F1048" s="116" t="s">
        <v>939</v>
      </c>
      <c r="G1048" s="224" t="s">
        <v>1118</v>
      </c>
      <c r="H1048" s="117" t="s">
        <v>709</v>
      </c>
      <c r="I1048" s="143">
        <v>60</v>
      </c>
      <c r="J1048" s="143">
        <v>2711</v>
      </c>
      <c r="K1048" s="238">
        <v>162660</v>
      </c>
      <c r="L1048" s="118" t="s">
        <v>237</v>
      </c>
      <c r="M1048" s="118" t="s">
        <v>163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>x</v>
      </c>
      <c r="Z1048" s="121"/>
    </row>
    <row r="1049" spans="1:26" ht="15.75" customHeight="1">
      <c r="A1049" s="125" t="str">
        <f>IF(B1049&lt;&gt;"",IF(AND(B1049&gt;=_TM1,B1049&lt;=_TM2,OR(TH!L1049="1111",TH!M1049="1111")),TH!D1049,""),"")</f>
        <v/>
      </c>
      <c r="B1049" s="11">
        <f t="shared" si="78"/>
        <v>7</v>
      </c>
      <c r="C1049" s="115">
        <v>40739</v>
      </c>
      <c r="D1049" s="115" t="s">
        <v>905</v>
      </c>
      <c r="E1049" s="115">
        <v>40739</v>
      </c>
      <c r="F1049" s="116" t="s">
        <v>1119</v>
      </c>
      <c r="G1049" s="224" t="s">
        <v>1118</v>
      </c>
      <c r="H1049" s="117" t="s">
        <v>709</v>
      </c>
      <c r="I1049" s="141"/>
      <c r="J1049" s="141"/>
      <c r="K1049" s="238">
        <v>2320767</v>
      </c>
      <c r="L1049" s="118" t="s">
        <v>237</v>
      </c>
      <c r="M1049" s="118" t="s">
        <v>707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>x</v>
      </c>
      <c r="Z1049" s="121"/>
    </row>
    <row r="1050" spans="1:26" ht="15.75" customHeight="1">
      <c r="A1050" s="125" t="str">
        <f>IF(B1050&lt;&gt;"",IF(AND(B1050&gt;=_TM1,B1050&lt;=_TM2,OR(TH!L1050="1111",TH!M1050="1111")),TH!D1050,""),"")</f>
        <v/>
      </c>
      <c r="B1050" s="11">
        <f t="shared" si="78"/>
        <v>7</v>
      </c>
      <c r="C1050" s="12">
        <f t="shared" ref="C1050:C1075" si="79">E1050</f>
        <v>40739</v>
      </c>
      <c r="D1050" s="12" t="s">
        <v>1040</v>
      </c>
      <c r="E1050" s="304">
        <v>40739</v>
      </c>
      <c r="F1050" s="15" t="s">
        <v>578</v>
      </c>
      <c r="G1050" s="15"/>
      <c r="H1050" s="242" t="s">
        <v>1037</v>
      </c>
      <c r="I1050" s="141">
        <v>2.5</v>
      </c>
      <c r="J1050" s="141">
        <v>16302.8</v>
      </c>
      <c r="K1050" s="238">
        <f t="shared" ref="K1050:K1075" si="80">ROUND(I1050*J1050,0)</f>
        <v>40757</v>
      </c>
      <c r="L1050" s="14" t="s">
        <v>153</v>
      </c>
      <c r="M1050" s="14" t="s">
        <v>147</v>
      </c>
      <c r="N1050" s="25" t="str">
        <f>IF(AND('331-CT'!$E$7=TH!H1050,OR(L1050="331",M1050="331")),"331",IF(AND(OR(L1050="131",M1050="131"),H1050='131-CT'!$E$7),"131",""))</f>
        <v/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>x</v>
      </c>
      <c r="Z1050" s="121"/>
    </row>
    <row r="1051" spans="1:26" ht="15.75" customHeight="1">
      <c r="A1051" s="125" t="str">
        <f>IF(B1051&lt;&gt;"",IF(AND(B1051&gt;=_TM1,B1051&lt;=_TM2,OR(TH!L1051="1111",TH!M1051="1111")),TH!D1051,""),"")</f>
        <v/>
      </c>
      <c r="B1051" s="11">
        <f t="shared" si="78"/>
        <v>7</v>
      </c>
      <c r="C1051" s="12">
        <f t="shared" si="79"/>
        <v>40739</v>
      </c>
      <c r="D1051" s="12" t="s">
        <v>1040</v>
      </c>
      <c r="E1051" s="304">
        <v>40739</v>
      </c>
      <c r="F1051" s="15" t="s">
        <v>578</v>
      </c>
      <c r="G1051" s="15"/>
      <c r="H1051" s="242" t="s">
        <v>1037</v>
      </c>
      <c r="I1051" s="141">
        <v>0.5</v>
      </c>
      <c r="J1051" s="141">
        <v>16303</v>
      </c>
      <c r="K1051" s="238">
        <f t="shared" si="80"/>
        <v>8152</v>
      </c>
      <c r="L1051" s="14" t="s">
        <v>153</v>
      </c>
      <c r="M1051" s="14" t="s">
        <v>147</v>
      </c>
      <c r="N1051" s="25" t="str">
        <f>IF(AND('331-CT'!$E$7=TH!H1051,OR(L1051="331",M1051="331")),"331",IF(AND(OR(L1051="131",M1051="131"),H1051='131-CT'!$E$7),"131",""))</f>
        <v/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>x</v>
      </c>
      <c r="Z1051" s="121"/>
    </row>
    <row r="1052" spans="1:26" ht="15.75" customHeight="1">
      <c r="A1052" s="125" t="str">
        <f>IF(B1052&lt;&gt;"",IF(AND(B1052&gt;=_TM1,B1052&lt;=_TM2,OR(TH!L1052="1111",TH!M1052="1111")),TH!D1052,""),"")</f>
        <v/>
      </c>
      <c r="B1052" s="11">
        <f t="shared" si="78"/>
        <v>7</v>
      </c>
      <c r="C1052" s="12">
        <f t="shared" si="79"/>
        <v>40739</v>
      </c>
      <c r="D1052" s="12" t="s">
        <v>1040</v>
      </c>
      <c r="E1052" s="304">
        <v>40739</v>
      </c>
      <c r="F1052" s="114" t="s">
        <v>465</v>
      </c>
      <c r="G1052" s="15"/>
      <c r="H1052" s="242" t="s">
        <v>1037</v>
      </c>
      <c r="I1052" s="141">
        <v>0.5</v>
      </c>
      <c r="J1052" s="141">
        <v>16173</v>
      </c>
      <c r="K1052" s="238">
        <f t="shared" si="80"/>
        <v>8087</v>
      </c>
      <c r="L1052" s="14" t="s">
        <v>153</v>
      </c>
      <c r="M1052" s="14" t="s">
        <v>147</v>
      </c>
      <c r="N1052" s="25" t="str">
        <f>IF(AND('331-CT'!$E$7=TH!H1052,OR(L1052="331",M1052="331")),"331",IF(AND(OR(L1052="131",M1052="131"),H1052='131-CT'!$E$7),"131",""))</f>
        <v/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>x</v>
      </c>
      <c r="Z1052" s="121"/>
    </row>
    <row r="1053" spans="1:26" ht="15.75" customHeight="1">
      <c r="A1053" s="125" t="str">
        <f>IF(B1053&lt;&gt;"",IF(AND(B1053&gt;=_TM1,B1053&lt;=_TM2,OR(TH!L1053="1111",TH!M1053="1111")),TH!D1053,""),"")</f>
        <v/>
      </c>
      <c r="B1053" s="11">
        <f t="shared" si="78"/>
        <v>7</v>
      </c>
      <c r="C1053" s="12">
        <f t="shared" si="79"/>
        <v>40739</v>
      </c>
      <c r="D1053" s="12" t="s">
        <v>1040</v>
      </c>
      <c r="E1053" s="304">
        <v>40739</v>
      </c>
      <c r="F1053" s="15" t="s">
        <v>599</v>
      </c>
      <c r="G1053" s="15"/>
      <c r="H1053" s="242" t="s">
        <v>1037</v>
      </c>
      <c r="I1053" s="141">
        <v>9</v>
      </c>
      <c r="J1053" s="141">
        <v>23906</v>
      </c>
      <c r="K1053" s="238">
        <f t="shared" si="80"/>
        <v>215154</v>
      </c>
      <c r="L1053" s="14" t="s">
        <v>153</v>
      </c>
      <c r="M1053" s="14" t="s">
        <v>147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>x</v>
      </c>
      <c r="Z1053" s="121"/>
    </row>
    <row r="1054" spans="1:26" ht="15.75" customHeight="1">
      <c r="A1054" s="125" t="str">
        <f>IF(B1054&lt;&gt;"",IF(AND(B1054&gt;=_TM1,B1054&lt;=_TM2,OR(TH!L1054="1111",TH!M1054="1111")),TH!D1054,""),"")</f>
        <v/>
      </c>
      <c r="B1054" s="11">
        <f t="shared" si="78"/>
        <v>7</v>
      </c>
      <c r="C1054" s="12">
        <f t="shared" si="79"/>
        <v>40739</v>
      </c>
      <c r="D1054" s="12" t="s">
        <v>1040</v>
      </c>
      <c r="E1054" s="304">
        <v>40739</v>
      </c>
      <c r="F1054" s="114" t="s">
        <v>470</v>
      </c>
      <c r="G1054" s="15"/>
      <c r="H1054" s="242" t="s">
        <v>1037</v>
      </c>
      <c r="I1054" s="141">
        <v>83</v>
      </c>
      <c r="J1054" s="141">
        <v>22806</v>
      </c>
      <c r="K1054" s="238">
        <f t="shared" si="80"/>
        <v>1892898</v>
      </c>
      <c r="L1054" s="14" t="s">
        <v>153</v>
      </c>
      <c r="M1054" s="14" t="s">
        <v>147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>x</v>
      </c>
      <c r="Z1054" s="121"/>
    </row>
    <row r="1055" spans="1:26" ht="15.75" customHeight="1">
      <c r="A1055" s="125" t="str">
        <f>IF(B1055&lt;&gt;"",IF(AND(B1055&gt;=_TM1,B1055&lt;=_TM2,OR(TH!L1055="1111",TH!M1055="1111")),TH!D1055,""),"")</f>
        <v/>
      </c>
      <c r="B1055" s="11">
        <f t="shared" si="78"/>
        <v>7</v>
      </c>
      <c r="C1055" s="12">
        <f t="shared" si="79"/>
        <v>40739</v>
      </c>
      <c r="D1055" s="12" t="s">
        <v>1040</v>
      </c>
      <c r="E1055" s="304">
        <v>40739</v>
      </c>
      <c r="F1055" s="15" t="s">
        <v>581</v>
      </c>
      <c r="G1055" s="15"/>
      <c r="H1055" s="242" t="s">
        <v>1037</v>
      </c>
      <c r="I1055" s="141">
        <v>1</v>
      </c>
      <c r="J1055" s="141">
        <v>14280</v>
      </c>
      <c r="K1055" s="238">
        <f t="shared" si="80"/>
        <v>14280</v>
      </c>
      <c r="L1055" s="14" t="s">
        <v>153</v>
      </c>
      <c r="M1055" s="14" t="s">
        <v>147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>x</v>
      </c>
      <c r="Z1055" s="121"/>
    </row>
    <row r="1056" spans="1:26" ht="15.75" customHeight="1">
      <c r="A1056" s="125" t="str">
        <f>IF(B1056&lt;&gt;"",IF(AND(B1056&gt;=_TM1,B1056&lt;=_TM2,OR(TH!L1056="1111",TH!M1056="1111")),TH!D1056,""),"")</f>
        <v/>
      </c>
      <c r="B1056" s="11">
        <f t="shared" si="78"/>
        <v>7</v>
      </c>
      <c r="C1056" s="12">
        <f t="shared" si="79"/>
        <v>40739</v>
      </c>
      <c r="D1056" s="12" t="s">
        <v>1040</v>
      </c>
      <c r="E1056" s="304">
        <v>40739</v>
      </c>
      <c r="F1056" s="15" t="s">
        <v>578</v>
      </c>
      <c r="G1056" s="15"/>
      <c r="H1056" s="242" t="s">
        <v>1037</v>
      </c>
      <c r="I1056" s="141">
        <v>0.5</v>
      </c>
      <c r="J1056" s="141">
        <v>16303</v>
      </c>
      <c r="K1056" s="238">
        <f t="shared" si="80"/>
        <v>8152</v>
      </c>
      <c r="L1056" s="14" t="s">
        <v>153</v>
      </c>
      <c r="M1056" s="14" t="s">
        <v>147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>x</v>
      </c>
      <c r="Z1056" s="121"/>
    </row>
    <row r="1057" spans="1:26" ht="15.75" customHeight="1">
      <c r="A1057" s="125" t="str">
        <f>IF(B1057&lt;&gt;"",IF(AND(B1057&gt;=_TM1,B1057&lt;=_TM2,OR(TH!L1057="1111",TH!M1057="1111")),TH!D1057,""),"")</f>
        <v/>
      </c>
      <c r="B1057" s="11">
        <f t="shared" si="78"/>
        <v>7</v>
      </c>
      <c r="C1057" s="12">
        <f t="shared" si="79"/>
        <v>40739</v>
      </c>
      <c r="D1057" s="12" t="s">
        <v>1040</v>
      </c>
      <c r="E1057" s="304">
        <v>40739</v>
      </c>
      <c r="F1057" s="114" t="s">
        <v>496</v>
      </c>
      <c r="G1057" s="15"/>
      <c r="H1057" s="242" t="s">
        <v>1037</v>
      </c>
      <c r="I1057" s="141">
        <v>4</v>
      </c>
      <c r="J1057" s="141">
        <v>10603</v>
      </c>
      <c r="K1057" s="238">
        <f t="shared" si="80"/>
        <v>42412</v>
      </c>
      <c r="L1057" s="14" t="s">
        <v>153</v>
      </c>
      <c r="M1057" s="14" t="s">
        <v>147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>x</v>
      </c>
      <c r="Z1057" s="121"/>
    </row>
    <row r="1058" spans="1:26" ht="15.75" customHeight="1">
      <c r="A1058" s="125" t="str">
        <f>IF(B1058&lt;&gt;"",IF(AND(B1058&gt;=_TM1,B1058&lt;=_TM2,OR(TH!L1058="1111",TH!M1058="1111")),TH!D1058,""),"")</f>
        <v/>
      </c>
      <c r="B1058" s="11">
        <f t="shared" si="78"/>
        <v>7</v>
      </c>
      <c r="C1058" s="12">
        <f t="shared" si="79"/>
        <v>40739</v>
      </c>
      <c r="D1058" s="12" t="s">
        <v>1040</v>
      </c>
      <c r="E1058" s="304">
        <v>40739</v>
      </c>
      <c r="F1058" s="114" t="s">
        <v>469</v>
      </c>
      <c r="G1058" s="15"/>
      <c r="H1058" s="242" t="s">
        <v>1037</v>
      </c>
      <c r="I1058" s="141">
        <v>1.5</v>
      </c>
      <c r="J1058" s="141">
        <v>23716</v>
      </c>
      <c r="K1058" s="238">
        <f t="shared" si="80"/>
        <v>35574</v>
      </c>
      <c r="L1058" s="14" t="s">
        <v>153</v>
      </c>
      <c r="M1058" s="14" t="s">
        <v>147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>x</v>
      </c>
      <c r="Z1058" s="121"/>
    </row>
    <row r="1059" spans="1:26" ht="15.75" customHeight="1">
      <c r="A1059" s="125" t="str">
        <f>IF(B1059&lt;&gt;"",IF(AND(B1059&gt;=_TM1,B1059&lt;=_TM2,OR(TH!L1059="1111",TH!M1059="1111")),TH!D1059,""),"")</f>
        <v/>
      </c>
      <c r="B1059" s="11">
        <f t="shared" si="78"/>
        <v>7</v>
      </c>
      <c r="C1059" s="12">
        <f t="shared" si="79"/>
        <v>40739</v>
      </c>
      <c r="D1059" s="12" t="s">
        <v>1040</v>
      </c>
      <c r="E1059" s="304">
        <v>40739</v>
      </c>
      <c r="F1059" s="114" t="s">
        <v>469</v>
      </c>
      <c r="G1059" s="15"/>
      <c r="H1059" s="242" t="s">
        <v>1037</v>
      </c>
      <c r="I1059" s="141">
        <v>1.5</v>
      </c>
      <c r="J1059" s="141">
        <v>23716</v>
      </c>
      <c r="K1059" s="238">
        <f t="shared" si="80"/>
        <v>35574</v>
      </c>
      <c r="L1059" s="14" t="s">
        <v>153</v>
      </c>
      <c r="M1059" s="14" t="s">
        <v>147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>x</v>
      </c>
      <c r="Z1059" s="121"/>
    </row>
    <row r="1060" spans="1:26" ht="15.75" customHeight="1">
      <c r="A1060" s="125" t="str">
        <f>IF(B1060&lt;&gt;"",IF(AND(B1060&gt;=_TM1,B1060&lt;=_TM2,OR(TH!L1060="1111",TH!M1060="1111")),TH!D1060,""),"")</f>
        <v/>
      </c>
      <c r="B1060" s="11">
        <f t="shared" si="78"/>
        <v>7</v>
      </c>
      <c r="C1060" s="12">
        <f t="shared" si="79"/>
        <v>40739</v>
      </c>
      <c r="D1060" s="12" t="s">
        <v>1057</v>
      </c>
      <c r="E1060" s="12">
        <v>40739</v>
      </c>
      <c r="F1060" s="15" t="s">
        <v>933</v>
      </c>
      <c r="G1060" s="15"/>
      <c r="H1060" s="242" t="s">
        <v>1037</v>
      </c>
      <c r="I1060" s="141">
        <v>124</v>
      </c>
      <c r="J1060" s="141">
        <v>8248.4067996696067</v>
      </c>
      <c r="K1060" s="238">
        <f t="shared" si="80"/>
        <v>1022802</v>
      </c>
      <c r="L1060" s="14" t="s">
        <v>155</v>
      </c>
      <c r="M1060" s="14" t="s">
        <v>153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>x</v>
      </c>
      <c r="Z1060" s="121"/>
    </row>
    <row r="1061" spans="1:26" ht="15.75" customHeight="1">
      <c r="A1061" s="125" t="str">
        <f>IF(B1061&lt;&gt;"",IF(AND(B1061&gt;=_TM1,B1061&lt;=_TM2,OR(TH!L1061="1111",TH!M1061="1111")),TH!D1061,""),"")</f>
        <v/>
      </c>
      <c r="B1061" s="11">
        <f t="shared" si="78"/>
        <v>7</v>
      </c>
      <c r="C1061" s="12">
        <f t="shared" si="79"/>
        <v>40739</v>
      </c>
      <c r="D1061" s="12" t="s">
        <v>1057</v>
      </c>
      <c r="E1061" s="12">
        <v>40739</v>
      </c>
      <c r="F1061" s="15" t="s">
        <v>934</v>
      </c>
      <c r="G1061" s="15"/>
      <c r="H1061" s="242" t="s">
        <v>1037</v>
      </c>
      <c r="I1061" s="141">
        <v>1292</v>
      </c>
      <c r="J1061" s="141">
        <v>10697.405701097752</v>
      </c>
      <c r="K1061" s="238">
        <f t="shared" si="80"/>
        <v>13821048</v>
      </c>
      <c r="L1061" s="14" t="s">
        <v>155</v>
      </c>
      <c r="M1061" s="14" t="s">
        <v>153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>x</v>
      </c>
      <c r="Z1061" s="121"/>
    </row>
    <row r="1062" spans="1:26" ht="15.75" customHeight="1">
      <c r="A1062" s="125" t="str">
        <f>IF(B1062&lt;&gt;"",IF(AND(B1062&gt;=_TM1,B1062&lt;=_TM2,OR(TH!L1062="1111",TH!M1062="1111")),TH!D1062,""),"")</f>
        <v/>
      </c>
      <c r="B1062" s="11">
        <f t="shared" si="78"/>
        <v>7</v>
      </c>
      <c r="C1062" s="12">
        <f t="shared" si="79"/>
        <v>40739</v>
      </c>
      <c r="D1062" s="12" t="s">
        <v>1057</v>
      </c>
      <c r="E1062" s="12">
        <v>40739</v>
      </c>
      <c r="F1062" s="15" t="s">
        <v>935</v>
      </c>
      <c r="G1062" s="15"/>
      <c r="H1062" s="242" t="s">
        <v>1037</v>
      </c>
      <c r="I1062" s="141">
        <v>27</v>
      </c>
      <c r="J1062" s="141">
        <v>18104.102438857182</v>
      </c>
      <c r="K1062" s="238">
        <f t="shared" si="80"/>
        <v>488811</v>
      </c>
      <c r="L1062" s="14" t="s">
        <v>155</v>
      </c>
      <c r="M1062" s="14" t="s">
        <v>153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>x</v>
      </c>
      <c r="Z1062" s="121"/>
    </row>
    <row r="1063" spans="1:26" ht="15.75" customHeight="1">
      <c r="A1063" s="125" t="str">
        <f>IF(B1063&lt;&gt;"",IF(AND(B1063&gt;=_TM1,B1063&lt;=_TM2,OR(TH!L1063="1111",TH!M1063="1111")),TH!D1063,""),"")</f>
        <v/>
      </c>
      <c r="B1063" s="11">
        <f t="shared" si="78"/>
        <v>7</v>
      </c>
      <c r="C1063" s="12">
        <f t="shared" si="79"/>
        <v>40739</v>
      </c>
      <c r="D1063" s="12" t="s">
        <v>1057</v>
      </c>
      <c r="E1063" s="12">
        <v>40739</v>
      </c>
      <c r="F1063" s="15" t="s">
        <v>936</v>
      </c>
      <c r="G1063" s="15"/>
      <c r="H1063" s="242" t="s">
        <v>1037</v>
      </c>
      <c r="I1063" s="141">
        <v>120</v>
      </c>
      <c r="J1063" s="141">
        <v>4446.9070684868111</v>
      </c>
      <c r="K1063" s="238">
        <f t="shared" si="80"/>
        <v>533629</v>
      </c>
      <c r="L1063" s="14" t="s">
        <v>155</v>
      </c>
      <c r="M1063" s="14" t="s">
        <v>153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>x</v>
      </c>
      <c r="Z1063" s="121"/>
    </row>
    <row r="1064" spans="1:26" ht="15.75" customHeight="1">
      <c r="A1064" s="125" t="str">
        <f>IF(B1064&lt;&gt;"",IF(AND(B1064&gt;=_TM1,B1064&lt;=_TM2,OR(TH!L1064="1111",TH!M1064="1111")),TH!D1064,""),"")</f>
        <v/>
      </c>
      <c r="B1064" s="11">
        <f t="shared" si="78"/>
        <v>7</v>
      </c>
      <c r="C1064" s="12">
        <f t="shared" si="79"/>
        <v>40739</v>
      </c>
      <c r="D1064" s="12" t="s">
        <v>1057</v>
      </c>
      <c r="E1064" s="12">
        <v>40739</v>
      </c>
      <c r="F1064" s="15" t="s">
        <v>937</v>
      </c>
      <c r="G1064" s="15"/>
      <c r="H1064" s="242" t="s">
        <v>1037</v>
      </c>
      <c r="I1064" s="141">
        <v>600</v>
      </c>
      <c r="J1064" s="141">
        <v>2667.3004018201455</v>
      </c>
      <c r="K1064" s="238">
        <f t="shared" si="80"/>
        <v>1600380</v>
      </c>
      <c r="L1064" s="14" t="s">
        <v>155</v>
      </c>
      <c r="M1064" s="14" t="s">
        <v>153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>x</v>
      </c>
      <c r="Z1064" s="121"/>
    </row>
    <row r="1065" spans="1:26" ht="15.75" customHeight="1">
      <c r="A1065" s="125" t="str">
        <f>IF(B1065&lt;&gt;"",IF(AND(B1065&gt;=_TM1,B1065&lt;=_TM2,OR(TH!L1065="1111",TH!M1065="1111")),TH!D1065,""),"")</f>
        <v/>
      </c>
      <c r="B1065" s="11">
        <f t="shared" si="78"/>
        <v>7</v>
      </c>
      <c r="C1065" s="12">
        <f t="shared" si="79"/>
        <v>40739</v>
      </c>
      <c r="D1065" s="12" t="s">
        <v>1057</v>
      </c>
      <c r="E1065" s="12">
        <v>40739</v>
      </c>
      <c r="F1065" s="116" t="s">
        <v>1154</v>
      </c>
      <c r="G1065" s="15"/>
      <c r="H1065" s="242" t="s">
        <v>1037</v>
      </c>
      <c r="I1065" s="141">
        <v>170</v>
      </c>
      <c r="J1065" s="141">
        <v>2681.6046175064198</v>
      </c>
      <c r="K1065" s="238">
        <f t="shared" si="80"/>
        <v>455873</v>
      </c>
      <c r="L1065" s="14" t="s">
        <v>155</v>
      </c>
      <c r="M1065" s="14" t="s">
        <v>153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>x</v>
      </c>
      <c r="Z1065" s="121"/>
    </row>
    <row r="1066" spans="1:26" ht="15.75" customHeight="1">
      <c r="A1066" s="125" t="str">
        <f>IF(B1066&lt;&gt;"",IF(AND(B1066&gt;=_TM1,B1066&lt;=_TM2,OR(TH!L1066="1111",TH!M1066="1111")),TH!D1066,""),"")</f>
        <v/>
      </c>
      <c r="B1066" s="11">
        <f t="shared" si="78"/>
        <v>7</v>
      </c>
      <c r="C1066" s="12">
        <f t="shared" si="79"/>
        <v>40739</v>
      </c>
      <c r="D1066" s="12" t="s">
        <v>1057</v>
      </c>
      <c r="E1066" s="12">
        <v>40739</v>
      </c>
      <c r="F1066" s="116" t="s">
        <v>732</v>
      </c>
      <c r="G1066" s="15"/>
      <c r="H1066" s="242" t="s">
        <v>1037</v>
      </c>
      <c r="I1066" s="141">
        <v>100</v>
      </c>
      <c r="J1066" s="141">
        <v>6671.3787351534784</v>
      </c>
      <c r="K1066" s="238">
        <f t="shared" si="80"/>
        <v>667138</v>
      </c>
      <c r="L1066" s="14" t="s">
        <v>155</v>
      </c>
      <c r="M1066" s="14" t="s">
        <v>153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>x</v>
      </c>
      <c r="Z1066" s="121"/>
    </row>
    <row r="1067" spans="1:26" ht="15.75" customHeight="1">
      <c r="A1067" s="125" t="str">
        <f>IF(B1067&lt;&gt;"",IF(AND(B1067&gt;=_TM1,B1067&lt;=_TM2,OR(TH!L1067="1111",TH!M1067="1111")),TH!D1067,""),"")</f>
        <v/>
      </c>
      <c r="B1067" s="11">
        <f t="shared" si="78"/>
        <v>7</v>
      </c>
      <c r="C1067" s="12">
        <f t="shared" si="79"/>
        <v>40739</v>
      </c>
      <c r="D1067" s="12" t="s">
        <v>1057</v>
      </c>
      <c r="E1067" s="12">
        <v>40739</v>
      </c>
      <c r="F1067" s="116" t="s">
        <v>732</v>
      </c>
      <c r="G1067" s="15"/>
      <c r="H1067" s="242" t="s">
        <v>1037</v>
      </c>
      <c r="I1067" s="141">
        <v>60</v>
      </c>
      <c r="J1067" s="141">
        <v>2667.3154018201449</v>
      </c>
      <c r="K1067" s="238">
        <f t="shared" si="80"/>
        <v>160039</v>
      </c>
      <c r="L1067" s="14" t="s">
        <v>155</v>
      </c>
      <c r="M1067" s="14" t="s">
        <v>153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>x</v>
      </c>
      <c r="Z1067" s="121"/>
    </row>
    <row r="1068" spans="1:26" ht="15.75" customHeight="1">
      <c r="A1068" s="125" t="str">
        <f>IF(B1068&lt;&gt;"",IF(AND(B1068&gt;=_TM1,B1068&lt;=_TM2,OR(TH!L1068="1111",TH!M1068="1111")),TH!D1068,""),"")</f>
        <v/>
      </c>
      <c r="B1068" s="11">
        <f t="shared" si="78"/>
        <v>7</v>
      </c>
      <c r="C1068" s="12">
        <f t="shared" si="79"/>
        <v>40739</v>
      </c>
      <c r="D1068" s="12" t="s">
        <v>905</v>
      </c>
      <c r="E1068" s="12">
        <v>40739</v>
      </c>
      <c r="F1068" s="15" t="s">
        <v>933</v>
      </c>
      <c r="G1068" s="15" t="s">
        <v>1118</v>
      </c>
      <c r="H1068" s="242" t="s">
        <v>709</v>
      </c>
      <c r="I1068" s="141">
        <v>124</v>
      </c>
      <c r="J1068" s="141">
        <v>8248.4067996696067</v>
      </c>
      <c r="K1068" s="238">
        <f t="shared" si="80"/>
        <v>1022802</v>
      </c>
      <c r="L1068" s="14" t="s">
        <v>161</v>
      </c>
      <c r="M1068" s="14" t="s">
        <v>155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>x</v>
      </c>
      <c r="Z1068" s="121"/>
    </row>
    <row r="1069" spans="1:26" ht="15.75" customHeight="1">
      <c r="A1069" s="125" t="str">
        <f>IF(B1069&lt;&gt;"",IF(AND(B1069&gt;=_TM1,B1069&lt;=_TM2,OR(TH!L1069="1111",TH!M1069="1111")),TH!D1069,""),"")</f>
        <v/>
      </c>
      <c r="B1069" s="11">
        <f t="shared" si="78"/>
        <v>7</v>
      </c>
      <c r="C1069" s="12">
        <f t="shared" si="79"/>
        <v>40739</v>
      </c>
      <c r="D1069" s="12" t="s">
        <v>905</v>
      </c>
      <c r="E1069" s="12">
        <v>40739</v>
      </c>
      <c r="F1069" s="15" t="s">
        <v>934</v>
      </c>
      <c r="G1069" s="15" t="s">
        <v>1118</v>
      </c>
      <c r="H1069" s="242" t="s">
        <v>709</v>
      </c>
      <c r="I1069" s="141">
        <v>1292</v>
      </c>
      <c r="J1069" s="141">
        <v>10697.405701097752</v>
      </c>
      <c r="K1069" s="238">
        <f t="shared" si="80"/>
        <v>13821048</v>
      </c>
      <c r="L1069" s="14" t="s">
        <v>161</v>
      </c>
      <c r="M1069" s="14" t="s">
        <v>155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>x</v>
      </c>
      <c r="Z1069" s="121"/>
    </row>
    <row r="1070" spans="1:26" ht="15.75" customHeight="1">
      <c r="A1070" s="125" t="str">
        <f>IF(B1070&lt;&gt;"",IF(AND(B1070&gt;=_TM1,B1070&lt;=_TM2,OR(TH!L1070="1111",TH!M1070="1111")),TH!D1070,""),"")</f>
        <v/>
      </c>
      <c r="B1070" s="11">
        <f t="shared" si="78"/>
        <v>7</v>
      </c>
      <c r="C1070" s="12">
        <f t="shared" si="79"/>
        <v>40739</v>
      </c>
      <c r="D1070" s="12" t="s">
        <v>905</v>
      </c>
      <c r="E1070" s="12">
        <v>40739</v>
      </c>
      <c r="F1070" s="15" t="s">
        <v>935</v>
      </c>
      <c r="G1070" s="15" t="s">
        <v>1118</v>
      </c>
      <c r="H1070" s="242" t="s">
        <v>709</v>
      </c>
      <c r="I1070" s="141">
        <v>27</v>
      </c>
      <c r="J1070" s="141">
        <v>18104.102438857182</v>
      </c>
      <c r="K1070" s="238">
        <f t="shared" si="80"/>
        <v>488811</v>
      </c>
      <c r="L1070" s="14" t="s">
        <v>161</v>
      </c>
      <c r="M1070" s="14" t="s">
        <v>155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>x</v>
      </c>
      <c r="Z1070" s="121"/>
    </row>
    <row r="1071" spans="1:26" ht="15.75" customHeight="1">
      <c r="A1071" s="125" t="str">
        <f>IF(B1071&lt;&gt;"",IF(AND(B1071&gt;=_TM1,B1071&lt;=_TM2,OR(TH!L1071="1111",TH!M1071="1111")),TH!D1071,""),"")</f>
        <v/>
      </c>
      <c r="B1071" s="11">
        <f t="shared" si="78"/>
        <v>7</v>
      </c>
      <c r="C1071" s="12">
        <f t="shared" si="79"/>
        <v>40739</v>
      </c>
      <c r="D1071" s="12" t="s">
        <v>905</v>
      </c>
      <c r="E1071" s="12">
        <v>40739</v>
      </c>
      <c r="F1071" s="15" t="s">
        <v>936</v>
      </c>
      <c r="G1071" s="15" t="s">
        <v>1118</v>
      </c>
      <c r="H1071" s="242" t="s">
        <v>709</v>
      </c>
      <c r="I1071" s="141">
        <v>120</v>
      </c>
      <c r="J1071" s="141">
        <v>4446.9070684868111</v>
      </c>
      <c r="K1071" s="238">
        <f t="shared" si="80"/>
        <v>533629</v>
      </c>
      <c r="L1071" s="14" t="s">
        <v>161</v>
      </c>
      <c r="M1071" s="14" t="s">
        <v>155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>x</v>
      </c>
      <c r="Z1071" s="121"/>
    </row>
    <row r="1072" spans="1:26" ht="15.75" customHeight="1">
      <c r="A1072" s="125" t="str">
        <f>IF(B1072&lt;&gt;"",IF(AND(B1072&gt;=_TM1,B1072&lt;=_TM2,OR(TH!L1072="1111",TH!M1072="1111")),TH!D1072,""),"")</f>
        <v/>
      </c>
      <c r="B1072" s="11">
        <f t="shared" si="78"/>
        <v>7</v>
      </c>
      <c r="C1072" s="12">
        <f t="shared" si="79"/>
        <v>40739</v>
      </c>
      <c r="D1072" s="12" t="s">
        <v>905</v>
      </c>
      <c r="E1072" s="12">
        <v>40739</v>
      </c>
      <c r="F1072" s="15" t="s">
        <v>937</v>
      </c>
      <c r="G1072" s="15" t="s">
        <v>1118</v>
      </c>
      <c r="H1072" s="242" t="s">
        <v>709</v>
      </c>
      <c r="I1072" s="141">
        <v>600</v>
      </c>
      <c r="J1072" s="141">
        <v>2667.3004018201455</v>
      </c>
      <c r="K1072" s="238">
        <f t="shared" si="80"/>
        <v>1600380</v>
      </c>
      <c r="L1072" s="14" t="s">
        <v>161</v>
      </c>
      <c r="M1072" s="14" t="s">
        <v>155</v>
      </c>
      <c r="N1072" s="25" t="str">
        <f>IF(AND('331-CT'!$E$7=TH!H1072,OR(L1072="331",M1072="331")),"331",IF(AND(OR(L1072="131",M1072="131"),H1072='131-CT'!$E$7),"131",""))</f>
        <v/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>x</v>
      </c>
      <c r="Z1072" s="121"/>
    </row>
    <row r="1073" spans="1:26" ht="15.75" customHeight="1">
      <c r="A1073" s="125" t="str">
        <f>IF(B1073&lt;&gt;"",IF(AND(B1073&gt;=_TM1,B1073&lt;=_TM2,OR(TH!L1073="1111",TH!M1073="1111")),TH!D1073,""),"")</f>
        <v/>
      </c>
      <c r="B1073" s="11">
        <f t="shared" si="78"/>
        <v>7</v>
      </c>
      <c r="C1073" s="12">
        <f t="shared" si="79"/>
        <v>40739</v>
      </c>
      <c r="D1073" s="12" t="s">
        <v>905</v>
      </c>
      <c r="E1073" s="12">
        <v>40739</v>
      </c>
      <c r="F1073" s="116" t="s">
        <v>1154</v>
      </c>
      <c r="G1073" s="15" t="s">
        <v>1118</v>
      </c>
      <c r="H1073" s="242" t="s">
        <v>709</v>
      </c>
      <c r="I1073" s="141">
        <v>170</v>
      </c>
      <c r="J1073" s="141">
        <v>2681.6046175064198</v>
      </c>
      <c r="K1073" s="238">
        <f t="shared" si="80"/>
        <v>455873</v>
      </c>
      <c r="L1073" s="14" t="s">
        <v>161</v>
      </c>
      <c r="M1073" s="14" t="s">
        <v>155</v>
      </c>
      <c r="N1073" s="25" t="str">
        <f>IF(AND('331-CT'!$E$7=TH!H1073,OR(L1073="331",M1073="331")),"331",IF(AND(OR(L1073="131",M1073="131"),H1073='131-CT'!$E$7),"131",""))</f>
        <v/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>x</v>
      </c>
      <c r="Z1073" s="121"/>
    </row>
    <row r="1074" spans="1:26" ht="15.75" customHeight="1">
      <c r="A1074" s="125" t="str">
        <f>IF(B1074&lt;&gt;"",IF(AND(B1074&gt;=_TM1,B1074&lt;=_TM2,OR(TH!L1074="1111",TH!M1074="1111")),TH!D1074,""),"")</f>
        <v/>
      </c>
      <c r="B1074" s="11">
        <f t="shared" si="78"/>
        <v>7</v>
      </c>
      <c r="C1074" s="12">
        <f t="shared" si="79"/>
        <v>40739</v>
      </c>
      <c r="D1074" s="12" t="s">
        <v>905</v>
      </c>
      <c r="E1074" s="12">
        <v>40739</v>
      </c>
      <c r="F1074" s="116" t="s">
        <v>732</v>
      </c>
      <c r="G1074" s="15" t="s">
        <v>1118</v>
      </c>
      <c r="H1074" s="242" t="s">
        <v>709</v>
      </c>
      <c r="I1074" s="141">
        <v>100</v>
      </c>
      <c r="J1074" s="141">
        <v>6671.3787351534784</v>
      </c>
      <c r="K1074" s="238">
        <f t="shared" si="80"/>
        <v>667138</v>
      </c>
      <c r="L1074" s="14" t="s">
        <v>161</v>
      </c>
      <c r="M1074" s="14" t="s">
        <v>155</v>
      </c>
      <c r="N1074" s="25" t="str">
        <f>IF(AND('331-CT'!$E$7=TH!H1074,OR(L1074="331",M1074="331")),"331",IF(AND(OR(L1074="131",M1074="131"),H1074='131-CT'!$E$7),"131",""))</f>
        <v/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>x</v>
      </c>
      <c r="Z1074" s="121"/>
    </row>
    <row r="1075" spans="1:26" ht="15.75" customHeight="1">
      <c r="A1075" s="125" t="str">
        <f>IF(B1075&lt;&gt;"",IF(AND(B1075&gt;=_TM1,B1075&lt;=_TM2,OR(TH!L1075="1111",TH!M1075="1111")),TH!D1075,""),"")</f>
        <v/>
      </c>
      <c r="B1075" s="11">
        <f t="shared" si="78"/>
        <v>7</v>
      </c>
      <c r="C1075" s="12">
        <f t="shared" si="79"/>
        <v>40739</v>
      </c>
      <c r="D1075" s="12" t="s">
        <v>905</v>
      </c>
      <c r="E1075" s="12">
        <v>40739</v>
      </c>
      <c r="F1075" s="116" t="s">
        <v>732</v>
      </c>
      <c r="G1075" s="15" t="s">
        <v>1118</v>
      </c>
      <c r="H1075" s="242" t="s">
        <v>709</v>
      </c>
      <c r="I1075" s="141">
        <v>60</v>
      </c>
      <c r="J1075" s="141">
        <v>2667.3154018201449</v>
      </c>
      <c r="K1075" s="238">
        <f t="shared" si="80"/>
        <v>160039</v>
      </c>
      <c r="L1075" s="14" t="s">
        <v>161</v>
      </c>
      <c r="M1075" s="14" t="s">
        <v>155</v>
      </c>
      <c r="N1075" s="25" t="str">
        <f>IF(AND('331-CT'!$E$7=TH!H1075,OR(L1075="331",M1075="331")),"331",IF(AND(OR(L1075="131",M1075="131"),H1075='131-CT'!$E$7),"131",""))</f>
        <v/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>x</v>
      </c>
      <c r="Z1075" s="121"/>
    </row>
    <row r="1076" spans="1:26" ht="15.75" customHeight="1">
      <c r="A1076" s="125" t="str">
        <f>IF(B1076&lt;&gt;"",IF(AND(B1076&gt;=_TM1,B1076&lt;=_TM2,OR(TH!L1076="1111",TH!M1076="1111")),TH!D1076,""),"")</f>
        <v/>
      </c>
      <c r="B1076" s="11">
        <f t="shared" si="78"/>
        <v>7</v>
      </c>
      <c r="C1076" s="110">
        <v>40740</v>
      </c>
      <c r="D1076" s="110" t="s">
        <v>409</v>
      </c>
      <c r="E1076" s="110">
        <v>40740</v>
      </c>
      <c r="F1076" s="114" t="s">
        <v>343</v>
      </c>
      <c r="G1076" s="240" t="s">
        <v>307</v>
      </c>
      <c r="H1076" s="117" t="s">
        <v>340</v>
      </c>
      <c r="I1076" s="141"/>
      <c r="J1076" s="141"/>
      <c r="K1076" s="238">
        <v>62000000</v>
      </c>
      <c r="L1076" s="239" t="s">
        <v>44</v>
      </c>
      <c r="M1076" s="239" t="s">
        <v>23</v>
      </c>
      <c r="N1076" s="25" t="str">
        <f>IF(AND('331-CT'!$E$7=TH!H1076,OR(L1076="331",M1076="331")),"331",IF(AND(OR(L1076="131",M1076="131"),H1076='131-CT'!$E$7),"131",""))</f>
        <v/>
      </c>
      <c r="O1076" s="25" t="str">
        <f>IF(AND($B1076&gt;='111'!$N$11,$B1076&lt;='111'!$O$11,OR($L1076=$O$7,$M1076=$O$7)),"x","")</f>
        <v>x</v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>x</v>
      </c>
      <c r="Z1076" s="121"/>
    </row>
    <row r="1077" spans="1:26" ht="15.75" customHeight="1">
      <c r="A1077" s="125" t="str">
        <f>IF(B1077&lt;&gt;"",IF(AND(B1077&gt;=_TM1,B1077&lt;=_TM2,OR(TH!L1077="1111",TH!M1077="1111")),TH!D1077,""),"")</f>
        <v/>
      </c>
      <c r="B1077" s="11">
        <f t="shared" si="78"/>
        <v>7</v>
      </c>
      <c r="C1077" s="115">
        <v>40741</v>
      </c>
      <c r="D1077" s="115" t="s">
        <v>906</v>
      </c>
      <c r="E1077" s="115">
        <v>40741</v>
      </c>
      <c r="F1077" s="116" t="s">
        <v>717</v>
      </c>
      <c r="G1077" s="224" t="s">
        <v>1120</v>
      </c>
      <c r="H1077" s="117" t="s">
        <v>709</v>
      </c>
      <c r="I1077" s="141">
        <v>6</v>
      </c>
      <c r="J1077" s="141">
        <v>17330</v>
      </c>
      <c r="K1077" s="238">
        <v>103980</v>
      </c>
      <c r="L1077" s="118" t="s">
        <v>237</v>
      </c>
      <c r="M1077" s="118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>x</v>
      </c>
      <c r="Z1077" s="121"/>
    </row>
    <row r="1078" spans="1:26" ht="15.75" customHeight="1">
      <c r="A1078" s="125" t="str">
        <f>IF(B1078&lt;&gt;"",IF(AND(B1078&gt;=_TM1,B1078&lt;=_TM2,OR(TH!L1078="1111",TH!M1078="1111")),TH!D1078,""),"")</f>
        <v/>
      </c>
      <c r="B1078" s="11">
        <f t="shared" si="78"/>
        <v>7</v>
      </c>
      <c r="C1078" s="115">
        <v>40741</v>
      </c>
      <c r="D1078" s="115" t="s">
        <v>906</v>
      </c>
      <c r="E1078" s="115">
        <v>40741</v>
      </c>
      <c r="F1078" s="116" t="s">
        <v>718</v>
      </c>
      <c r="G1078" s="224" t="s">
        <v>1120</v>
      </c>
      <c r="H1078" s="117" t="s">
        <v>709</v>
      </c>
      <c r="I1078" s="141">
        <v>50</v>
      </c>
      <c r="J1078" s="141">
        <v>19814</v>
      </c>
      <c r="K1078" s="238">
        <v>990700</v>
      </c>
      <c r="L1078" s="118" t="s">
        <v>237</v>
      </c>
      <c r="M1078" s="118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>x</v>
      </c>
      <c r="Z1078" s="121"/>
    </row>
    <row r="1079" spans="1:26" ht="15.75" customHeight="1">
      <c r="A1079" s="125" t="str">
        <f>IF(B1079&lt;&gt;"",IF(AND(B1079&gt;=_TM1,B1079&lt;=_TM2,OR(TH!L1079="1111",TH!M1079="1111")),TH!D1079,""),"")</f>
        <v/>
      </c>
      <c r="B1079" s="11">
        <f t="shared" si="78"/>
        <v>7</v>
      </c>
      <c r="C1079" s="115">
        <v>40741</v>
      </c>
      <c r="D1079" s="115" t="s">
        <v>906</v>
      </c>
      <c r="E1079" s="115">
        <v>40741</v>
      </c>
      <c r="F1079" s="116" t="s">
        <v>940</v>
      </c>
      <c r="G1079" s="224" t="s">
        <v>1120</v>
      </c>
      <c r="H1079" s="117" t="s">
        <v>709</v>
      </c>
      <c r="I1079" s="141">
        <v>121</v>
      </c>
      <c r="J1079" s="141">
        <v>21646</v>
      </c>
      <c r="K1079" s="238">
        <v>2619166</v>
      </c>
      <c r="L1079" s="118" t="s">
        <v>237</v>
      </c>
      <c r="M1079" s="118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>x</v>
      </c>
      <c r="Z1079" s="121"/>
    </row>
    <row r="1080" spans="1:26" ht="15.75" customHeight="1">
      <c r="A1080" s="125" t="str">
        <f>IF(B1080&lt;&gt;"",IF(AND(B1080&gt;=_TM1,B1080&lt;=_TM2,OR(TH!L1080="1111",TH!M1080="1111")),TH!D1080,""),"")</f>
        <v/>
      </c>
      <c r="B1080" s="11">
        <f t="shared" si="78"/>
        <v>7</v>
      </c>
      <c r="C1080" s="115">
        <v>40741</v>
      </c>
      <c r="D1080" s="115" t="s">
        <v>906</v>
      </c>
      <c r="E1080" s="115">
        <v>40741</v>
      </c>
      <c r="F1080" s="116" t="s">
        <v>719</v>
      </c>
      <c r="G1080" s="224" t="s">
        <v>1120</v>
      </c>
      <c r="H1080" s="117" t="s">
        <v>709</v>
      </c>
      <c r="I1080" s="141">
        <v>83</v>
      </c>
      <c r="J1080" s="141">
        <v>19248</v>
      </c>
      <c r="K1080" s="238">
        <v>1597584</v>
      </c>
      <c r="L1080" s="118" t="s">
        <v>237</v>
      </c>
      <c r="M1080" s="118" t="s">
        <v>163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>x</v>
      </c>
      <c r="Z1080" s="121"/>
    </row>
    <row r="1081" spans="1:26" ht="15.75" customHeight="1">
      <c r="A1081" s="125" t="str">
        <f>IF(B1081&lt;&gt;"",IF(AND(B1081&gt;=_TM1,B1081&lt;=_TM2,OR(TH!L1081="1111",TH!M1081="1111")),TH!D1081,""),"")</f>
        <v/>
      </c>
      <c r="B1081" s="11">
        <f t="shared" si="78"/>
        <v>7</v>
      </c>
      <c r="C1081" s="115">
        <v>40741</v>
      </c>
      <c r="D1081" s="115" t="s">
        <v>906</v>
      </c>
      <c r="E1081" s="115">
        <v>40741</v>
      </c>
      <c r="F1081" s="116" t="s">
        <v>720</v>
      </c>
      <c r="G1081" s="224" t="s">
        <v>1120</v>
      </c>
      <c r="H1081" s="117" t="s">
        <v>709</v>
      </c>
      <c r="I1081" s="141">
        <v>1</v>
      </c>
      <c r="J1081" s="141">
        <v>14591</v>
      </c>
      <c r="K1081" s="238">
        <v>14591</v>
      </c>
      <c r="L1081" s="118" t="s">
        <v>237</v>
      </c>
      <c r="M1081" s="118" t="s">
        <v>163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>x</v>
      </c>
      <c r="Z1081" s="121"/>
    </row>
    <row r="1082" spans="1:26" ht="15.75" customHeight="1">
      <c r="A1082" s="125" t="str">
        <f>IF(B1082&lt;&gt;"",IF(AND(B1082&gt;=_TM1,B1082&lt;=_TM2,OR(TH!L1082="1111",TH!M1082="1111")),TH!D1082,""),"")</f>
        <v/>
      </c>
      <c r="B1082" s="11">
        <f t="shared" si="78"/>
        <v>7</v>
      </c>
      <c r="C1082" s="115">
        <v>40741</v>
      </c>
      <c r="D1082" s="115" t="s">
        <v>906</v>
      </c>
      <c r="E1082" s="115">
        <v>40741</v>
      </c>
      <c r="F1082" s="116" t="s">
        <v>941</v>
      </c>
      <c r="G1082" s="224" t="s">
        <v>1120</v>
      </c>
      <c r="H1082" s="117" t="s">
        <v>709</v>
      </c>
      <c r="I1082" s="143">
        <v>80</v>
      </c>
      <c r="J1082" s="143">
        <v>20979</v>
      </c>
      <c r="K1082" s="238">
        <v>1678320</v>
      </c>
      <c r="L1082" s="118" t="s">
        <v>237</v>
      </c>
      <c r="M1082" s="118" t="s">
        <v>163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>x</v>
      </c>
      <c r="Z1082" s="121"/>
    </row>
    <row r="1083" spans="1:26" ht="15.75" customHeight="1">
      <c r="A1083" s="125" t="str">
        <f>IF(B1083&lt;&gt;"",IF(AND(B1083&gt;=_TM1,B1083&lt;=_TM2,OR(TH!L1083="1111",TH!M1083="1111")),TH!D1083,""),"")</f>
        <v/>
      </c>
      <c r="B1083" s="11">
        <f t="shared" si="78"/>
        <v>7</v>
      </c>
      <c r="C1083" s="115">
        <v>40741</v>
      </c>
      <c r="D1083" s="115" t="s">
        <v>906</v>
      </c>
      <c r="E1083" s="115">
        <v>40741</v>
      </c>
      <c r="F1083" s="116" t="s">
        <v>942</v>
      </c>
      <c r="G1083" s="224" t="s">
        <v>1120</v>
      </c>
      <c r="H1083" s="117" t="s">
        <v>709</v>
      </c>
      <c r="I1083" s="141">
        <v>156</v>
      </c>
      <c r="J1083" s="141">
        <v>18287</v>
      </c>
      <c r="K1083" s="238">
        <v>2852772</v>
      </c>
      <c r="L1083" s="118" t="s">
        <v>237</v>
      </c>
      <c r="M1083" s="118" t="s">
        <v>163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>x</v>
      </c>
      <c r="Z1083" s="121"/>
    </row>
    <row r="1084" spans="1:26" ht="15.75" customHeight="1">
      <c r="A1084" s="125" t="str">
        <f>IF(B1084&lt;&gt;"",IF(AND(B1084&gt;=_TM1,B1084&lt;=_TM2,OR(TH!L1084="1111",TH!M1084="1111")),TH!D1084,""),"")</f>
        <v/>
      </c>
      <c r="B1084" s="11">
        <f t="shared" si="78"/>
        <v>7</v>
      </c>
      <c r="C1084" s="115">
        <v>40741</v>
      </c>
      <c r="D1084" s="115" t="s">
        <v>906</v>
      </c>
      <c r="E1084" s="115">
        <v>40741</v>
      </c>
      <c r="F1084" s="116" t="s">
        <v>943</v>
      </c>
      <c r="G1084" s="224" t="s">
        <v>1120</v>
      </c>
      <c r="H1084" s="117" t="s">
        <v>709</v>
      </c>
      <c r="I1084" s="141">
        <v>610</v>
      </c>
      <c r="J1084" s="141">
        <v>9338</v>
      </c>
      <c r="K1084" s="238">
        <v>5696180</v>
      </c>
      <c r="L1084" s="118" t="s">
        <v>237</v>
      </c>
      <c r="M1084" s="118" t="s">
        <v>163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>x</v>
      </c>
      <c r="Z1084" s="121"/>
    </row>
    <row r="1085" spans="1:26" ht="15.75" customHeight="1">
      <c r="A1085" s="125" t="str">
        <f>IF(B1085&lt;&gt;"",IF(AND(B1085&gt;=_TM1,B1085&lt;=_TM2,OR(TH!L1085="1111",TH!M1085="1111")),TH!D1085,""),"")</f>
        <v/>
      </c>
      <c r="B1085" s="11">
        <f t="shared" si="78"/>
        <v>7</v>
      </c>
      <c r="C1085" s="115">
        <v>40741</v>
      </c>
      <c r="D1085" s="115" t="s">
        <v>906</v>
      </c>
      <c r="E1085" s="115">
        <v>40741</v>
      </c>
      <c r="F1085" s="116" t="s">
        <v>1121</v>
      </c>
      <c r="G1085" s="224" t="s">
        <v>1120</v>
      </c>
      <c r="H1085" s="117" t="s">
        <v>709</v>
      </c>
      <c r="I1085" s="141"/>
      <c r="J1085" s="141"/>
      <c r="K1085" s="238">
        <v>1555329</v>
      </c>
      <c r="L1085" s="118" t="s">
        <v>237</v>
      </c>
      <c r="M1085" s="118" t="s">
        <v>707</v>
      </c>
      <c r="N1085" s="25" t="str">
        <f>IF(AND('331-CT'!$E$7=TH!H1085,OR(L1085="331",M1085="331")),"331",IF(AND(OR(L1085="131",M1085="131"),H1085='131-CT'!$E$7),"131",""))</f>
        <v>131</v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>x</v>
      </c>
      <c r="Z1085" s="121"/>
    </row>
    <row r="1086" spans="1:26" ht="15.75" customHeight="1">
      <c r="A1086" s="125" t="str">
        <f>IF(B1086&lt;&gt;"",IF(AND(B1086&gt;=_TM1,B1086&lt;=_TM2,OR(TH!L1086="1111",TH!M1086="1111")),TH!D1086,""),"")</f>
        <v/>
      </c>
      <c r="B1086" s="11">
        <f t="shared" si="78"/>
        <v>7</v>
      </c>
      <c r="C1086" s="12">
        <f t="shared" ref="C1086:C1107" si="81">E1086</f>
        <v>40741</v>
      </c>
      <c r="D1086" s="12" t="s">
        <v>1041</v>
      </c>
      <c r="E1086" s="304">
        <v>40741</v>
      </c>
      <c r="F1086" s="114" t="s">
        <v>470</v>
      </c>
      <c r="G1086" s="15"/>
      <c r="H1086" s="242" t="s">
        <v>1037</v>
      </c>
      <c r="I1086" s="141">
        <v>54</v>
      </c>
      <c r="J1086" s="141">
        <v>22806</v>
      </c>
      <c r="K1086" s="238">
        <f t="shared" ref="K1086:K1107" si="82">ROUND(I1086*J1086,0)</f>
        <v>1231524</v>
      </c>
      <c r="L1086" s="14" t="s">
        <v>153</v>
      </c>
      <c r="M1086" s="14" t="s">
        <v>147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/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>x</v>
      </c>
      <c r="Z1086" s="121"/>
    </row>
    <row r="1087" spans="1:26" ht="15.75" customHeight="1">
      <c r="A1087" s="125" t="str">
        <f>IF(B1087&lt;&gt;"",IF(AND(B1087&gt;=_TM1,B1087&lt;=_TM2,OR(TH!L1087="1111",TH!M1087="1111")),TH!D1087,""),"")</f>
        <v/>
      </c>
      <c r="B1087" s="11">
        <f t="shared" si="78"/>
        <v>7</v>
      </c>
      <c r="C1087" s="12">
        <f t="shared" si="81"/>
        <v>40741</v>
      </c>
      <c r="D1087" s="12" t="s">
        <v>1041</v>
      </c>
      <c r="E1087" s="304">
        <v>40741</v>
      </c>
      <c r="F1087" s="114" t="s">
        <v>528</v>
      </c>
      <c r="G1087" s="15"/>
      <c r="H1087" s="242" t="s">
        <v>1037</v>
      </c>
      <c r="I1087" s="141">
        <v>41</v>
      </c>
      <c r="J1087" s="141">
        <v>16973</v>
      </c>
      <c r="K1087" s="238">
        <f t="shared" si="82"/>
        <v>695893</v>
      </c>
      <c r="L1087" s="14" t="s">
        <v>153</v>
      </c>
      <c r="M1087" s="14" t="s">
        <v>147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/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>x</v>
      </c>
      <c r="Z1087" s="121"/>
    </row>
    <row r="1088" spans="1:26" ht="15.75" customHeight="1">
      <c r="A1088" s="125" t="str">
        <f>IF(B1088&lt;&gt;"",IF(AND(B1088&gt;=_TM1,B1088&lt;=_TM2,OR(TH!L1088="1111",TH!M1088="1111")),TH!D1088,""),"")</f>
        <v/>
      </c>
      <c r="B1088" s="11">
        <f t="shared" si="78"/>
        <v>7</v>
      </c>
      <c r="C1088" s="12">
        <f t="shared" si="81"/>
        <v>40741</v>
      </c>
      <c r="D1088" s="12" t="s">
        <v>1041</v>
      </c>
      <c r="E1088" s="304">
        <v>40741</v>
      </c>
      <c r="F1088" s="114" t="s">
        <v>555</v>
      </c>
      <c r="G1088" s="15"/>
      <c r="H1088" s="242" t="s">
        <v>1037</v>
      </c>
      <c r="I1088" s="141">
        <v>25.5</v>
      </c>
      <c r="J1088" s="141">
        <v>10344</v>
      </c>
      <c r="K1088" s="238">
        <f t="shared" si="82"/>
        <v>263772</v>
      </c>
      <c r="L1088" s="14" t="s">
        <v>153</v>
      </c>
      <c r="M1088" s="14" t="s">
        <v>147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/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>x</v>
      </c>
      <c r="Z1088" s="121"/>
    </row>
    <row r="1089" spans="1:26" ht="15.75" customHeight="1">
      <c r="A1089" s="125" t="str">
        <f>IF(B1089&lt;&gt;"",IF(AND(B1089&gt;=_TM1,B1089&lt;=_TM2,OR(TH!L1089="1111",TH!M1089="1111")),TH!D1089,""),"")</f>
        <v/>
      </c>
      <c r="B1089" s="11">
        <f t="shared" si="78"/>
        <v>7</v>
      </c>
      <c r="C1089" s="12">
        <f t="shared" si="81"/>
        <v>40741</v>
      </c>
      <c r="D1089" s="12" t="s">
        <v>1041</v>
      </c>
      <c r="E1089" s="304">
        <v>40741</v>
      </c>
      <c r="F1089" s="154" t="s">
        <v>456</v>
      </c>
      <c r="G1089" s="15"/>
      <c r="H1089" s="242" t="s">
        <v>1037</v>
      </c>
      <c r="I1089" s="141">
        <v>90</v>
      </c>
      <c r="J1089" s="141">
        <v>6026</v>
      </c>
      <c r="K1089" s="238">
        <f t="shared" si="82"/>
        <v>542340</v>
      </c>
      <c r="L1089" s="14" t="s">
        <v>153</v>
      </c>
      <c r="M1089" s="14" t="s">
        <v>147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>x</v>
      </c>
      <c r="Z1089" s="121"/>
    </row>
    <row r="1090" spans="1:26" ht="15.75" customHeight="1">
      <c r="A1090" s="125" t="str">
        <f>IF(B1090&lt;&gt;"",IF(AND(B1090&gt;=_TM1,B1090&lt;=_TM2,OR(TH!L1090="1111",TH!M1090="1111")),TH!D1090,""),"")</f>
        <v/>
      </c>
      <c r="B1090" s="11">
        <f t="shared" si="78"/>
        <v>7</v>
      </c>
      <c r="C1090" s="12">
        <f t="shared" si="81"/>
        <v>40741</v>
      </c>
      <c r="D1090" s="12" t="s">
        <v>1041</v>
      </c>
      <c r="E1090" s="304">
        <v>40741</v>
      </c>
      <c r="F1090" s="114" t="s">
        <v>608</v>
      </c>
      <c r="G1090" s="15"/>
      <c r="H1090" s="242" t="s">
        <v>1037</v>
      </c>
      <c r="I1090" s="141">
        <v>335</v>
      </c>
      <c r="J1090" s="141">
        <v>21455</v>
      </c>
      <c r="K1090" s="238">
        <f t="shared" si="82"/>
        <v>7187425</v>
      </c>
      <c r="L1090" s="14" t="s">
        <v>153</v>
      </c>
      <c r="M1090" s="14" t="s">
        <v>147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>x</v>
      </c>
      <c r="Z1090" s="121"/>
    </row>
    <row r="1091" spans="1:26" ht="15.75" customHeight="1">
      <c r="A1091" s="125" t="str">
        <f>IF(B1091&lt;&gt;"",IF(AND(B1091&gt;=_TM1,B1091&lt;=_TM2,OR(TH!L1091="1111",TH!M1091="1111")),TH!D1091,""),"")</f>
        <v/>
      </c>
      <c r="B1091" s="11">
        <f t="shared" si="78"/>
        <v>7</v>
      </c>
      <c r="C1091" s="12">
        <f t="shared" si="81"/>
        <v>40741</v>
      </c>
      <c r="D1091" s="12" t="s">
        <v>1041</v>
      </c>
      <c r="E1091" s="304">
        <v>40741</v>
      </c>
      <c r="F1091" s="154" t="s">
        <v>456</v>
      </c>
      <c r="G1091" s="15"/>
      <c r="H1091" s="242" t="s">
        <v>1037</v>
      </c>
      <c r="I1091" s="141">
        <v>176</v>
      </c>
      <c r="J1091" s="141">
        <v>6026</v>
      </c>
      <c r="K1091" s="238">
        <f t="shared" si="82"/>
        <v>1060576</v>
      </c>
      <c r="L1091" s="14" t="s">
        <v>153</v>
      </c>
      <c r="M1091" s="14" t="s">
        <v>147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/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>x</v>
      </c>
      <c r="Z1091" s="121"/>
    </row>
    <row r="1092" spans="1:26" ht="15.75" customHeight="1">
      <c r="A1092" s="125" t="str">
        <f>IF(B1092&lt;&gt;"",IF(AND(B1092&gt;=_TM1,B1092&lt;=_TM2,OR(TH!L1092="1111",TH!M1092="1111")),TH!D1092,""),"")</f>
        <v/>
      </c>
      <c r="B1092" s="11">
        <f t="shared" si="78"/>
        <v>7</v>
      </c>
      <c r="C1092" s="12">
        <f t="shared" si="81"/>
        <v>40741</v>
      </c>
      <c r="D1092" s="12" t="s">
        <v>1058</v>
      </c>
      <c r="E1092" s="12">
        <v>40741</v>
      </c>
      <c r="F1092" s="15" t="s">
        <v>717</v>
      </c>
      <c r="G1092" s="15"/>
      <c r="H1092" s="242" t="s">
        <v>1037</v>
      </c>
      <c r="I1092" s="141">
        <v>6</v>
      </c>
      <c r="J1092" s="141">
        <v>14210.065401820144</v>
      </c>
      <c r="K1092" s="238">
        <f t="shared" si="82"/>
        <v>85260</v>
      </c>
      <c r="L1092" s="14" t="s">
        <v>155</v>
      </c>
      <c r="M1092" s="14" t="s">
        <v>153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>x</v>
      </c>
      <c r="Z1092" s="121"/>
    </row>
    <row r="1093" spans="1:26" ht="15.75" customHeight="1">
      <c r="A1093" s="125" t="str">
        <f>IF(B1093&lt;&gt;"",IF(AND(B1093&gt;=_TM1,B1093&lt;=_TM2,OR(TH!L1093="1111",TH!M1093="1111")),TH!D1093,""),"")</f>
        <v/>
      </c>
      <c r="B1093" s="11">
        <f t="shared" si="78"/>
        <v>7</v>
      </c>
      <c r="C1093" s="12">
        <f t="shared" si="81"/>
        <v>40741</v>
      </c>
      <c r="D1093" s="12" t="s">
        <v>1058</v>
      </c>
      <c r="E1093" s="12">
        <v>40741</v>
      </c>
      <c r="F1093" s="15" t="s">
        <v>718</v>
      </c>
      <c r="G1093" s="15"/>
      <c r="H1093" s="242" t="s">
        <v>1037</v>
      </c>
      <c r="I1093" s="141">
        <v>50</v>
      </c>
      <c r="J1093" s="141">
        <v>18220.418735153478</v>
      </c>
      <c r="K1093" s="238">
        <f t="shared" si="82"/>
        <v>911021</v>
      </c>
      <c r="L1093" s="14" t="s">
        <v>155</v>
      </c>
      <c r="M1093" s="14" t="s">
        <v>153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>x</v>
      </c>
      <c r="Z1093" s="121"/>
    </row>
    <row r="1094" spans="1:26" ht="15.75" customHeight="1">
      <c r="A1094" s="125" t="str">
        <f>IF(B1094&lt;&gt;"",IF(AND(B1094&gt;=_TM1,B1094&lt;=_TM2,OR(TH!L1094="1111",TH!M1094="1111")),TH!D1094,""),"")</f>
        <v/>
      </c>
      <c r="B1094" s="11">
        <f t="shared" si="78"/>
        <v>7</v>
      </c>
      <c r="C1094" s="12">
        <f t="shared" si="81"/>
        <v>40741</v>
      </c>
      <c r="D1094" s="12" t="s">
        <v>1058</v>
      </c>
      <c r="E1094" s="12">
        <v>40741</v>
      </c>
      <c r="F1094" s="15" t="s">
        <v>940</v>
      </c>
      <c r="G1094" s="15"/>
      <c r="H1094" s="242" t="s">
        <v>1037</v>
      </c>
      <c r="I1094" s="141">
        <v>121</v>
      </c>
      <c r="J1094" s="141">
        <v>20128.398735153478</v>
      </c>
      <c r="K1094" s="238">
        <f t="shared" si="82"/>
        <v>2435536</v>
      </c>
      <c r="L1094" s="14" t="s">
        <v>155</v>
      </c>
      <c r="M1094" s="14" t="s">
        <v>153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>x</v>
      </c>
      <c r="Z1094" s="121"/>
    </row>
    <row r="1095" spans="1:26" ht="15.75" customHeight="1">
      <c r="A1095" s="125" t="str">
        <f>IF(B1095&lt;&gt;"",IF(AND(B1095&gt;=_TM1,B1095&lt;=_TM2,OR(TH!L1095="1111",TH!M1095="1111")),TH!D1095,""),"")</f>
        <v/>
      </c>
      <c r="B1095" s="11">
        <f t="shared" si="78"/>
        <v>7</v>
      </c>
      <c r="C1095" s="12">
        <f t="shared" si="81"/>
        <v>40741</v>
      </c>
      <c r="D1095" s="12" t="s">
        <v>1058</v>
      </c>
      <c r="E1095" s="12">
        <v>40741</v>
      </c>
      <c r="F1095" s="15" t="s">
        <v>719</v>
      </c>
      <c r="G1095" s="15"/>
      <c r="H1095" s="242" t="s">
        <v>1037</v>
      </c>
      <c r="I1095" s="141">
        <v>83</v>
      </c>
      <c r="J1095" s="141">
        <v>18395.362590575161</v>
      </c>
      <c r="K1095" s="238">
        <f t="shared" si="82"/>
        <v>1526815</v>
      </c>
      <c r="L1095" s="14" t="s">
        <v>155</v>
      </c>
      <c r="M1095" s="14" t="s">
        <v>153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>x</v>
      </c>
      <c r="Z1095" s="121"/>
    </row>
    <row r="1096" spans="1:26" ht="15.75" customHeight="1">
      <c r="A1096" s="125" t="str">
        <f>IF(B1096&lt;&gt;"",IF(AND(B1096&gt;=_TM1,B1096&lt;=_TM2,OR(TH!L1096="1111",TH!M1096="1111")),TH!D1096,""),"")</f>
        <v/>
      </c>
      <c r="B1096" s="11">
        <f t="shared" si="78"/>
        <v>7</v>
      </c>
      <c r="C1096" s="12">
        <f t="shared" si="81"/>
        <v>40741</v>
      </c>
      <c r="D1096" s="12" t="s">
        <v>1058</v>
      </c>
      <c r="E1096" s="12">
        <v>40741</v>
      </c>
      <c r="F1096" s="15" t="s">
        <v>720</v>
      </c>
      <c r="G1096" s="15"/>
      <c r="H1096" s="242" t="s">
        <v>1037</v>
      </c>
      <c r="I1096" s="141">
        <v>1</v>
      </c>
      <c r="J1096" s="141">
        <v>10309.398735153478</v>
      </c>
      <c r="K1096" s="238">
        <f t="shared" si="82"/>
        <v>10309</v>
      </c>
      <c r="L1096" s="14" t="s">
        <v>155</v>
      </c>
      <c r="M1096" s="14" t="s">
        <v>153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>x</v>
      </c>
      <c r="Z1096" s="121"/>
    </row>
    <row r="1097" spans="1:26" ht="15.75" customHeight="1">
      <c r="A1097" s="125" t="str">
        <f>IF(B1097&lt;&gt;"",IF(AND(B1097&gt;=_TM1,B1097&lt;=_TM2,OR(TH!L1097="1111",TH!M1097="1111")),TH!D1097,""),"")</f>
        <v/>
      </c>
      <c r="B1097" s="11">
        <f t="shared" si="78"/>
        <v>7</v>
      </c>
      <c r="C1097" s="12">
        <f t="shared" si="81"/>
        <v>40741</v>
      </c>
      <c r="D1097" s="12" t="s">
        <v>1058</v>
      </c>
      <c r="E1097" s="12">
        <v>40741</v>
      </c>
      <c r="F1097" s="15" t="s">
        <v>941</v>
      </c>
      <c r="G1097" s="15"/>
      <c r="H1097" s="242" t="s">
        <v>1037</v>
      </c>
      <c r="I1097" s="141">
        <v>80</v>
      </c>
      <c r="J1097" s="141">
        <v>20128.398735153474</v>
      </c>
      <c r="K1097" s="238">
        <f t="shared" si="82"/>
        <v>1610272</v>
      </c>
      <c r="L1097" s="14" t="s">
        <v>155</v>
      </c>
      <c r="M1097" s="14" t="s">
        <v>153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>x</v>
      </c>
      <c r="Z1097" s="121"/>
    </row>
    <row r="1098" spans="1:26" ht="15.75" customHeight="1">
      <c r="A1098" s="125" t="str">
        <f>IF(B1098&lt;&gt;"",IF(AND(B1098&gt;=_TM1,B1098&lt;=_TM2,OR(TH!L1098="1111",TH!M1098="1111")),TH!D1098,""),"")</f>
        <v/>
      </c>
      <c r="B1098" s="11">
        <f t="shared" si="78"/>
        <v>7</v>
      </c>
      <c r="C1098" s="12">
        <f t="shared" si="81"/>
        <v>40741</v>
      </c>
      <c r="D1098" s="12" t="s">
        <v>1058</v>
      </c>
      <c r="E1098" s="12">
        <v>40741</v>
      </c>
      <c r="F1098" s="15" t="s">
        <v>942</v>
      </c>
      <c r="G1098" s="15"/>
      <c r="H1098" s="242" t="s">
        <v>1037</v>
      </c>
      <c r="I1098" s="141">
        <v>156</v>
      </c>
      <c r="J1098" s="141">
        <v>17011.898735153478</v>
      </c>
      <c r="K1098" s="238">
        <f t="shared" si="82"/>
        <v>2653856</v>
      </c>
      <c r="L1098" s="14" t="s">
        <v>155</v>
      </c>
      <c r="M1098" s="14" t="s">
        <v>153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>x</v>
      </c>
      <c r="Z1098" s="121"/>
    </row>
    <row r="1099" spans="1:26" ht="15.75" customHeight="1">
      <c r="A1099" s="125" t="str">
        <f>IF(B1099&lt;&gt;"",IF(AND(B1099&gt;=_TM1,B1099&lt;=_TM2,OR(TH!L1099="1111",TH!M1099="1111")),TH!D1099,""),"")</f>
        <v/>
      </c>
      <c r="B1099" s="11">
        <f t="shared" si="78"/>
        <v>7</v>
      </c>
      <c r="C1099" s="12">
        <f t="shared" si="81"/>
        <v>40741</v>
      </c>
      <c r="D1099" s="12" t="s">
        <v>1058</v>
      </c>
      <c r="E1099" s="12">
        <v>40741</v>
      </c>
      <c r="F1099" s="15" t="s">
        <v>943</v>
      </c>
      <c r="G1099" s="15"/>
      <c r="H1099" s="242" t="s">
        <v>1037</v>
      </c>
      <c r="I1099" s="141">
        <v>610</v>
      </c>
      <c r="J1099" s="141">
        <v>7523.8987351534797</v>
      </c>
      <c r="K1099" s="238">
        <f t="shared" si="82"/>
        <v>4589578</v>
      </c>
      <c r="L1099" s="14" t="s">
        <v>155</v>
      </c>
      <c r="M1099" s="14" t="s">
        <v>153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>x</v>
      </c>
      <c r="Z1099" s="121"/>
    </row>
    <row r="1100" spans="1:26" ht="15.75" customHeight="1">
      <c r="A1100" s="125" t="str">
        <f>IF(B1100&lt;&gt;"",IF(AND(B1100&gt;=_TM1,B1100&lt;=_TM2,OR(TH!L1100="1111",TH!M1100="1111")),TH!D1100,""),"")</f>
        <v/>
      </c>
      <c r="B1100" s="11">
        <f t="shared" si="78"/>
        <v>7</v>
      </c>
      <c r="C1100" s="12">
        <f t="shared" si="81"/>
        <v>40741</v>
      </c>
      <c r="D1100" s="12" t="s">
        <v>906</v>
      </c>
      <c r="E1100" s="12">
        <v>40741</v>
      </c>
      <c r="F1100" s="15" t="s">
        <v>717</v>
      </c>
      <c r="G1100" s="15" t="s">
        <v>1120</v>
      </c>
      <c r="H1100" s="242" t="s">
        <v>709</v>
      </c>
      <c r="I1100" s="141">
        <v>6</v>
      </c>
      <c r="J1100" s="141">
        <v>14210.065401820144</v>
      </c>
      <c r="K1100" s="238">
        <f t="shared" si="82"/>
        <v>85260</v>
      </c>
      <c r="L1100" s="14" t="s">
        <v>161</v>
      </c>
      <c r="M1100" s="14" t="s">
        <v>155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>x</v>
      </c>
      <c r="Z1100" s="121"/>
    </row>
    <row r="1101" spans="1:26" ht="15.75" customHeight="1">
      <c r="A1101" s="125" t="str">
        <f>IF(B1101&lt;&gt;"",IF(AND(B1101&gt;=_TM1,B1101&lt;=_TM2,OR(TH!L1101="1111",TH!M1101="1111")),TH!D1101,""),"")</f>
        <v/>
      </c>
      <c r="B1101" s="11">
        <f t="shared" si="78"/>
        <v>7</v>
      </c>
      <c r="C1101" s="12">
        <f t="shared" si="81"/>
        <v>40741</v>
      </c>
      <c r="D1101" s="12" t="s">
        <v>906</v>
      </c>
      <c r="E1101" s="12">
        <v>40741</v>
      </c>
      <c r="F1101" s="15" t="s">
        <v>718</v>
      </c>
      <c r="G1101" s="15" t="s">
        <v>1120</v>
      </c>
      <c r="H1101" s="242" t="s">
        <v>709</v>
      </c>
      <c r="I1101" s="141">
        <v>50</v>
      </c>
      <c r="J1101" s="141">
        <v>18220.418735153478</v>
      </c>
      <c r="K1101" s="238">
        <f t="shared" si="82"/>
        <v>911021</v>
      </c>
      <c r="L1101" s="14" t="s">
        <v>161</v>
      </c>
      <c r="M1101" s="14" t="s">
        <v>155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>x</v>
      </c>
      <c r="Z1101" s="121"/>
    </row>
    <row r="1102" spans="1:26" ht="15.75" customHeight="1">
      <c r="A1102" s="125" t="str">
        <f>IF(B1102&lt;&gt;"",IF(AND(B1102&gt;=_TM1,B1102&lt;=_TM2,OR(TH!L1102="1111",TH!M1102="1111")),TH!D1102,""),"")</f>
        <v/>
      </c>
      <c r="B1102" s="11">
        <f t="shared" si="78"/>
        <v>7</v>
      </c>
      <c r="C1102" s="12">
        <f t="shared" si="81"/>
        <v>40741</v>
      </c>
      <c r="D1102" s="12" t="s">
        <v>906</v>
      </c>
      <c r="E1102" s="12">
        <v>40741</v>
      </c>
      <c r="F1102" s="15" t="s">
        <v>940</v>
      </c>
      <c r="G1102" s="15" t="s">
        <v>1120</v>
      </c>
      <c r="H1102" s="242" t="s">
        <v>709</v>
      </c>
      <c r="I1102" s="141">
        <v>121</v>
      </c>
      <c r="J1102" s="141">
        <v>20128.398735153478</v>
      </c>
      <c r="K1102" s="238">
        <f t="shared" si="82"/>
        <v>2435536</v>
      </c>
      <c r="L1102" s="14" t="s">
        <v>161</v>
      </c>
      <c r="M1102" s="14" t="s">
        <v>155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>x</v>
      </c>
      <c r="Z1102" s="121"/>
    </row>
    <row r="1103" spans="1:26" ht="15.75" customHeight="1">
      <c r="A1103" s="125" t="str">
        <f>IF(B1103&lt;&gt;"",IF(AND(B1103&gt;=_TM1,B1103&lt;=_TM2,OR(TH!L1103="1111",TH!M1103="1111")),TH!D1103,""),"")</f>
        <v/>
      </c>
      <c r="B1103" s="11">
        <f t="shared" si="78"/>
        <v>7</v>
      </c>
      <c r="C1103" s="12">
        <f t="shared" si="81"/>
        <v>40741</v>
      </c>
      <c r="D1103" s="12" t="s">
        <v>906</v>
      </c>
      <c r="E1103" s="12">
        <v>40741</v>
      </c>
      <c r="F1103" s="15" t="s">
        <v>719</v>
      </c>
      <c r="G1103" s="15" t="s">
        <v>1120</v>
      </c>
      <c r="H1103" s="242" t="s">
        <v>709</v>
      </c>
      <c r="I1103" s="141">
        <v>83</v>
      </c>
      <c r="J1103" s="141">
        <v>18395.362590575161</v>
      </c>
      <c r="K1103" s="238">
        <f t="shared" si="82"/>
        <v>1526815</v>
      </c>
      <c r="L1103" s="14" t="s">
        <v>161</v>
      </c>
      <c r="M1103" s="14" t="s">
        <v>155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>x</v>
      </c>
      <c r="Z1103" s="121"/>
    </row>
    <row r="1104" spans="1:26" ht="15.75" customHeight="1">
      <c r="A1104" s="125" t="str">
        <f>IF(B1104&lt;&gt;"",IF(AND(B1104&gt;=_TM1,B1104&lt;=_TM2,OR(TH!L1104="1111",TH!M1104="1111")),TH!D1104,""),"")</f>
        <v/>
      </c>
      <c r="B1104" s="11">
        <f t="shared" si="78"/>
        <v>7</v>
      </c>
      <c r="C1104" s="12">
        <f t="shared" si="81"/>
        <v>40741</v>
      </c>
      <c r="D1104" s="12" t="s">
        <v>906</v>
      </c>
      <c r="E1104" s="12">
        <v>40741</v>
      </c>
      <c r="F1104" s="15" t="s">
        <v>720</v>
      </c>
      <c r="G1104" s="15" t="s">
        <v>1120</v>
      </c>
      <c r="H1104" s="242" t="s">
        <v>709</v>
      </c>
      <c r="I1104" s="141">
        <v>1</v>
      </c>
      <c r="J1104" s="141">
        <v>10309.398735153478</v>
      </c>
      <c r="K1104" s="238">
        <f t="shared" si="82"/>
        <v>10309</v>
      </c>
      <c r="L1104" s="14" t="s">
        <v>161</v>
      </c>
      <c r="M1104" s="14" t="s">
        <v>155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>x</v>
      </c>
      <c r="Z1104" s="121"/>
    </row>
    <row r="1105" spans="1:26" ht="15.75" customHeight="1">
      <c r="A1105" s="125" t="str">
        <f>IF(B1105&lt;&gt;"",IF(AND(B1105&gt;=_TM1,B1105&lt;=_TM2,OR(TH!L1105="1111",TH!M1105="1111")),TH!D1105,""),"")</f>
        <v/>
      </c>
      <c r="B1105" s="11">
        <f t="shared" si="78"/>
        <v>7</v>
      </c>
      <c r="C1105" s="12">
        <f t="shared" si="81"/>
        <v>40741</v>
      </c>
      <c r="D1105" s="12" t="s">
        <v>906</v>
      </c>
      <c r="E1105" s="12">
        <v>40741</v>
      </c>
      <c r="F1105" s="15" t="s">
        <v>941</v>
      </c>
      <c r="G1105" s="15" t="s">
        <v>1120</v>
      </c>
      <c r="H1105" s="242" t="s">
        <v>709</v>
      </c>
      <c r="I1105" s="141">
        <v>80</v>
      </c>
      <c r="J1105" s="141">
        <v>20128.398735153474</v>
      </c>
      <c r="K1105" s="238">
        <f t="shared" si="82"/>
        <v>1610272</v>
      </c>
      <c r="L1105" s="14" t="s">
        <v>161</v>
      </c>
      <c r="M1105" s="14" t="s">
        <v>155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>x</v>
      </c>
      <c r="Z1105" s="121"/>
    </row>
    <row r="1106" spans="1:26" ht="15.75" customHeight="1">
      <c r="A1106" s="125" t="str">
        <f>IF(B1106&lt;&gt;"",IF(AND(B1106&gt;=_TM1,B1106&lt;=_TM2,OR(TH!L1106="1111",TH!M1106="1111")),TH!D1106,""),"")</f>
        <v/>
      </c>
      <c r="B1106" s="11">
        <f t="shared" si="78"/>
        <v>7</v>
      </c>
      <c r="C1106" s="12">
        <f t="shared" si="81"/>
        <v>40741</v>
      </c>
      <c r="D1106" s="12" t="s">
        <v>906</v>
      </c>
      <c r="E1106" s="12">
        <v>40741</v>
      </c>
      <c r="F1106" s="15" t="s">
        <v>942</v>
      </c>
      <c r="G1106" s="15" t="s">
        <v>1120</v>
      </c>
      <c r="H1106" s="242" t="s">
        <v>709</v>
      </c>
      <c r="I1106" s="141">
        <v>156</v>
      </c>
      <c r="J1106" s="141">
        <v>17011.898735153478</v>
      </c>
      <c r="K1106" s="238">
        <f t="shared" si="82"/>
        <v>2653856</v>
      </c>
      <c r="L1106" s="14" t="s">
        <v>161</v>
      </c>
      <c r="M1106" s="14" t="s">
        <v>155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>x</v>
      </c>
      <c r="Z1106" s="121"/>
    </row>
    <row r="1107" spans="1:26" ht="15.75" customHeight="1">
      <c r="A1107" s="125" t="str">
        <f>IF(B1107&lt;&gt;"",IF(AND(B1107&gt;=_TM1,B1107&lt;=_TM2,OR(TH!L1107="1111",TH!M1107="1111")),TH!D1107,""),"")</f>
        <v/>
      </c>
      <c r="B1107" s="11">
        <f t="shared" si="78"/>
        <v>7</v>
      </c>
      <c r="C1107" s="12">
        <f t="shared" si="81"/>
        <v>40741</v>
      </c>
      <c r="D1107" s="12" t="s">
        <v>906</v>
      </c>
      <c r="E1107" s="12">
        <v>40741</v>
      </c>
      <c r="F1107" s="15" t="s">
        <v>943</v>
      </c>
      <c r="G1107" s="15" t="s">
        <v>1120</v>
      </c>
      <c r="H1107" s="242" t="s">
        <v>709</v>
      </c>
      <c r="I1107" s="141">
        <v>610</v>
      </c>
      <c r="J1107" s="141">
        <v>7523.8987351534797</v>
      </c>
      <c r="K1107" s="238">
        <f t="shared" si="82"/>
        <v>4589578</v>
      </c>
      <c r="L1107" s="14" t="s">
        <v>161</v>
      </c>
      <c r="M1107" s="14" t="s">
        <v>155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>x</v>
      </c>
      <c r="Z1107" s="121"/>
    </row>
    <row r="1108" spans="1:26" ht="15.75" customHeight="1">
      <c r="A1108" s="125" t="str">
        <f>IF(B1108&lt;&gt;"",IF(AND(B1108&gt;=_TM1,B1108&lt;=_TM2,OR(TH!L1108="1111",TH!M1108="1111")),TH!D1108,""),"")</f>
        <v/>
      </c>
      <c r="B1108" s="11">
        <f t="shared" si="78"/>
        <v>7</v>
      </c>
      <c r="C1108" s="115">
        <v>40742</v>
      </c>
      <c r="D1108" s="110" t="s">
        <v>414</v>
      </c>
      <c r="E1108" s="115">
        <v>40742</v>
      </c>
      <c r="F1108" s="116" t="s">
        <v>425</v>
      </c>
      <c r="G1108" s="224" t="s">
        <v>1087</v>
      </c>
      <c r="H1108" s="20" t="s">
        <v>428</v>
      </c>
      <c r="I1108" s="141"/>
      <c r="J1108" s="141"/>
      <c r="K1108" s="238">
        <v>1093440</v>
      </c>
      <c r="L1108" s="118" t="s">
        <v>153</v>
      </c>
      <c r="M1108" s="118" t="s">
        <v>44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>x</v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>x</v>
      </c>
      <c r="Z1108" s="121">
        <v>7</v>
      </c>
    </row>
    <row r="1109" spans="1:26" ht="15.75" customHeight="1">
      <c r="A1109" s="125" t="str">
        <f>IF(B1109&lt;&gt;"",IF(AND(B1109&gt;=_TM1,B1109&lt;=_TM2,OR(TH!L1109="1111",TH!M1109="1111")),TH!D1109,""),"")</f>
        <v/>
      </c>
      <c r="B1109" s="11">
        <f t="shared" si="78"/>
        <v>7</v>
      </c>
      <c r="C1109" s="115">
        <v>40742</v>
      </c>
      <c r="D1109" s="110" t="s">
        <v>414</v>
      </c>
      <c r="E1109" s="115">
        <v>40742</v>
      </c>
      <c r="F1109" s="116" t="s">
        <v>426</v>
      </c>
      <c r="G1109" s="224" t="s">
        <v>1087</v>
      </c>
      <c r="H1109" s="20" t="s">
        <v>428</v>
      </c>
      <c r="I1109" s="141"/>
      <c r="J1109" s="141"/>
      <c r="K1109" s="13">
        <v>109344</v>
      </c>
      <c r="L1109" s="118" t="s">
        <v>9</v>
      </c>
      <c r="M1109" s="118" t="s">
        <v>44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>x</v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>x</v>
      </c>
      <c r="Z1109" s="121">
        <v>7</v>
      </c>
    </row>
    <row r="1110" spans="1:26" ht="15.75" customHeight="1">
      <c r="A1110" s="125" t="str">
        <f>IF(B1110&lt;&gt;"",IF(AND(B1110&gt;=_TM1,B1110&lt;=_TM2,OR(TH!L1110="1111",TH!M1110="1111")),TH!D1110,""),"")</f>
        <v/>
      </c>
      <c r="B1110" s="11">
        <f t="shared" ref="B1110:B1173" si="83">IF(C1110&lt;&gt;"",MONTH(C1110),"")</f>
        <v>7</v>
      </c>
      <c r="C1110" s="12">
        <f t="shared" ref="C1110:C1117" si="84">E1110</f>
        <v>40743</v>
      </c>
      <c r="D1110" s="12" t="s">
        <v>1042</v>
      </c>
      <c r="E1110" s="304">
        <v>40743</v>
      </c>
      <c r="F1110" s="154" t="s">
        <v>456</v>
      </c>
      <c r="G1110" s="15"/>
      <c r="H1110" s="242" t="s">
        <v>1037</v>
      </c>
      <c r="I1110" s="141">
        <v>50</v>
      </c>
      <c r="J1110" s="141">
        <v>6026</v>
      </c>
      <c r="K1110" s="238">
        <f t="shared" ref="K1110:K1117" si="85">ROUND(I1110*J1110,0)</f>
        <v>301300</v>
      </c>
      <c r="L1110" s="14" t="s">
        <v>153</v>
      </c>
      <c r="M1110" s="14" t="s">
        <v>147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>x</v>
      </c>
      <c r="Z1110" s="121"/>
    </row>
    <row r="1111" spans="1:26" ht="15.75" customHeight="1">
      <c r="A1111" s="125" t="str">
        <f>IF(B1111&lt;&gt;"",IF(AND(B1111&gt;=_TM1,B1111&lt;=_TM2,OR(TH!L1111="1111",TH!M1111="1111")),TH!D1111,""),"")</f>
        <v/>
      </c>
      <c r="B1111" s="11">
        <f t="shared" si="83"/>
        <v>7</v>
      </c>
      <c r="C1111" s="12">
        <f t="shared" si="84"/>
        <v>40743</v>
      </c>
      <c r="D1111" s="12" t="s">
        <v>1042</v>
      </c>
      <c r="E1111" s="304">
        <v>40743</v>
      </c>
      <c r="F1111" s="15" t="s">
        <v>601</v>
      </c>
      <c r="G1111" s="15"/>
      <c r="H1111" s="242" t="s">
        <v>1037</v>
      </c>
      <c r="I1111" s="141">
        <v>23</v>
      </c>
      <c r="J1111" s="141">
        <v>23688</v>
      </c>
      <c r="K1111" s="238">
        <f t="shared" si="85"/>
        <v>544824</v>
      </c>
      <c r="L1111" s="14" t="s">
        <v>153</v>
      </c>
      <c r="M1111" s="14" t="s">
        <v>147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>x</v>
      </c>
      <c r="Z1111" s="121"/>
    </row>
    <row r="1112" spans="1:26" ht="15.75" customHeight="1">
      <c r="A1112" s="125" t="str">
        <f>IF(B1112&lt;&gt;"",IF(AND(B1112&gt;=_TM1,B1112&lt;=_TM2,OR(TH!L1112="1111",TH!M1112="1111")),TH!D1112,""),"")</f>
        <v/>
      </c>
      <c r="B1112" s="11">
        <f t="shared" si="83"/>
        <v>7</v>
      </c>
      <c r="C1112" s="12">
        <f t="shared" si="84"/>
        <v>40743</v>
      </c>
      <c r="D1112" s="12" t="s">
        <v>1042</v>
      </c>
      <c r="E1112" s="304">
        <v>40743</v>
      </c>
      <c r="F1112" s="114" t="s">
        <v>528</v>
      </c>
      <c r="G1112" s="15"/>
      <c r="H1112" s="242" t="s">
        <v>1037</v>
      </c>
      <c r="I1112" s="141">
        <v>34</v>
      </c>
      <c r="J1112" s="141">
        <v>16973</v>
      </c>
      <c r="K1112" s="238">
        <f t="shared" si="85"/>
        <v>577082</v>
      </c>
      <c r="L1112" s="14" t="s">
        <v>153</v>
      </c>
      <c r="M1112" s="14" t="s">
        <v>147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>x</v>
      </c>
      <c r="Z1112" s="121"/>
    </row>
    <row r="1113" spans="1:26" ht="15.75" customHeight="1">
      <c r="A1113" s="125" t="str">
        <f>IF(B1113&lt;&gt;"",IF(AND(B1113&gt;=_TM1,B1113&lt;=_TM2,OR(TH!L1113="1111",TH!M1113="1111")),TH!D1113,""),"")</f>
        <v/>
      </c>
      <c r="B1113" s="11">
        <f t="shared" si="83"/>
        <v>7</v>
      </c>
      <c r="C1113" s="12">
        <f t="shared" si="84"/>
        <v>40743</v>
      </c>
      <c r="D1113" s="12" t="s">
        <v>1042</v>
      </c>
      <c r="E1113" s="304">
        <v>40743</v>
      </c>
      <c r="F1113" s="114" t="s">
        <v>470</v>
      </c>
      <c r="G1113" s="15"/>
      <c r="H1113" s="242" t="s">
        <v>1037</v>
      </c>
      <c r="I1113" s="141">
        <v>25</v>
      </c>
      <c r="J1113" s="141">
        <v>22806</v>
      </c>
      <c r="K1113" s="238">
        <f t="shared" si="85"/>
        <v>570150</v>
      </c>
      <c r="L1113" s="14" t="s">
        <v>153</v>
      </c>
      <c r="M1113" s="14" t="s">
        <v>147</v>
      </c>
      <c r="N1113" s="25" t="str">
        <f>IF(AND('331-CT'!$E$7=TH!H1113,OR(L1113="331",M1113="331")),"331",IF(AND(OR(L1113="131",M1113="131"),H1113='131-CT'!$E$7),"131",""))</f>
        <v/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>x</v>
      </c>
      <c r="Z1113" s="121"/>
    </row>
    <row r="1114" spans="1:26" ht="15.75" customHeight="1">
      <c r="A1114" s="125" t="str">
        <f>IF(B1114&lt;&gt;"",IF(AND(B1114&gt;=_TM1,B1114&lt;=_TM2,OR(TH!L1114="1111",TH!M1114="1111")),TH!D1114,""),"")</f>
        <v/>
      </c>
      <c r="B1114" s="11">
        <f t="shared" si="83"/>
        <v>7</v>
      </c>
      <c r="C1114" s="12">
        <f t="shared" si="84"/>
        <v>40743</v>
      </c>
      <c r="D1114" s="12" t="s">
        <v>1042</v>
      </c>
      <c r="E1114" s="304">
        <v>40743</v>
      </c>
      <c r="F1114" s="15" t="s">
        <v>578</v>
      </c>
      <c r="G1114" s="15"/>
      <c r="H1114" s="242" t="s">
        <v>1037</v>
      </c>
      <c r="I1114" s="141">
        <v>1</v>
      </c>
      <c r="J1114" s="141">
        <v>16303</v>
      </c>
      <c r="K1114" s="238">
        <f t="shared" si="85"/>
        <v>16303</v>
      </c>
      <c r="L1114" s="14" t="s">
        <v>153</v>
      </c>
      <c r="M1114" s="14" t="s">
        <v>147</v>
      </c>
      <c r="N1114" s="25" t="str">
        <f>IF(AND('331-CT'!$E$7=TH!H1114,OR(L1114="331",M1114="331")),"331",IF(AND(OR(L1114="131",M1114="131"),H1114='131-CT'!$E$7),"131",""))</f>
        <v/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>x</v>
      </c>
      <c r="Z1114" s="121"/>
    </row>
    <row r="1115" spans="1:26" ht="15.75" customHeight="1">
      <c r="A1115" s="125" t="str">
        <f>IF(B1115&lt;&gt;"",IF(AND(B1115&gt;=_TM1,B1115&lt;=_TM2,OR(TH!L1115="1111",TH!M1115="1111")),TH!D1115,""),"")</f>
        <v/>
      </c>
      <c r="B1115" s="11">
        <f t="shared" si="83"/>
        <v>7</v>
      </c>
      <c r="C1115" s="12">
        <f t="shared" si="84"/>
        <v>40743</v>
      </c>
      <c r="D1115" s="12" t="s">
        <v>1042</v>
      </c>
      <c r="E1115" s="304">
        <v>40743</v>
      </c>
      <c r="F1115" s="114" t="s">
        <v>469</v>
      </c>
      <c r="G1115" s="15"/>
      <c r="H1115" s="242" t="s">
        <v>1037</v>
      </c>
      <c r="I1115" s="141">
        <v>0.5</v>
      </c>
      <c r="J1115" s="141">
        <v>23716</v>
      </c>
      <c r="K1115" s="238">
        <f t="shared" si="85"/>
        <v>11858</v>
      </c>
      <c r="L1115" s="14" t="s">
        <v>153</v>
      </c>
      <c r="M1115" s="14" t="s">
        <v>147</v>
      </c>
      <c r="N1115" s="25" t="str">
        <f>IF(AND('331-CT'!$E$7=TH!H1115,OR(L1115="331",M1115="331")),"331",IF(AND(OR(L1115="131",M1115="131"),H1115='131-CT'!$E$7),"131",""))</f>
        <v/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>x</v>
      </c>
      <c r="Z1115" s="121"/>
    </row>
    <row r="1116" spans="1:26" ht="15.75" customHeight="1">
      <c r="A1116" s="125" t="str">
        <f>IF(B1116&lt;&gt;"",IF(AND(B1116&gt;=_TM1,B1116&lt;=_TM2,OR(TH!L1116="1111",TH!M1116="1111")),TH!D1116,""),"")</f>
        <v/>
      </c>
      <c r="B1116" s="11">
        <f t="shared" si="83"/>
        <v>7</v>
      </c>
      <c r="C1116" s="12">
        <f t="shared" si="84"/>
        <v>40743</v>
      </c>
      <c r="D1116" s="12" t="s">
        <v>1042</v>
      </c>
      <c r="E1116" s="304">
        <v>40743</v>
      </c>
      <c r="F1116" s="15" t="s">
        <v>578</v>
      </c>
      <c r="G1116" s="15"/>
      <c r="H1116" s="242" t="s">
        <v>1037</v>
      </c>
      <c r="I1116" s="141">
        <v>2.5</v>
      </c>
      <c r="J1116" s="141">
        <v>16302.8</v>
      </c>
      <c r="K1116" s="238">
        <f t="shared" si="85"/>
        <v>40757</v>
      </c>
      <c r="L1116" s="14" t="s">
        <v>153</v>
      </c>
      <c r="M1116" s="14" t="s">
        <v>147</v>
      </c>
      <c r="N1116" s="25" t="str">
        <f>IF(AND('331-CT'!$E$7=TH!H1116,OR(L1116="331",M1116="331")),"331",IF(AND(OR(L1116="131",M1116="131"),H1116='131-CT'!$E$7),"131",""))</f>
        <v/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>x</v>
      </c>
      <c r="Z1116" s="121"/>
    </row>
    <row r="1117" spans="1:26" ht="15.75" customHeight="1">
      <c r="A1117" s="125" t="str">
        <f>IF(B1117&lt;&gt;"",IF(AND(B1117&gt;=_TM1,B1117&lt;=_TM2,OR(TH!L1117="1111",TH!M1117="1111")),TH!D1117,""),"")</f>
        <v/>
      </c>
      <c r="B1117" s="11">
        <f t="shared" si="83"/>
        <v>7</v>
      </c>
      <c r="C1117" s="12">
        <f t="shared" si="84"/>
        <v>40743</v>
      </c>
      <c r="D1117" s="12" t="s">
        <v>1042</v>
      </c>
      <c r="E1117" s="304">
        <v>40743</v>
      </c>
      <c r="F1117" s="114" t="s">
        <v>500</v>
      </c>
      <c r="G1117" s="15"/>
      <c r="H1117" s="242" t="s">
        <v>1037</v>
      </c>
      <c r="I1117" s="141">
        <v>6</v>
      </c>
      <c r="J1117" s="141">
        <v>7268</v>
      </c>
      <c r="K1117" s="238">
        <f t="shared" si="85"/>
        <v>43608</v>
      </c>
      <c r="L1117" s="14" t="s">
        <v>153</v>
      </c>
      <c r="M1117" s="14" t="s">
        <v>147</v>
      </c>
      <c r="N1117" s="25" t="str">
        <f>IF(AND('331-CT'!$E$7=TH!H1117,OR(L1117="331",M1117="331")),"331",IF(AND(OR(L1117="131",M1117="131"),H1117='131-CT'!$E$7),"131",""))</f>
        <v/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>x</v>
      </c>
      <c r="Z1117" s="121"/>
    </row>
    <row r="1118" spans="1:26" ht="15.75" customHeight="1">
      <c r="A1118" s="125" t="str">
        <f>IF(B1118&lt;&gt;"",IF(AND(B1118&gt;=_TM1,B1118&lt;=_TM2,OR(TH!L1118="1111",TH!M1118="1111")),TH!D1118,""),"")</f>
        <v/>
      </c>
      <c r="B1118" s="11">
        <f t="shared" si="83"/>
        <v>7</v>
      </c>
      <c r="C1118" s="115">
        <v>40744</v>
      </c>
      <c r="D1118" s="115" t="s">
        <v>907</v>
      </c>
      <c r="E1118" s="115">
        <v>40744</v>
      </c>
      <c r="F1118" s="116" t="s">
        <v>944</v>
      </c>
      <c r="G1118" s="224" t="s">
        <v>1122</v>
      </c>
      <c r="H1118" s="117" t="s">
        <v>709</v>
      </c>
      <c r="I1118" s="141">
        <v>164</v>
      </c>
      <c r="J1118" s="141">
        <v>7868</v>
      </c>
      <c r="K1118" s="238">
        <v>1290352</v>
      </c>
      <c r="L1118" s="118" t="s">
        <v>237</v>
      </c>
      <c r="M1118" s="118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>x</v>
      </c>
      <c r="Z1118" s="121"/>
    </row>
    <row r="1119" spans="1:26" ht="15.75" customHeight="1">
      <c r="A1119" s="125" t="str">
        <f>IF(B1119&lt;&gt;"",IF(AND(B1119&gt;=_TM1,B1119&lt;=_TM2,OR(TH!L1119="1111",TH!M1119="1111")),TH!D1119,""),"")</f>
        <v/>
      </c>
      <c r="B1119" s="11">
        <f t="shared" si="83"/>
        <v>7</v>
      </c>
      <c r="C1119" s="115">
        <v>40744</v>
      </c>
      <c r="D1119" s="115" t="s">
        <v>907</v>
      </c>
      <c r="E1119" s="115">
        <v>40744</v>
      </c>
      <c r="F1119" s="116" t="s">
        <v>870</v>
      </c>
      <c r="G1119" s="224" t="s">
        <v>1122</v>
      </c>
      <c r="H1119" s="117" t="s">
        <v>709</v>
      </c>
      <c r="I1119" s="141">
        <v>1</v>
      </c>
      <c r="J1119" s="141">
        <v>8450</v>
      </c>
      <c r="K1119" s="238">
        <v>8450</v>
      </c>
      <c r="L1119" s="118" t="s">
        <v>237</v>
      </c>
      <c r="M1119" s="118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>x</v>
      </c>
      <c r="Z1119" s="121"/>
    </row>
    <row r="1120" spans="1:26" ht="15.75" customHeight="1">
      <c r="A1120" s="125" t="str">
        <f>IF(B1120&lt;&gt;"",IF(AND(B1120&gt;=_TM1,B1120&lt;=_TM2,OR(TH!L1120="1111",TH!M1120="1111")),TH!D1120,""),"")</f>
        <v/>
      </c>
      <c r="B1120" s="11">
        <f t="shared" si="83"/>
        <v>7</v>
      </c>
      <c r="C1120" s="115">
        <v>40744</v>
      </c>
      <c r="D1120" s="115" t="s">
        <v>907</v>
      </c>
      <c r="E1120" s="115">
        <v>40744</v>
      </c>
      <c r="F1120" s="116" t="s">
        <v>946</v>
      </c>
      <c r="G1120" s="224" t="s">
        <v>1122</v>
      </c>
      <c r="H1120" s="117" t="s">
        <v>709</v>
      </c>
      <c r="I1120" s="141">
        <v>1</v>
      </c>
      <c r="J1120" s="141">
        <v>4751</v>
      </c>
      <c r="K1120" s="238">
        <v>4751</v>
      </c>
      <c r="L1120" s="118" t="s">
        <v>237</v>
      </c>
      <c r="M1120" s="118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>x</v>
      </c>
      <c r="Z1120" s="121"/>
    </row>
    <row r="1121" spans="1:26" ht="15.75" customHeight="1">
      <c r="A1121" s="125" t="str">
        <f>IF(B1121&lt;&gt;"",IF(AND(B1121&gt;=_TM1,B1121&lt;=_TM2,OR(TH!L1121="1111",TH!M1121="1111")),TH!D1121,""),"")</f>
        <v/>
      </c>
      <c r="B1121" s="11">
        <f t="shared" si="83"/>
        <v>7</v>
      </c>
      <c r="C1121" s="115">
        <v>40744</v>
      </c>
      <c r="D1121" s="115" t="s">
        <v>907</v>
      </c>
      <c r="E1121" s="115">
        <v>40744</v>
      </c>
      <c r="F1121" s="116" t="s">
        <v>947</v>
      </c>
      <c r="G1121" s="224" t="s">
        <v>1122</v>
      </c>
      <c r="H1121" s="117" t="s">
        <v>709</v>
      </c>
      <c r="I1121" s="141">
        <v>1</v>
      </c>
      <c r="J1121" s="141">
        <v>6560</v>
      </c>
      <c r="K1121" s="238">
        <v>6560</v>
      </c>
      <c r="L1121" s="118" t="s">
        <v>237</v>
      </c>
      <c r="M1121" s="118" t="s">
        <v>163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>x</v>
      </c>
      <c r="Z1121" s="121"/>
    </row>
    <row r="1122" spans="1:26" ht="15.75" customHeight="1">
      <c r="A1122" s="125" t="str">
        <f>IF(B1122&lt;&gt;"",IF(AND(B1122&gt;=_TM1,B1122&lt;=_TM2,OR(TH!L1122="1111",TH!M1122="1111")),TH!D1122,""),"")</f>
        <v/>
      </c>
      <c r="B1122" s="11">
        <f t="shared" si="83"/>
        <v>7</v>
      </c>
      <c r="C1122" s="115">
        <v>40744</v>
      </c>
      <c r="D1122" s="115" t="s">
        <v>907</v>
      </c>
      <c r="E1122" s="115">
        <v>40744</v>
      </c>
      <c r="F1122" s="116" t="s">
        <v>874</v>
      </c>
      <c r="G1122" s="224" t="s">
        <v>1122</v>
      </c>
      <c r="H1122" s="117" t="s">
        <v>709</v>
      </c>
      <c r="I1122" s="141">
        <v>6</v>
      </c>
      <c r="J1122" s="141">
        <v>9594</v>
      </c>
      <c r="K1122" s="238">
        <v>57564</v>
      </c>
      <c r="L1122" s="118" t="s">
        <v>237</v>
      </c>
      <c r="M1122" s="118" t="s">
        <v>163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>x</v>
      </c>
      <c r="Z1122" s="121"/>
    </row>
    <row r="1123" spans="1:26" ht="15.75" customHeight="1">
      <c r="A1123" s="125" t="str">
        <f>IF(B1123&lt;&gt;"",IF(AND(B1123&gt;=_TM1,B1123&lt;=_TM2,OR(TH!L1123="1111",TH!M1123="1111")),TH!D1123,""),"")</f>
        <v/>
      </c>
      <c r="B1123" s="11">
        <f t="shared" si="83"/>
        <v>7</v>
      </c>
      <c r="C1123" s="115">
        <v>40744</v>
      </c>
      <c r="D1123" s="115" t="s">
        <v>907</v>
      </c>
      <c r="E1123" s="115">
        <v>40744</v>
      </c>
      <c r="F1123" s="114" t="s">
        <v>872</v>
      </c>
      <c r="G1123" s="224" t="s">
        <v>1122</v>
      </c>
      <c r="H1123" s="117" t="s">
        <v>709</v>
      </c>
      <c r="I1123" s="141">
        <v>1</v>
      </c>
      <c r="J1123" s="141">
        <v>7094</v>
      </c>
      <c r="K1123" s="238">
        <v>7094</v>
      </c>
      <c r="L1123" s="118" t="s">
        <v>237</v>
      </c>
      <c r="M1123" s="118" t="s">
        <v>163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>x</v>
      </c>
      <c r="Z1123" s="121"/>
    </row>
    <row r="1124" spans="1:26" ht="15.75" customHeight="1">
      <c r="A1124" s="125" t="str">
        <f>IF(B1124&lt;&gt;"",IF(AND(B1124&gt;=_TM1,B1124&lt;=_TM2,OR(TH!L1124="1111",TH!M1124="1111")),TH!D1124,""),"")</f>
        <v/>
      </c>
      <c r="B1124" s="11">
        <f t="shared" si="83"/>
        <v>7</v>
      </c>
      <c r="C1124" s="115">
        <v>40744</v>
      </c>
      <c r="D1124" s="115" t="s">
        <v>907</v>
      </c>
      <c r="E1124" s="115">
        <v>40744</v>
      </c>
      <c r="F1124" s="116" t="s">
        <v>721</v>
      </c>
      <c r="G1124" s="224" t="s">
        <v>1122</v>
      </c>
      <c r="H1124" s="117" t="s">
        <v>709</v>
      </c>
      <c r="I1124" s="141">
        <v>3</v>
      </c>
      <c r="J1124" s="141">
        <v>9263</v>
      </c>
      <c r="K1124" s="238">
        <v>27789</v>
      </c>
      <c r="L1124" s="118" t="s">
        <v>237</v>
      </c>
      <c r="M1124" s="118" t="s">
        <v>163</v>
      </c>
      <c r="N1124" s="25" t="str">
        <f>IF(AND('331-CT'!$E$7=TH!H1124,OR(L1124="331",M1124="331")),"331",IF(AND(OR(L1124="131",M1124="131"),H1124='131-CT'!$E$7),"131",""))</f>
        <v>131</v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>x</v>
      </c>
      <c r="Z1124" s="121"/>
    </row>
    <row r="1125" spans="1:26" ht="15.75" customHeight="1">
      <c r="A1125" s="125" t="str">
        <f>IF(B1125&lt;&gt;"",IF(AND(B1125&gt;=_TM1,B1125&lt;=_TM2,OR(TH!L1125="1111",TH!M1125="1111")),TH!D1125,""),"")</f>
        <v/>
      </c>
      <c r="B1125" s="11">
        <f t="shared" si="83"/>
        <v>7</v>
      </c>
      <c r="C1125" s="115">
        <v>40744</v>
      </c>
      <c r="D1125" s="115" t="s">
        <v>907</v>
      </c>
      <c r="E1125" s="115">
        <v>40744</v>
      </c>
      <c r="F1125" s="116" t="s">
        <v>722</v>
      </c>
      <c r="G1125" s="224" t="s">
        <v>1122</v>
      </c>
      <c r="H1125" s="117" t="s">
        <v>709</v>
      </c>
      <c r="I1125" s="141">
        <v>12</v>
      </c>
      <c r="J1125" s="141">
        <v>10595</v>
      </c>
      <c r="K1125" s="238">
        <v>127140</v>
      </c>
      <c r="L1125" s="118" t="s">
        <v>237</v>
      </c>
      <c r="M1125" s="118" t="s">
        <v>163</v>
      </c>
      <c r="N1125" s="25" t="str">
        <f>IF(AND('331-CT'!$E$7=TH!H1125,OR(L1125="331",M1125="331")),"331",IF(AND(OR(L1125="131",M1125="131"),H1125='131-CT'!$E$7),"131",""))</f>
        <v>131</v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>x</v>
      </c>
      <c r="Z1125" s="121"/>
    </row>
    <row r="1126" spans="1:26" ht="15.75" customHeight="1">
      <c r="A1126" s="125" t="str">
        <f>IF(B1126&lt;&gt;"",IF(AND(B1126&gt;=_TM1,B1126&lt;=_TM2,OR(TH!L1126="1111",TH!M1126="1111")),TH!D1126,""),"")</f>
        <v/>
      </c>
      <c r="B1126" s="11">
        <f t="shared" si="83"/>
        <v>7</v>
      </c>
      <c r="C1126" s="115">
        <v>40744</v>
      </c>
      <c r="D1126" s="115" t="s">
        <v>907</v>
      </c>
      <c r="E1126" s="115">
        <v>40744</v>
      </c>
      <c r="F1126" s="116" t="s">
        <v>1121</v>
      </c>
      <c r="G1126" s="224" t="s">
        <v>1122</v>
      </c>
      <c r="H1126" s="117" t="s">
        <v>709</v>
      </c>
      <c r="I1126" s="141"/>
      <c r="J1126" s="141"/>
      <c r="K1126" s="238">
        <v>152970</v>
      </c>
      <c r="L1126" s="118" t="s">
        <v>237</v>
      </c>
      <c r="M1126" s="118" t="s">
        <v>707</v>
      </c>
      <c r="N1126" s="25" t="str">
        <f>IF(AND('331-CT'!$E$7=TH!H1126,OR(L1126="331",M1126="331")),"331",IF(AND(OR(L1126="131",M1126="131"),H1126='131-CT'!$E$7),"131",""))</f>
        <v>131</v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>x</v>
      </c>
      <c r="Z1126" s="121"/>
    </row>
    <row r="1127" spans="1:26" ht="15.75" customHeight="1">
      <c r="A1127" s="125" t="str">
        <f>IF(B1127&lt;&gt;"",IF(AND(B1127&gt;=_TM1,B1127&lt;=_TM2,OR(TH!L1127="1111",TH!M1127="1111")),TH!D1127,""),"")</f>
        <v/>
      </c>
      <c r="B1127" s="11">
        <f t="shared" si="83"/>
        <v>7</v>
      </c>
      <c r="C1127" s="12">
        <f t="shared" ref="C1127:C1150" si="86">E1127</f>
        <v>40744</v>
      </c>
      <c r="D1127" s="12" t="s">
        <v>1043</v>
      </c>
      <c r="E1127" s="304">
        <v>40744</v>
      </c>
      <c r="F1127" s="114" t="s">
        <v>470</v>
      </c>
      <c r="G1127" s="15"/>
      <c r="H1127" s="242" t="s">
        <v>1037</v>
      </c>
      <c r="I1127" s="141">
        <v>5</v>
      </c>
      <c r="J1127" s="141">
        <v>22806</v>
      </c>
      <c r="K1127" s="238">
        <f t="shared" ref="K1127:K1150" si="87">ROUND(I1127*J1127,0)</f>
        <v>114030</v>
      </c>
      <c r="L1127" s="14" t="s">
        <v>153</v>
      </c>
      <c r="M1127" s="14" t="s">
        <v>147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>x</v>
      </c>
      <c r="Z1127" s="121"/>
    </row>
    <row r="1128" spans="1:26" ht="15.75" customHeight="1">
      <c r="A1128" s="125" t="str">
        <f>IF(B1128&lt;&gt;"",IF(AND(B1128&gt;=_TM1,B1128&lt;=_TM2,OR(TH!L1128="1111",TH!M1128="1111")),TH!D1128,""),"")</f>
        <v/>
      </c>
      <c r="B1128" s="11">
        <f t="shared" si="83"/>
        <v>7</v>
      </c>
      <c r="C1128" s="12">
        <f t="shared" si="86"/>
        <v>40744</v>
      </c>
      <c r="D1128" s="12" t="s">
        <v>1043</v>
      </c>
      <c r="E1128" s="304">
        <v>40744</v>
      </c>
      <c r="F1128" s="15" t="s">
        <v>604</v>
      </c>
      <c r="G1128" s="15"/>
      <c r="H1128" s="242" t="s">
        <v>1037</v>
      </c>
      <c r="I1128" s="141">
        <v>160</v>
      </c>
      <c r="J1128" s="141">
        <v>16703</v>
      </c>
      <c r="K1128" s="238">
        <f t="shared" si="87"/>
        <v>2672480</v>
      </c>
      <c r="L1128" s="14" t="s">
        <v>153</v>
      </c>
      <c r="M1128" s="14" t="s">
        <v>147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>x</v>
      </c>
      <c r="Z1128" s="121"/>
    </row>
    <row r="1129" spans="1:26" ht="15.75" customHeight="1">
      <c r="A1129" s="125" t="str">
        <f>IF(B1129&lt;&gt;"",IF(AND(B1129&gt;=_TM1,B1129&lt;=_TM2,OR(TH!L1129="1111",TH!M1129="1111")),TH!D1129,""),"")</f>
        <v/>
      </c>
      <c r="B1129" s="11">
        <f t="shared" si="83"/>
        <v>7</v>
      </c>
      <c r="C1129" s="12">
        <f t="shared" si="86"/>
        <v>40744</v>
      </c>
      <c r="D1129" s="12" t="s">
        <v>1043</v>
      </c>
      <c r="E1129" s="304">
        <v>40744</v>
      </c>
      <c r="F1129" s="114" t="s">
        <v>364</v>
      </c>
      <c r="G1129" s="15"/>
      <c r="H1129" s="242" t="s">
        <v>1037</v>
      </c>
      <c r="I1129" s="315">
        <v>28</v>
      </c>
      <c r="J1129" s="141">
        <v>4449</v>
      </c>
      <c r="K1129" s="238">
        <f t="shared" si="87"/>
        <v>124572</v>
      </c>
      <c r="L1129" s="14" t="s">
        <v>153</v>
      </c>
      <c r="M1129" s="14" t="s">
        <v>147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>x</v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>x</v>
      </c>
      <c r="Z1129" s="121"/>
    </row>
    <row r="1130" spans="1:26" ht="15.75" customHeight="1">
      <c r="A1130" s="125" t="str">
        <f>IF(B1130&lt;&gt;"",IF(AND(B1130&gt;=_TM1,B1130&lt;=_TM2,OR(TH!L1130="1111",TH!M1130="1111")),TH!D1130,""),"")</f>
        <v/>
      </c>
      <c r="B1130" s="11">
        <f t="shared" si="83"/>
        <v>7</v>
      </c>
      <c r="C1130" s="12">
        <f t="shared" si="86"/>
        <v>40744</v>
      </c>
      <c r="D1130" s="12" t="s">
        <v>1043</v>
      </c>
      <c r="E1130" s="304">
        <v>40744</v>
      </c>
      <c r="F1130" s="15" t="s">
        <v>578</v>
      </c>
      <c r="G1130" s="15"/>
      <c r="H1130" s="242" t="s">
        <v>1037</v>
      </c>
      <c r="I1130" s="141">
        <v>4</v>
      </c>
      <c r="J1130" s="141">
        <v>16302.5</v>
      </c>
      <c r="K1130" s="238">
        <f t="shared" si="87"/>
        <v>65210</v>
      </c>
      <c r="L1130" s="14" t="s">
        <v>153</v>
      </c>
      <c r="M1130" s="14" t="s">
        <v>147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>x</v>
      </c>
      <c r="Z1130" s="121"/>
    </row>
    <row r="1131" spans="1:26" ht="15.75" customHeight="1">
      <c r="A1131" s="125" t="str">
        <f>IF(B1131&lt;&gt;"",IF(AND(B1131&gt;=_TM1,B1131&lt;=_TM2,OR(TH!L1131="1111",TH!M1131="1111")),TH!D1131,""),"")</f>
        <v/>
      </c>
      <c r="B1131" s="11">
        <f t="shared" si="83"/>
        <v>7</v>
      </c>
      <c r="C1131" s="12">
        <f t="shared" si="86"/>
        <v>40744</v>
      </c>
      <c r="D1131" s="12" t="s">
        <v>1043</v>
      </c>
      <c r="E1131" s="304">
        <v>40744</v>
      </c>
      <c r="F1131" s="114" t="s">
        <v>364</v>
      </c>
      <c r="G1131" s="15"/>
      <c r="H1131" s="242" t="s">
        <v>1037</v>
      </c>
      <c r="I1131" s="315">
        <v>0.5</v>
      </c>
      <c r="J1131" s="141">
        <v>4449</v>
      </c>
      <c r="K1131" s="238">
        <f t="shared" si="87"/>
        <v>2225</v>
      </c>
      <c r="L1131" s="14" t="s">
        <v>153</v>
      </c>
      <c r="M1131" s="14" t="s">
        <v>147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>x</v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>x</v>
      </c>
      <c r="Z1131" s="121"/>
    </row>
    <row r="1132" spans="1:26" ht="15.75" customHeight="1">
      <c r="A1132" s="125" t="str">
        <f>IF(B1132&lt;&gt;"",IF(AND(B1132&gt;=_TM1,B1132&lt;=_TM2,OR(TH!L1132="1111",TH!M1132="1111")),TH!D1132,""),"")</f>
        <v/>
      </c>
      <c r="B1132" s="11">
        <f t="shared" si="83"/>
        <v>7</v>
      </c>
      <c r="C1132" s="12">
        <f t="shared" si="86"/>
        <v>40744</v>
      </c>
      <c r="D1132" s="12" t="s">
        <v>1043</v>
      </c>
      <c r="E1132" s="304">
        <v>40744</v>
      </c>
      <c r="F1132" s="114" t="s">
        <v>364</v>
      </c>
      <c r="G1132" s="15"/>
      <c r="H1132" s="242" t="s">
        <v>1037</v>
      </c>
      <c r="I1132" s="315">
        <v>1</v>
      </c>
      <c r="J1132" s="141">
        <v>4449</v>
      </c>
      <c r="K1132" s="238">
        <f t="shared" si="87"/>
        <v>4449</v>
      </c>
      <c r="L1132" s="14" t="s">
        <v>153</v>
      </c>
      <c r="M1132" s="14" t="s">
        <v>147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>x</v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>x</v>
      </c>
      <c r="Z1132" s="121"/>
    </row>
    <row r="1133" spans="1:26" ht="15.75" customHeight="1">
      <c r="A1133" s="125" t="str">
        <f>IF(B1133&lt;&gt;"",IF(AND(B1133&gt;=_TM1,B1133&lt;=_TM2,OR(TH!L1133="1111",TH!M1133="1111")),TH!D1133,""),"")</f>
        <v/>
      </c>
      <c r="B1133" s="11">
        <f t="shared" si="83"/>
        <v>7</v>
      </c>
      <c r="C1133" s="12">
        <f t="shared" si="86"/>
        <v>40744</v>
      </c>
      <c r="D1133" s="12" t="s">
        <v>1043</v>
      </c>
      <c r="E1133" s="304">
        <v>40744</v>
      </c>
      <c r="F1133" s="154" t="s">
        <v>456</v>
      </c>
      <c r="G1133" s="15"/>
      <c r="H1133" s="242" t="s">
        <v>1037</v>
      </c>
      <c r="I1133" s="141">
        <v>2</v>
      </c>
      <c r="J1133" s="141">
        <v>6026</v>
      </c>
      <c r="K1133" s="238">
        <f t="shared" si="87"/>
        <v>12052</v>
      </c>
      <c r="L1133" s="14" t="s">
        <v>153</v>
      </c>
      <c r="M1133" s="14" t="s">
        <v>147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>x</v>
      </c>
      <c r="Z1133" s="121"/>
    </row>
    <row r="1134" spans="1:26" ht="15.75" customHeight="1">
      <c r="A1134" s="125" t="str">
        <f>IF(B1134&lt;&gt;"",IF(AND(B1134&gt;=_TM1,B1134&lt;=_TM2,OR(TH!L1134="1111",TH!M1134="1111")),TH!D1134,""),"")</f>
        <v/>
      </c>
      <c r="B1134" s="11">
        <f t="shared" si="83"/>
        <v>7</v>
      </c>
      <c r="C1134" s="12">
        <f t="shared" si="86"/>
        <v>40744</v>
      </c>
      <c r="D1134" s="12" t="s">
        <v>1043</v>
      </c>
      <c r="E1134" s="304">
        <v>40744</v>
      </c>
      <c r="F1134" s="15" t="s">
        <v>578</v>
      </c>
      <c r="G1134" s="15"/>
      <c r="H1134" s="242" t="s">
        <v>1037</v>
      </c>
      <c r="I1134" s="141">
        <v>1</v>
      </c>
      <c r="J1134" s="141">
        <v>16303</v>
      </c>
      <c r="K1134" s="238">
        <f t="shared" si="87"/>
        <v>16303</v>
      </c>
      <c r="L1134" s="14" t="s">
        <v>153</v>
      </c>
      <c r="M1134" s="14" t="s">
        <v>147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/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>x</v>
      </c>
      <c r="Z1134" s="121"/>
    </row>
    <row r="1135" spans="1:26" ht="15.75" customHeight="1">
      <c r="A1135" s="125" t="str">
        <f>IF(B1135&lt;&gt;"",IF(AND(B1135&gt;=_TM1,B1135&lt;=_TM2,OR(TH!L1135="1111",TH!M1135="1111")),TH!D1135,""),"")</f>
        <v/>
      </c>
      <c r="B1135" s="11">
        <f t="shared" si="83"/>
        <v>7</v>
      </c>
      <c r="C1135" s="12">
        <f t="shared" si="86"/>
        <v>40744</v>
      </c>
      <c r="D1135" s="12" t="s">
        <v>1059</v>
      </c>
      <c r="E1135" s="12">
        <v>40744</v>
      </c>
      <c r="F1135" s="15" t="s">
        <v>944</v>
      </c>
      <c r="G1135" s="15"/>
      <c r="H1135" s="242" t="s">
        <v>1037</v>
      </c>
      <c r="I1135" s="141">
        <v>164</v>
      </c>
      <c r="J1135" s="141">
        <v>7394.3987351534788</v>
      </c>
      <c r="K1135" s="238">
        <f t="shared" si="87"/>
        <v>1212681</v>
      </c>
      <c r="L1135" s="14" t="s">
        <v>155</v>
      </c>
      <c r="M1135" s="14" t="s">
        <v>153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>x</v>
      </c>
      <c r="Z1135" s="121"/>
    </row>
    <row r="1136" spans="1:26" ht="15.75" customHeight="1">
      <c r="A1136" s="125" t="str">
        <f>IF(B1136&lt;&gt;"",IF(AND(B1136&gt;=_TM1,B1136&lt;=_TM2,OR(TH!L1136="1111",TH!M1136="1111")),TH!D1136,""),"")</f>
        <v/>
      </c>
      <c r="B1136" s="11">
        <f t="shared" si="83"/>
        <v>7</v>
      </c>
      <c r="C1136" s="12">
        <f t="shared" si="86"/>
        <v>40744</v>
      </c>
      <c r="D1136" s="12" t="s">
        <v>1059</v>
      </c>
      <c r="E1136" s="12">
        <v>40744</v>
      </c>
      <c r="F1136" s="116" t="s">
        <v>870</v>
      </c>
      <c r="G1136" s="15"/>
      <c r="H1136" s="242" t="s">
        <v>1037</v>
      </c>
      <c r="I1136" s="141">
        <v>1</v>
      </c>
      <c r="J1136" s="141">
        <v>7394.3987351534788</v>
      </c>
      <c r="K1136" s="238">
        <f t="shared" si="87"/>
        <v>7394</v>
      </c>
      <c r="L1136" s="14" t="s">
        <v>155</v>
      </c>
      <c r="M1136" s="14" t="s">
        <v>153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>x</v>
      </c>
      <c r="Z1136" s="121"/>
    </row>
    <row r="1137" spans="1:26" ht="15.75" customHeight="1">
      <c r="A1137" s="125" t="str">
        <f>IF(B1137&lt;&gt;"",IF(AND(B1137&gt;=_TM1,B1137&lt;=_TM2,OR(TH!L1137="1111",TH!M1137="1111")),TH!D1137,""),"")</f>
        <v/>
      </c>
      <c r="B1137" s="11">
        <f t="shared" si="83"/>
        <v>7</v>
      </c>
      <c r="C1137" s="12">
        <f t="shared" si="86"/>
        <v>40744</v>
      </c>
      <c r="D1137" s="12" t="s">
        <v>1059</v>
      </c>
      <c r="E1137" s="12">
        <v>40744</v>
      </c>
      <c r="F1137" s="15" t="s">
        <v>946</v>
      </c>
      <c r="G1137" s="15"/>
      <c r="H1137" s="242" t="s">
        <v>1037</v>
      </c>
      <c r="I1137" s="141">
        <v>1</v>
      </c>
      <c r="J1137" s="141">
        <v>4447.3987351534788</v>
      </c>
      <c r="K1137" s="238">
        <f t="shared" si="87"/>
        <v>4447</v>
      </c>
      <c r="L1137" s="14" t="s">
        <v>155</v>
      </c>
      <c r="M1137" s="14" t="s">
        <v>153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>x</v>
      </c>
      <c r="Z1137" s="121"/>
    </row>
    <row r="1138" spans="1:26" ht="15.75" customHeight="1">
      <c r="A1138" s="125" t="str">
        <f>IF(B1138&lt;&gt;"",IF(AND(B1138&gt;=_TM1,B1138&lt;=_TM2,OR(TH!L1138="1111",TH!M1138="1111")),TH!D1138,""),"")</f>
        <v/>
      </c>
      <c r="B1138" s="11">
        <f t="shared" si="83"/>
        <v>7</v>
      </c>
      <c r="C1138" s="12">
        <f t="shared" si="86"/>
        <v>40744</v>
      </c>
      <c r="D1138" s="12" t="s">
        <v>1059</v>
      </c>
      <c r="E1138" s="12">
        <v>40744</v>
      </c>
      <c r="F1138" s="15" t="s">
        <v>947</v>
      </c>
      <c r="G1138" s="15"/>
      <c r="H1138" s="242" t="s">
        <v>1037</v>
      </c>
      <c r="I1138" s="141">
        <v>1</v>
      </c>
      <c r="J1138" s="141">
        <v>6671.3987351534788</v>
      </c>
      <c r="K1138" s="238">
        <f t="shared" si="87"/>
        <v>6671</v>
      </c>
      <c r="L1138" s="14" t="s">
        <v>155</v>
      </c>
      <c r="M1138" s="14" t="s">
        <v>153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>x</v>
      </c>
      <c r="Z1138" s="121"/>
    </row>
    <row r="1139" spans="1:26" ht="15.75" customHeight="1">
      <c r="A1139" s="125" t="str">
        <f>IF(B1139&lt;&gt;"",IF(AND(B1139&gt;=_TM1,B1139&lt;=_TM2,OR(TH!L1139="1111",TH!M1139="1111")),TH!D1139,""),"")</f>
        <v/>
      </c>
      <c r="B1139" s="11">
        <f t="shared" si="83"/>
        <v>7</v>
      </c>
      <c r="C1139" s="12">
        <f t="shared" si="86"/>
        <v>40744</v>
      </c>
      <c r="D1139" s="12" t="s">
        <v>1059</v>
      </c>
      <c r="E1139" s="12">
        <v>40744</v>
      </c>
      <c r="F1139" s="116" t="s">
        <v>874</v>
      </c>
      <c r="G1139" s="15"/>
      <c r="H1139" s="242" t="s">
        <v>1037</v>
      </c>
      <c r="I1139" s="141">
        <v>6</v>
      </c>
      <c r="J1139" s="141">
        <v>7845.8987351534788</v>
      </c>
      <c r="K1139" s="238">
        <f t="shared" si="87"/>
        <v>47075</v>
      </c>
      <c r="L1139" s="14" t="s">
        <v>155</v>
      </c>
      <c r="M1139" s="14" t="s">
        <v>153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/>
      </c>
      <c r="Y1139" s="25" t="str">
        <f>IF(AND(B1139&lt;=NKC!$N$8,B1139&gt;=NKC!$M$8),"x","")</f>
        <v>x</v>
      </c>
      <c r="Z1139" s="121"/>
    </row>
    <row r="1140" spans="1:26" ht="15.75" customHeight="1">
      <c r="A1140" s="125" t="str">
        <f>IF(B1140&lt;&gt;"",IF(AND(B1140&gt;=_TM1,B1140&lt;=_TM2,OR(TH!L1140="1111",TH!M1140="1111")),TH!D1140,""),"")</f>
        <v/>
      </c>
      <c r="B1140" s="11">
        <f t="shared" si="83"/>
        <v>7</v>
      </c>
      <c r="C1140" s="12">
        <f t="shared" si="86"/>
        <v>40744</v>
      </c>
      <c r="D1140" s="12" t="s">
        <v>1059</v>
      </c>
      <c r="E1140" s="12">
        <v>40744</v>
      </c>
      <c r="F1140" s="114" t="s">
        <v>872</v>
      </c>
      <c r="G1140" s="15"/>
      <c r="H1140" s="242" t="s">
        <v>1037</v>
      </c>
      <c r="I1140" s="141">
        <v>1</v>
      </c>
      <c r="J1140" s="141">
        <v>6671.3987351534788</v>
      </c>
      <c r="K1140" s="238">
        <f t="shared" si="87"/>
        <v>6671</v>
      </c>
      <c r="L1140" s="14" t="s">
        <v>155</v>
      </c>
      <c r="M1140" s="14" t="s">
        <v>153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>x</v>
      </c>
      <c r="Z1140" s="121"/>
    </row>
    <row r="1141" spans="1:26" ht="15.75" customHeight="1">
      <c r="A1141" s="125" t="str">
        <f>IF(B1141&lt;&gt;"",IF(AND(B1141&gt;=_TM1,B1141&lt;=_TM2,OR(TH!L1141="1111",TH!M1141="1111")),TH!D1141,""),"")</f>
        <v/>
      </c>
      <c r="B1141" s="11">
        <f t="shared" si="83"/>
        <v>7</v>
      </c>
      <c r="C1141" s="12">
        <f t="shared" si="86"/>
        <v>40744</v>
      </c>
      <c r="D1141" s="12" t="s">
        <v>1059</v>
      </c>
      <c r="E1141" s="12">
        <v>40744</v>
      </c>
      <c r="F1141" s="15" t="s">
        <v>721</v>
      </c>
      <c r="G1141" s="15"/>
      <c r="H1141" s="242" t="s">
        <v>1037</v>
      </c>
      <c r="I1141" s="141">
        <v>3</v>
      </c>
      <c r="J1141" s="141">
        <v>8248.3987351534797</v>
      </c>
      <c r="K1141" s="238">
        <f t="shared" si="87"/>
        <v>24745</v>
      </c>
      <c r="L1141" s="14" t="s">
        <v>155</v>
      </c>
      <c r="M1141" s="14" t="s">
        <v>153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>x</v>
      </c>
      <c r="Z1141" s="121"/>
    </row>
    <row r="1142" spans="1:26" ht="15.75" customHeight="1">
      <c r="A1142" s="125" t="str">
        <f>IF(B1142&lt;&gt;"",IF(AND(B1142&gt;=_TM1,B1142&lt;=_TM2,OR(TH!L1142="1111",TH!M1142="1111")),TH!D1142,""),"")</f>
        <v/>
      </c>
      <c r="B1142" s="11">
        <f t="shared" si="83"/>
        <v>7</v>
      </c>
      <c r="C1142" s="12">
        <f t="shared" si="86"/>
        <v>40744</v>
      </c>
      <c r="D1142" s="12" t="s">
        <v>1059</v>
      </c>
      <c r="E1142" s="12">
        <v>40744</v>
      </c>
      <c r="F1142" s="15" t="s">
        <v>722</v>
      </c>
      <c r="G1142" s="15"/>
      <c r="H1142" s="242" t="s">
        <v>1037</v>
      </c>
      <c r="I1142" s="141">
        <v>12</v>
      </c>
      <c r="J1142" s="141">
        <v>8767.3987351534797</v>
      </c>
      <c r="K1142" s="238">
        <f t="shared" si="87"/>
        <v>105209</v>
      </c>
      <c r="L1142" s="14" t="s">
        <v>155</v>
      </c>
      <c r="M1142" s="14" t="s">
        <v>153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/>
      </c>
      <c r="Y1142" s="25" t="str">
        <f>IF(AND(B1142&lt;=NKC!$N$8,B1142&gt;=NKC!$M$8),"x","")</f>
        <v>x</v>
      </c>
      <c r="Z1142" s="121"/>
    </row>
    <row r="1143" spans="1:26" ht="15.75" customHeight="1">
      <c r="A1143" s="125" t="str">
        <f>IF(B1143&lt;&gt;"",IF(AND(B1143&gt;=_TM1,B1143&lt;=_TM2,OR(TH!L1143="1111",TH!M1143="1111")),TH!D1143,""),"")</f>
        <v/>
      </c>
      <c r="B1143" s="11">
        <f t="shared" si="83"/>
        <v>7</v>
      </c>
      <c r="C1143" s="12">
        <f t="shared" si="86"/>
        <v>40744</v>
      </c>
      <c r="D1143" s="12" t="s">
        <v>907</v>
      </c>
      <c r="E1143" s="12">
        <v>40744</v>
      </c>
      <c r="F1143" s="15" t="s">
        <v>944</v>
      </c>
      <c r="G1143" s="15" t="s">
        <v>1122</v>
      </c>
      <c r="H1143" s="242" t="s">
        <v>709</v>
      </c>
      <c r="I1143" s="141">
        <v>164</v>
      </c>
      <c r="J1143" s="141">
        <v>7394.3987351534788</v>
      </c>
      <c r="K1143" s="238">
        <f t="shared" si="87"/>
        <v>1212681</v>
      </c>
      <c r="L1143" s="14" t="s">
        <v>161</v>
      </c>
      <c r="M1143" s="14" t="s">
        <v>155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121"/>
    </row>
    <row r="1144" spans="1:26" ht="15.75" customHeight="1">
      <c r="A1144" s="125" t="str">
        <f>IF(B1144&lt;&gt;"",IF(AND(B1144&gt;=_TM1,B1144&lt;=_TM2,OR(TH!L1144="1111",TH!M1144="1111")),TH!D1144,""),"")</f>
        <v/>
      </c>
      <c r="B1144" s="11">
        <f t="shared" si="83"/>
        <v>7</v>
      </c>
      <c r="C1144" s="12">
        <f t="shared" si="86"/>
        <v>40744</v>
      </c>
      <c r="D1144" s="12" t="s">
        <v>907</v>
      </c>
      <c r="E1144" s="12">
        <v>40744</v>
      </c>
      <c r="F1144" s="116" t="s">
        <v>870</v>
      </c>
      <c r="G1144" s="15" t="s">
        <v>1122</v>
      </c>
      <c r="H1144" s="242" t="s">
        <v>709</v>
      </c>
      <c r="I1144" s="141">
        <v>1</v>
      </c>
      <c r="J1144" s="141">
        <v>7394.3987351534788</v>
      </c>
      <c r="K1144" s="238">
        <f t="shared" si="87"/>
        <v>7394</v>
      </c>
      <c r="L1144" s="14" t="s">
        <v>161</v>
      </c>
      <c r="M1144" s="14" t="s">
        <v>155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121"/>
    </row>
    <row r="1145" spans="1:26" ht="15.75" customHeight="1">
      <c r="A1145" s="125" t="str">
        <f>IF(B1145&lt;&gt;"",IF(AND(B1145&gt;=_TM1,B1145&lt;=_TM2,OR(TH!L1145="1111",TH!M1145="1111")),TH!D1145,""),"")</f>
        <v/>
      </c>
      <c r="B1145" s="11">
        <f t="shared" si="83"/>
        <v>7</v>
      </c>
      <c r="C1145" s="12">
        <f t="shared" si="86"/>
        <v>40744</v>
      </c>
      <c r="D1145" s="12" t="s">
        <v>907</v>
      </c>
      <c r="E1145" s="12">
        <v>40744</v>
      </c>
      <c r="F1145" s="15" t="s">
        <v>946</v>
      </c>
      <c r="G1145" s="15" t="s">
        <v>1122</v>
      </c>
      <c r="H1145" s="242" t="s">
        <v>709</v>
      </c>
      <c r="I1145" s="141">
        <v>1</v>
      </c>
      <c r="J1145" s="141">
        <v>4447.3987351534788</v>
      </c>
      <c r="K1145" s="238">
        <f t="shared" si="87"/>
        <v>4447</v>
      </c>
      <c r="L1145" s="14" t="s">
        <v>161</v>
      </c>
      <c r="M1145" s="14" t="s">
        <v>155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/>
      </c>
      <c r="Y1145" s="25" t="str">
        <f>IF(AND(B1145&lt;=NKC!$N$8,B1145&gt;=NKC!$M$8),"x","")</f>
        <v>x</v>
      </c>
      <c r="Z1145" s="121"/>
    </row>
    <row r="1146" spans="1:26" ht="15.75" customHeight="1">
      <c r="A1146" s="125" t="str">
        <f>IF(B1146&lt;&gt;"",IF(AND(B1146&gt;=_TM1,B1146&lt;=_TM2,OR(TH!L1146="1111",TH!M1146="1111")),TH!D1146,""),"")</f>
        <v/>
      </c>
      <c r="B1146" s="11">
        <f t="shared" si="83"/>
        <v>7</v>
      </c>
      <c r="C1146" s="12">
        <f t="shared" si="86"/>
        <v>40744</v>
      </c>
      <c r="D1146" s="12" t="s">
        <v>907</v>
      </c>
      <c r="E1146" s="12">
        <v>40744</v>
      </c>
      <c r="F1146" s="15" t="s">
        <v>947</v>
      </c>
      <c r="G1146" s="15" t="s">
        <v>1122</v>
      </c>
      <c r="H1146" s="242" t="s">
        <v>709</v>
      </c>
      <c r="I1146" s="141">
        <v>1</v>
      </c>
      <c r="J1146" s="141">
        <v>6671.3987351534788</v>
      </c>
      <c r="K1146" s="238">
        <f t="shared" si="87"/>
        <v>6671</v>
      </c>
      <c r="L1146" s="14" t="s">
        <v>161</v>
      </c>
      <c r="M1146" s="14" t="s">
        <v>155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/>
      </c>
      <c r="Y1146" s="25" t="str">
        <f>IF(AND(B1146&lt;=NKC!$N$8,B1146&gt;=NKC!$M$8),"x","")</f>
        <v>x</v>
      </c>
      <c r="Z1146" s="121"/>
    </row>
    <row r="1147" spans="1:26" ht="15.75" customHeight="1">
      <c r="A1147" s="125" t="str">
        <f>IF(B1147&lt;&gt;"",IF(AND(B1147&gt;=_TM1,B1147&lt;=_TM2,OR(TH!L1147="1111",TH!M1147="1111")),TH!D1147,""),"")</f>
        <v/>
      </c>
      <c r="B1147" s="11">
        <f t="shared" si="83"/>
        <v>7</v>
      </c>
      <c r="C1147" s="12">
        <f t="shared" si="86"/>
        <v>40744</v>
      </c>
      <c r="D1147" s="12" t="s">
        <v>907</v>
      </c>
      <c r="E1147" s="12">
        <v>40744</v>
      </c>
      <c r="F1147" s="116" t="s">
        <v>874</v>
      </c>
      <c r="G1147" s="15" t="s">
        <v>1122</v>
      </c>
      <c r="H1147" s="242" t="s">
        <v>709</v>
      </c>
      <c r="I1147" s="141">
        <v>6</v>
      </c>
      <c r="J1147" s="141">
        <v>7845.8987351534788</v>
      </c>
      <c r="K1147" s="238">
        <f t="shared" si="87"/>
        <v>47075</v>
      </c>
      <c r="L1147" s="14" t="s">
        <v>161</v>
      </c>
      <c r="M1147" s="14" t="s">
        <v>155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>x</v>
      </c>
      <c r="Z1147" s="121"/>
    </row>
    <row r="1148" spans="1:26" ht="15.75" customHeight="1">
      <c r="A1148" s="125" t="str">
        <f>IF(B1148&lt;&gt;"",IF(AND(B1148&gt;=_TM1,B1148&lt;=_TM2,OR(TH!L1148="1111",TH!M1148="1111")),TH!D1148,""),"")</f>
        <v/>
      </c>
      <c r="B1148" s="11">
        <f t="shared" si="83"/>
        <v>7</v>
      </c>
      <c r="C1148" s="12">
        <f t="shared" si="86"/>
        <v>40744</v>
      </c>
      <c r="D1148" s="12" t="s">
        <v>907</v>
      </c>
      <c r="E1148" s="12">
        <v>40744</v>
      </c>
      <c r="F1148" s="114" t="s">
        <v>872</v>
      </c>
      <c r="G1148" s="15" t="s">
        <v>1122</v>
      </c>
      <c r="H1148" s="242" t="s">
        <v>709</v>
      </c>
      <c r="I1148" s="141">
        <v>1</v>
      </c>
      <c r="J1148" s="141">
        <v>6671.3987351534788</v>
      </c>
      <c r="K1148" s="238">
        <f t="shared" si="87"/>
        <v>6671</v>
      </c>
      <c r="L1148" s="14" t="s">
        <v>161</v>
      </c>
      <c r="M1148" s="14" t="s">
        <v>155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>x</v>
      </c>
      <c r="Z1148" s="121"/>
    </row>
    <row r="1149" spans="1:26" ht="15.75" customHeight="1">
      <c r="A1149" s="125" t="str">
        <f>IF(B1149&lt;&gt;"",IF(AND(B1149&gt;=_TM1,B1149&lt;=_TM2,OR(TH!L1149="1111",TH!M1149="1111")),TH!D1149,""),"")</f>
        <v/>
      </c>
      <c r="B1149" s="11">
        <f t="shared" si="83"/>
        <v>7</v>
      </c>
      <c r="C1149" s="12">
        <f t="shared" si="86"/>
        <v>40744</v>
      </c>
      <c r="D1149" s="12" t="s">
        <v>907</v>
      </c>
      <c r="E1149" s="12">
        <v>40744</v>
      </c>
      <c r="F1149" s="15" t="s">
        <v>721</v>
      </c>
      <c r="G1149" s="15" t="s">
        <v>1122</v>
      </c>
      <c r="H1149" s="242" t="s">
        <v>709</v>
      </c>
      <c r="I1149" s="141">
        <v>3</v>
      </c>
      <c r="J1149" s="141">
        <v>8248.3987351534797</v>
      </c>
      <c r="K1149" s="238">
        <f t="shared" si="87"/>
        <v>24745</v>
      </c>
      <c r="L1149" s="14" t="s">
        <v>161</v>
      </c>
      <c r="M1149" s="14" t="s">
        <v>155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/>
      </c>
      <c r="Y1149" s="25" t="str">
        <f>IF(AND(B1149&lt;=NKC!$N$8,B1149&gt;=NKC!$M$8),"x","")</f>
        <v>x</v>
      </c>
      <c r="Z1149" s="121"/>
    </row>
    <row r="1150" spans="1:26" ht="15.75" customHeight="1">
      <c r="A1150" s="125" t="str">
        <f>IF(B1150&lt;&gt;"",IF(AND(B1150&gt;=_TM1,B1150&lt;=_TM2,OR(TH!L1150="1111",TH!M1150="1111")),TH!D1150,""),"")</f>
        <v/>
      </c>
      <c r="B1150" s="11">
        <f t="shared" si="83"/>
        <v>7</v>
      </c>
      <c r="C1150" s="12">
        <f t="shared" si="86"/>
        <v>40744</v>
      </c>
      <c r="D1150" s="12" t="s">
        <v>907</v>
      </c>
      <c r="E1150" s="12">
        <v>40744</v>
      </c>
      <c r="F1150" s="15" t="s">
        <v>722</v>
      </c>
      <c r="G1150" s="15" t="s">
        <v>1122</v>
      </c>
      <c r="H1150" s="242" t="s">
        <v>709</v>
      </c>
      <c r="I1150" s="141">
        <v>12</v>
      </c>
      <c r="J1150" s="141">
        <v>8767.3987351534797</v>
      </c>
      <c r="K1150" s="238">
        <f t="shared" si="87"/>
        <v>105209</v>
      </c>
      <c r="L1150" s="14" t="s">
        <v>161</v>
      </c>
      <c r="M1150" s="14" t="s">
        <v>155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>x</v>
      </c>
      <c r="Z1150" s="121"/>
    </row>
    <row r="1151" spans="1:26" ht="15.75" customHeight="1">
      <c r="A1151" s="125" t="str">
        <f>IF(B1151&lt;&gt;"",IF(AND(B1151&gt;=_TM1,B1151&lt;=_TM2,OR(TH!L1151="1111",TH!M1151="1111")),TH!D1151,""),"")</f>
        <v/>
      </c>
      <c r="B1151" s="11">
        <f t="shared" si="83"/>
        <v>7</v>
      </c>
      <c r="C1151" s="115">
        <v>40745</v>
      </c>
      <c r="D1151" s="110" t="s">
        <v>415</v>
      </c>
      <c r="E1151" s="305">
        <v>40745</v>
      </c>
      <c r="F1151" s="116" t="s">
        <v>614</v>
      </c>
      <c r="G1151" s="224" t="s">
        <v>1088</v>
      </c>
      <c r="H1151" s="4" t="s">
        <v>368</v>
      </c>
      <c r="I1151" s="143"/>
      <c r="J1151" s="143"/>
      <c r="K1151" s="13">
        <v>1320000</v>
      </c>
      <c r="L1151" s="118" t="s">
        <v>8</v>
      </c>
      <c r="M1151" s="118" t="s">
        <v>44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>x</v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>x</v>
      </c>
      <c r="Z1151" s="121"/>
    </row>
    <row r="1152" spans="1:26" ht="15.75" customHeight="1">
      <c r="A1152" s="125" t="str">
        <f>IF(B1152&lt;&gt;"",IF(AND(B1152&gt;=_TM1,B1152&lt;=_TM2,OR(TH!L1152="1111",TH!M1152="1111")),TH!D1152,""),"")</f>
        <v/>
      </c>
      <c r="B1152" s="11">
        <f t="shared" si="83"/>
        <v>7</v>
      </c>
      <c r="C1152" s="115">
        <v>40745</v>
      </c>
      <c r="D1152" s="110" t="s">
        <v>671</v>
      </c>
      <c r="E1152" s="305">
        <v>40745</v>
      </c>
      <c r="F1152" s="114" t="s">
        <v>365</v>
      </c>
      <c r="G1152" s="224" t="s">
        <v>1088</v>
      </c>
      <c r="H1152" s="4" t="s">
        <v>368</v>
      </c>
      <c r="I1152" s="141">
        <v>50</v>
      </c>
      <c r="J1152" s="141">
        <v>24000</v>
      </c>
      <c r="K1152" s="238">
        <v>1200000</v>
      </c>
      <c r="L1152" s="118" t="s">
        <v>149</v>
      </c>
      <c r="M1152" s="118" t="s">
        <v>8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>x</v>
      </c>
      <c r="Y1152" s="25" t="str">
        <f>IF(AND(B1152&lt;=NKC!$N$8,B1152&gt;=NKC!$M$8),"x","")</f>
        <v>x</v>
      </c>
      <c r="Z1152" s="121">
        <v>7</v>
      </c>
    </row>
    <row r="1153" spans="1:26" ht="15.75" customHeight="1">
      <c r="A1153" s="125" t="str">
        <f>IF(B1153&lt;&gt;"",IF(AND(B1153&gt;=_TM1,B1153&lt;=_TM2,OR(TH!L1153="1111",TH!M1153="1111")),TH!D1153,""),"")</f>
        <v/>
      </c>
      <c r="B1153" s="11">
        <f t="shared" si="83"/>
        <v>7</v>
      </c>
      <c r="C1153" s="115">
        <v>40745</v>
      </c>
      <c r="D1153" s="110" t="s">
        <v>671</v>
      </c>
      <c r="E1153" s="305">
        <v>40745</v>
      </c>
      <c r="F1153" s="114" t="s">
        <v>366</v>
      </c>
      <c r="G1153" s="224" t="s">
        <v>1088</v>
      </c>
      <c r="H1153" s="4" t="s">
        <v>368</v>
      </c>
      <c r="I1153" s="141"/>
      <c r="J1153" s="141"/>
      <c r="K1153" s="13">
        <v>120000</v>
      </c>
      <c r="L1153" s="118" t="s">
        <v>9</v>
      </c>
      <c r="M1153" s="118" t="s">
        <v>8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>x</v>
      </c>
      <c r="Z1153" s="121">
        <v>7</v>
      </c>
    </row>
    <row r="1154" spans="1:26" ht="15.75" customHeight="1">
      <c r="A1154" s="125" t="str">
        <f>IF(B1154&lt;&gt;"",IF(AND(B1154&gt;=_TM1,B1154&lt;=_TM2,OR(TH!L1154="1111",TH!M1154="1111")),TH!D1154,""),"")</f>
        <v/>
      </c>
      <c r="B1154" s="11">
        <f t="shared" si="83"/>
        <v>7</v>
      </c>
      <c r="C1154" s="115">
        <v>40745</v>
      </c>
      <c r="D1154" s="115" t="s">
        <v>908</v>
      </c>
      <c r="E1154" s="115">
        <v>40745</v>
      </c>
      <c r="F1154" s="116" t="s">
        <v>723</v>
      </c>
      <c r="G1154" s="224" t="s">
        <v>1123</v>
      </c>
      <c r="H1154" s="117" t="s">
        <v>709</v>
      </c>
      <c r="I1154" s="141">
        <v>5</v>
      </c>
      <c r="J1154" s="141">
        <v>11321</v>
      </c>
      <c r="K1154" s="238">
        <v>56605</v>
      </c>
      <c r="L1154" s="118" t="s">
        <v>237</v>
      </c>
      <c r="M1154" s="118" t="s">
        <v>163</v>
      </c>
      <c r="N1154" s="25" t="str">
        <f>IF(AND('331-CT'!$E$7=TH!H1154,OR(L1154="331",M1154="331")),"331",IF(AND(OR(L1154="131",M1154="131"),H1154='131-CT'!$E$7),"131",""))</f>
        <v>131</v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>x</v>
      </c>
      <c r="Z1154" s="121"/>
    </row>
    <row r="1155" spans="1:26" ht="15.75" customHeight="1">
      <c r="A1155" s="125" t="str">
        <f>IF(B1155&lt;&gt;"",IF(AND(B1155&gt;=_TM1,B1155&lt;=_TM2,OR(TH!L1155="1111",TH!M1155="1111")),TH!D1155,""),"")</f>
        <v/>
      </c>
      <c r="B1155" s="11">
        <f t="shared" si="83"/>
        <v>7</v>
      </c>
      <c r="C1155" s="115">
        <v>40745</v>
      </c>
      <c r="D1155" s="115" t="s">
        <v>908</v>
      </c>
      <c r="E1155" s="115">
        <v>40745</v>
      </c>
      <c r="F1155" s="116" t="s">
        <v>724</v>
      </c>
      <c r="G1155" s="224" t="s">
        <v>1123</v>
      </c>
      <c r="H1155" s="117" t="s">
        <v>709</v>
      </c>
      <c r="I1155" s="141">
        <v>1</v>
      </c>
      <c r="J1155" s="141">
        <v>10253</v>
      </c>
      <c r="K1155" s="238">
        <v>10253</v>
      </c>
      <c r="L1155" s="118" t="s">
        <v>237</v>
      </c>
      <c r="M1155" s="118" t="s">
        <v>163</v>
      </c>
      <c r="N1155" s="25" t="str">
        <f>IF(AND('331-CT'!$E$7=TH!H1155,OR(L1155="331",M1155="331")),"331",IF(AND(OR(L1155="131",M1155="131"),H1155='131-CT'!$E$7),"131",""))</f>
        <v>131</v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>x</v>
      </c>
      <c r="Z1155" s="121"/>
    </row>
    <row r="1156" spans="1:26" ht="15.75" customHeight="1">
      <c r="A1156" s="125" t="str">
        <f>IF(B1156&lt;&gt;"",IF(AND(B1156&gt;=_TM1,B1156&lt;=_TM2,OR(TH!L1156="1111",TH!M1156="1111")),TH!D1156,""),"")</f>
        <v/>
      </c>
      <c r="B1156" s="11">
        <f t="shared" si="83"/>
        <v>7</v>
      </c>
      <c r="C1156" s="115">
        <v>40745</v>
      </c>
      <c r="D1156" s="115" t="s">
        <v>908</v>
      </c>
      <c r="E1156" s="115">
        <v>40745</v>
      </c>
      <c r="F1156" s="116" t="s">
        <v>725</v>
      </c>
      <c r="G1156" s="224" t="s">
        <v>1123</v>
      </c>
      <c r="H1156" s="117" t="s">
        <v>709</v>
      </c>
      <c r="I1156" s="141">
        <v>1</v>
      </c>
      <c r="J1156" s="141">
        <v>12564</v>
      </c>
      <c r="K1156" s="238">
        <v>12564</v>
      </c>
      <c r="L1156" s="118" t="s">
        <v>237</v>
      </c>
      <c r="M1156" s="118" t="s">
        <v>163</v>
      </c>
      <c r="N1156" s="25" t="str">
        <f>IF(AND('331-CT'!$E$7=TH!H1156,OR(L1156="331",M1156="331")),"331",IF(AND(OR(L1156="131",M1156="131"),H1156='131-CT'!$E$7),"131",""))</f>
        <v>131</v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>x</v>
      </c>
      <c r="Z1156" s="121"/>
    </row>
    <row r="1157" spans="1:26" ht="15.75" customHeight="1">
      <c r="A1157" s="125" t="str">
        <f>IF(B1157&lt;&gt;"",IF(AND(B1157&gt;=_TM1,B1157&lt;=_TM2,OR(TH!L1157="1111",TH!M1157="1111")),TH!D1157,""),"")</f>
        <v/>
      </c>
      <c r="B1157" s="11">
        <f t="shared" si="83"/>
        <v>7</v>
      </c>
      <c r="C1157" s="115">
        <v>40745</v>
      </c>
      <c r="D1157" s="115" t="s">
        <v>908</v>
      </c>
      <c r="E1157" s="115">
        <v>40745</v>
      </c>
      <c r="F1157" s="116" t="s">
        <v>950</v>
      </c>
      <c r="G1157" s="224" t="s">
        <v>1123</v>
      </c>
      <c r="H1157" s="117" t="s">
        <v>709</v>
      </c>
      <c r="I1157" s="141">
        <v>18</v>
      </c>
      <c r="J1157" s="141">
        <v>14438</v>
      </c>
      <c r="K1157" s="238">
        <v>259884</v>
      </c>
      <c r="L1157" s="118" t="s">
        <v>237</v>
      </c>
      <c r="M1157" s="118" t="s">
        <v>163</v>
      </c>
      <c r="N1157" s="25" t="str">
        <f>IF(AND('331-CT'!$E$7=TH!H1157,OR(L1157="331",M1157="331")),"331",IF(AND(OR(L1157="131",M1157="131"),H1157='131-CT'!$E$7),"131",""))</f>
        <v>131</v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>x</v>
      </c>
      <c r="Z1157" s="121"/>
    </row>
    <row r="1158" spans="1:26" ht="15.75" customHeight="1">
      <c r="A1158" s="125" t="str">
        <f>IF(B1158&lt;&gt;"",IF(AND(B1158&gt;=_TM1,B1158&lt;=_TM2,OR(TH!L1158="1111",TH!M1158="1111")),TH!D1158,""),"")</f>
        <v/>
      </c>
      <c r="B1158" s="11">
        <f t="shared" si="83"/>
        <v>7</v>
      </c>
      <c r="C1158" s="115">
        <v>40745</v>
      </c>
      <c r="D1158" s="115" t="s">
        <v>908</v>
      </c>
      <c r="E1158" s="115">
        <v>40745</v>
      </c>
      <c r="F1158" s="116" t="s">
        <v>726</v>
      </c>
      <c r="G1158" s="224" t="s">
        <v>1123</v>
      </c>
      <c r="H1158" s="117" t="s">
        <v>709</v>
      </c>
      <c r="I1158" s="141">
        <v>166</v>
      </c>
      <c r="J1158" s="141">
        <v>15618</v>
      </c>
      <c r="K1158" s="238">
        <v>2592588</v>
      </c>
      <c r="L1158" s="118" t="s">
        <v>237</v>
      </c>
      <c r="M1158" s="118" t="s">
        <v>163</v>
      </c>
      <c r="N1158" s="25" t="str">
        <f>IF(AND('331-CT'!$E$7=TH!H1158,OR(L1158="331",M1158="331")),"331",IF(AND(OR(L1158="131",M1158="131"),H1158='131-CT'!$E$7),"131",""))</f>
        <v>131</v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>x</v>
      </c>
      <c r="Z1158" s="121"/>
    </row>
    <row r="1159" spans="1:26" ht="15.75" customHeight="1">
      <c r="A1159" s="125" t="str">
        <f>IF(B1159&lt;&gt;"",IF(AND(B1159&gt;=_TM1,B1159&lt;=_TM2,OR(TH!L1159="1111",TH!M1159="1111")),TH!D1159,""),"")</f>
        <v/>
      </c>
      <c r="B1159" s="11">
        <f t="shared" si="83"/>
        <v>7</v>
      </c>
      <c r="C1159" s="115">
        <v>40745</v>
      </c>
      <c r="D1159" s="115" t="s">
        <v>908</v>
      </c>
      <c r="E1159" s="115">
        <v>40745</v>
      </c>
      <c r="F1159" s="116" t="s">
        <v>1242</v>
      </c>
      <c r="G1159" s="224" t="s">
        <v>1123</v>
      </c>
      <c r="H1159" s="117" t="s">
        <v>709</v>
      </c>
      <c r="I1159" s="141">
        <v>2</v>
      </c>
      <c r="J1159" s="141">
        <v>10026</v>
      </c>
      <c r="K1159" s="238">
        <v>20052</v>
      </c>
      <c r="L1159" s="118" t="s">
        <v>237</v>
      </c>
      <c r="M1159" s="118" t="s">
        <v>163</v>
      </c>
      <c r="N1159" s="25" t="str">
        <f>IF(AND('331-CT'!$E$7=TH!H1159,OR(L1159="331",M1159="331")),"331",IF(AND(OR(L1159="131",M1159="131"),H1159='131-CT'!$E$7),"131",""))</f>
        <v>131</v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>x</v>
      </c>
      <c r="Z1159" s="121"/>
    </row>
    <row r="1160" spans="1:26" ht="15.75" customHeight="1">
      <c r="A1160" s="125" t="str">
        <f>IF(B1160&lt;&gt;"",IF(AND(B1160&gt;=_TM1,B1160&lt;=_TM2,OR(TH!L1160="1111",TH!M1160="1111")),TH!D1160,""),"")</f>
        <v/>
      </c>
      <c r="B1160" s="11">
        <f t="shared" si="83"/>
        <v>7</v>
      </c>
      <c r="C1160" s="115">
        <v>40745</v>
      </c>
      <c r="D1160" s="115" t="s">
        <v>908</v>
      </c>
      <c r="E1160" s="115">
        <v>40745</v>
      </c>
      <c r="F1160" s="116" t="s">
        <v>952</v>
      </c>
      <c r="G1160" s="224" t="s">
        <v>1123</v>
      </c>
      <c r="H1160" s="117" t="s">
        <v>709</v>
      </c>
      <c r="I1160" s="141">
        <v>1</v>
      </c>
      <c r="J1160" s="141">
        <v>10723</v>
      </c>
      <c r="K1160" s="238">
        <v>10723</v>
      </c>
      <c r="L1160" s="118" t="s">
        <v>237</v>
      </c>
      <c r="M1160" s="118" t="s">
        <v>163</v>
      </c>
      <c r="N1160" s="25" t="str">
        <f>IF(AND('331-CT'!$E$7=TH!H1160,OR(L1160="331",M1160="331")),"331",IF(AND(OR(L1160="131",M1160="131"),H1160='131-CT'!$E$7),"131",""))</f>
        <v>131</v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/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>x</v>
      </c>
      <c r="Z1160" s="121"/>
    </row>
    <row r="1161" spans="1:26" ht="15.75" customHeight="1">
      <c r="A1161" s="125" t="str">
        <f>IF(B1161&lt;&gt;"",IF(AND(B1161&gt;=_TM1,B1161&lt;=_TM2,OR(TH!L1161="1111",TH!M1161="1111")),TH!D1161,""),"")</f>
        <v/>
      </c>
      <c r="B1161" s="11">
        <f t="shared" si="83"/>
        <v>7</v>
      </c>
      <c r="C1161" s="115">
        <v>40745</v>
      </c>
      <c r="D1161" s="115" t="s">
        <v>908</v>
      </c>
      <c r="E1161" s="115">
        <v>40745</v>
      </c>
      <c r="F1161" s="116" t="s">
        <v>727</v>
      </c>
      <c r="G1161" s="224" t="s">
        <v>1123</v>
      </c>
      <c r="H1161" s="117" t="s">
        <v>709</v>
      </c>
      <c r="I1161" s="141">
        <v>4</v>
      </c>
      <c r="J1161" s="141">
        <v>14010</v>
      </c>
      <c r="K1161" s="238">
        <v>56040</v>
      </c>
      <c r="L1161" s="118" t="s">
        <v>237</v>
      </c>
      <c r="M1161" s="118" t="s">
        <v>163</v>
      </c>
      <c r="N1161" s="25" t="str">
        <f>IF(AND('331-CT'!$E$7=TH!H1161,OR(L1161="331",M1161="331")),"331",IF(AND(OR(L1161="131",M1161="131"),H1161='131-CT'!$E$7),"131",""))</f>
        <v>131</v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>x</v>
      </c>
      <c r="Z1161" s="121"/>
    </row>
    <row r="1162" spans="1:26" ht="15.75" customHeight="1">
      <c r="A1162" s="125" t="str">
        <f>IF(B1162&lt;&gt;"",IF(AND(B1162&gt;=_TM1,B1162&lt;=_TM2,OR(TH!L1162="1111",TH!M1162="1111")),TH!D1162,""),"")</f>
        <v/>
      </c>
      <c r="B1162" s="11">
        <f t="shared" si="83"/>
        <v>7</v>
      </c>
      <c r="C1162" s="115">
        <v>40745</v>
      </c>
      <c r="D1162" s="115" t="s">
        <v>908</v>
      </c>
      <c r="E1162" s="115">
        <v>40745</v>
      </c>
      <c r="F1162" s="116" t="s">
        <v>1121</v>
      </c>
      <c r="G1162" s="224" t="s">
        <v>1123</v>
      </c>
      <c r="H1162" s="117" t="s">
        <v>709</v>
      </c>
      <c r="I1162" s="141"/>
      <c r="J1162" s="141"/>
      <c r="K1162" s="238">
        <f>301871-1</f>
        <v>301870</v>
      </c>
      <c r="L1162" s="118" t="s">
        <v>237</v>
      </c>
      <c r="M1162" s="118" t="s">
        <v>707</v>
      </c>
      <c r="N1162" s="25" t="str">
        <f>IF(AND('331-CT'!$E$7=TH!H1162,OR(L1162="331",M1162="331")),"331",IF(AND(OR(L1162="131",M1162="131"),H1162='131-CT'!$E$7),"131",""))</f>
        <v>131</v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>x</v>
      </c>
      <c r="Z1162" s="121"/>
    </row>
    <row r="1163" spans="1:26" ht="15.75" customHeight="1">
      <c r="A1163" s="125" t="str">
        <f>IF(B1163&lt;&gt;"",IF(AND(B1163&gt;=_TM1,B1163&lt;=_TM2,OR(TH!L1163="1111",TH!M1163="1111")),TH!D1163,""),"")</f>
        <v/>
      </c>
      <c r="B1163" s="11">
        <f t="shared" si="83"/>
        <v>7</v>
      </c>
      <c r="C1163" s="115">
        <v>40745</v>
      </c>
      <c r="D1163" s="115" t="s">
        <v>909</v>
      </c>
      <c r="E1163" s="115">
        <v>40745</v>
      </c>
      <c r="F1163" s="116" t="s">
        <v>953</v>
      </c>
      <c r="G1163" s="224" t="s">
        <v>1124</v>
      </c>
      <c r="H1163" s="117" t="s">
        <v>709</v>
      </c>
      <c r="I1163" s="141">
        <v>3</v>
      </c>
      <c r="J1163" s="141">
        <v>15054</v>
      </c>
      <c r="K1163" s="238">
        <v>45162</v>
      </c>
      <c r="L1163" s="118" t="s">
        <v>237</v>
      </c>
      <c r="M1163" s="118" t="s">
        <v>163</v>
      </c>
      <c r="N1163" s="25" t="str">
        <f>IF(AND('331-CT'!$E$7=TH!H1163,OR(L1163="331",M1163="331")),"331",IF(AND(OR(L1163="131",M1163="131"),H1163='131-CT'!$E$7),"131",""))</f>
        <v>131</v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>x</v>
      </c>
      <c r="Z1163" s="121"/>
    </row>
    <row r="1164" spans="1:26" ht="15.75" customHeight="1">
      <c r="A1164" s="125" t="str">
        <f>IF(B1164&lt;&gt;"",IF(AND(B1164&gt;=_TM1,B1164&lt;=_TM2,OR(TH!L1164="1111",TH!M1164="1111")),TH!D1164,""),"")</f>
        <v/>
      </c>
      <c r="B1164" s="11">
        <f t="shared" si="83"/>
        <v>7</v>
      </c>
      <c r="C1164" s="115">
        <v>40745</v>
      </c>
      <c r="D1164" s="115" t="s">
        <v>909</v>
      </c>
      <c r="E1164" s="115">
        <v>40745</v>
      </c>
      <c r="F1164" s="116" t="s">
        <v>728</v>
      </c>
      <c r="G1164" s="224" t="s">
        <v>1124</v>
      </c>
      <c r="H1164" s="117" t="s">
        <v>709</v>
      </c>
      <c r="I1164" s="141">
        <v>3</v>
      </c>
      <c r="J1164" s="141">
        <v>16284</v>
      </c>
      <c r="K1164" s="238">
        <v>48852</v>
      </c>
      <c r="L1164" s="118" t="s">
        <v>237</v>
      </c>
      <c r="M1164" s="118" t="s">
        <v>163</v>
      </c>
      <c r="N1164" s="25" t="str">
        <f>IF(AND('331-CT'!$E$7=TH!H1164,OR(L1164="331",M1164="331")),"331",IF(AND(OR(L1164="131",M1164="131"),H1164='131-CT'!$E$7),"131",""))</f>
        <v>131</v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>x</v>
      </c>
      <c r="Z1164" s="121"/>
    </row>
    <row r="1165" spans="1:26" ht="15.75" customHeight="1">
      <c r="A1165" s="125" t="str">
        <f>IF(B1165&lt;&gt;"",IF(AND(B1165&gt;=_TM1,B1165&lt;=_TM2,OR(TH!L1165="1111",TH!M1165="1111")),TH!D1165,""),"")</f>
        <v/>
      </c>
      <c r="B1165" s="11">
        <f t="shared" si="83"/>
        <v>7</v>
      </c>
      <c r="C1165" s="115">
        <v>40745</v>
      </c>
      <c r="D1165" s="115" t="s">
        <v>909</v>
      </c>
      <c r="E1165" s="115">
        <v>40745</v>
      </c>
      <c r="F1165" s="116" t="s">
        <v>954</v>
      </c>
      <c r="G1165" s="224" t="s">
        <v>1124</v>
      </c>
      <c r="H1165" s="117" t="s">
        <v>709</v>
      </c>
      <c r="I1165" s="141">
        <v>107</v>
      </c>
      <c r="J1165" s="141">
        <v>16832</v>
      </c>
      <c r="K1165" s="238">
        <v>1801024</v>
      </c>
      <c r="L1165" s="118" t="s">
        <v>237</v>
      </c>
      <c r="M1165" s="118" t="s">
        <v>163</v>
      </c>
      <c r="N1165" s="25" t="str">
        <f>IF(AND('331-CT'!$E$7=TH!H1165,OR(L1165="331",M1165="331")),"331",IF(AND(OR(L1165="131",M1165="131"),H1165='131-CT'!$E$7),"131",""))</f>
        <v>131</v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/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>x</v>
      </c>
      <c r="Z1165" s="121"/>
    </row>
    <row r="1166" spans="1:26" ht="15.75" customHeight="1">
      <c r="A1166" s="125" t="str">
        <f>IF(B1166&lt;&gt;"",IF(AND(B1166&gt;=_TM1,B1166&lt;=_TM2,OR(TH!L1166="1111",TH!M1166="1111")),TH!D1166,""),"")</f>
        <v/>
      </c>
      <c r="B1166" s="11">
        <f t="shared" si="83"/>
        <v>7</v>
      </c>
      <c r="C1166" s="115">
        <v>40745</v>
      </c>
      <c r="D1166" s="115" t="s">
        <v>909</v>
      </c>
      <c r="E1166" s="115">
        <v>40745</v>
      </c>
      <c r="F1166" s="116" t="s">
        <v>955</v>
      </c>
      <c r="G1166" s="224" t="s">
        <v>1124</v>
      </c>
      <c r="H1166" s="117" t="s">
        <v>709</v>
      </c>
      <c r="I1166" s="141">
        <v>83</v>
      </c>
      <c r="J1166" s="141">
        <v>11079</v>
      </c>
      <c r="K1166" s="238">
        <v>919557</v>
      </c>
      <c r="L1166" s="118" t="s">
        <v>237</v>
      </c>
      <c r="M1166" s="118" t="s">
        <v>163</v>
      </c>
      <c r="N1166" s="25" t="str">
        <f>IF(AND('331-CT'!$E$7=TH!H1166,OR(L1166="331",M1166="331")),"331",IF(AND(OR(L1166="131",M1166="131"),H1166='131-CT'!$E$7),"131",""))</f>
        <v>131</v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>x</v>
      </c>
      <c r="Z1166" s="121"/>
    </row>
    <row r="1167" spans="1:26" ht="15.75" customHeight="1">
      <c r="A1167" s="125" t="str">
        <f>IF(B1167&lt;&gt;"",IF(AND(B1167&gt;=_TM1,B1167&lt;=_TM2,OR(TH!L1167="1111",TH!M1167="1111")),TH!D1167,""),"")</f>
        <v/>
      </c>
      <c r="B1167" s="11">
        <f t="shared" si="83"/>
        <v>7</v>
      </c>
      <c r="C1167" s="115">
        <v>40745</v>
      </c>
      <c r="D1167" s="115" t="s">
        <v>909</v>
      </c>
      <c r="E1167" s="115">
        <v>40745</v>
      </c>
      <c r="F1167" s="116" t="s">
        <v>870</v>
      </c>
      <c r="G1167" s="224" t="s">
        <v>1124</v>
      </c>
      <c r="H1167" s="117" t="s">
        <v>709</v>
      </c>
      <c r="I1167" s="141">
        <v>51</v>
      </c>
      <c r="J1167" s="141">
        <v>8450</v>
      </c>
      <c r="K1167" s="238">
        <v>430950</v>
      </c>
      <c r="L1167" s="118" t="s">
        <v>237</v>
      </c>
      <c r="M1167" s="118" t="s">
        <v>163</v>
      </c>
      <c r="N1167" s="25" t="str">
        <f>IF(AND('331-CT'!$E$7=TH!H1167,OR(L1167="331",M1167="331")),"331",IF(AND(OR(L1167="131",M1167="131"),H1167='131-CT'!$E$7),"131",""))</f>
        <v>131</v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>x</v>
      </c>
      <c r="Z1167" s="121"/>
    </row>
    <row r="1168" spans="1:26" ht="15.75" customHeight="1">
      <c r="A1168" s="125" t="str">
        <f>IF(B1168&lt;&gt;"",IF(AND(B1168&gt;=_TM1,B1168&lt;=_TM2,OR(TH!L1168="1111",TH!M1168="1111")),TH!D1168,""),"")</f>
        <v/>
      </c>
      <c r="B1168" s="11">
        <f t="shared" si="83"/>
        <v>7</v>
      </c>
      <c r="C1168" s="115">
        <v>40745</v>
      </c>
      <c r="D1168" s="115" t="s">
        <v>909</v>
      </c>
      <c r="E1168" s="115">
        <v>40745</v>
      </c>
      <c r="F1168" s="116" t="s">
        <v>874</v>
      </c>
      <c r="G1168" s="224" t="s">
        <v>1124</v>
      </c>
      <c r="H1168" s="117" t="s">
        <v>709</v>
      </c>
      <c r="I1168" s="141">
        <v>90</v>
      </c>
      <c r="J1168" s="141">
        <v>9594</v>
      </c>
      <c r="K1168" s="238">
        <v>863460</v>
      </c>
      <c r="L1168" s="118" t="s">
        <v>237</v>
      </c>
      <c r="M1168" s="118" t="s">
        <v>163</v>
      </c>
      <c r="N1168" s="25" t="str">
        <f>IF(AND('331-CT'!$E$7=TH!H1168,OR(L1168="331",M1168="331")),"331",IF(AND(OR(L1168="131",M1168="131"),H1168='131-CT'!$E$7),"131",""))</f>
        <v>131</v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>x</v>
      </c>
      <c r="Z1168" s="121"/>
    </row>
    <row r="1169" spans="1:26" ht="15.75" customHeight="1">
      <c r="A1169" s="125" t="str">
        <f>IF(B1169&lt;&gt;"",IF(AND(B1169&gt;=_TM1,B1169&lt;=_TM2,OR(TH!L1169="1111",TH!M1169="1111")),TH!D1169,""),"")</f>
        <v/>
      </c>
      <c r="B1169" s="11">
        <f t="shared" si="83"/>
        <v>7</v>
      </c>
      <c r="C1169" s="115">
        <v>40745</v>
      </c>
      <c r="D1169" s="115" t="s">
        <v>909</v>
      </c>
      <c r="E1169" s="115">
        <v>40745</v>
      </c>
      <c r="F1169" s="116" t="s">
        <v>950</v>
      </c>
      <c r="G1169" s="224" t="s">
        <v>1124</v>
      </c>
      <c r="H1169" s="117" t="s">
        <v>709</v>
      </c>
      <c r="I1169" s="141">
        <v>669</v>
      </c>
      <c r="J1169" s="141">
        <v>14438</v>
      </c>
      <c r="K1169" s="238">
        <v>9659022</v>
      </c>
      <c r="L1169" s="118" t="s">
        <v>237</v>
      </c>
      <c r="M1169" s="118" t="s">
        <v>163</v>
      </c>
      <c r="N1169" s="25" t="str">
        <f>IF(AND('331-CT'!$E$7=TH!H1169,OR(L1169="331",M1169="331")),"331",IF(AND(OR(L1169="131",M1169="131"),H1169='131-CT'!$E$7),"131",""))</f>
        <v>131</v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>x</v>
      </c>
      <c r="Z1169" s="121"/>
    </row>
    <row r="1170" spans="1:26" ht="15.75" customHeight="1">
      <c r="A1170" s="125" t="str">
        <f>IF(B1170&lt;&gt;"",IF(AND(B1170&gt;=_TM1,B1170&lt;=_TM2,OR(TH!L1170="1111",TH!M1170="1111")),TH!D1170,""),"")</f>
        <v/>
      </c>
      <c r="B1170" s="11">
        <f t="shared" si="83"/>
        <v>7</v>
      </c>
      <c r="C1170" s="115">
        <v>40745</v>
      </c>
      <c r="D1170" s="115" t="s">
        <v>909</v>
      </c>
      <c r="E1170" s="115">
        <v>40745</v>
      </c>
      <c r="F1170" s="116" t="s">
        <v>722</v>
      </c>
      <c r="G1170" s="224" t="s">
        <v>1124</v>
      </c>
      <c r="H1170" s="117" t="s">
        <v>709</v>
      </c>
      <c r="I1170" s="141">
        <v>176</v>
      </c>
      <c r="J1170" s="141">
        <v>10595</v>
      </c>
      <c r="K1170" s="238">
        <v>1864720</v>
      </c>
      <c r="L1170" s="118" t="s">
        <v>237</v>
      </c>
      <c r="M1170" s="118" t="s">
        <v>163</v>
      </c>
      <c r="N1170" s="25" t="str">
        <f>IF(AND('331-CT'!$E$7=TH!H1170,OR(L1170="331",M1170="331")),"331",IF(AND(OR(L1170="131",M1170="131"),H1170='131-CT'!$E$7),"131",""))</f>
        <v>131</v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>x</v>
      </c>
      <c r="Z1170" s="121"/>
    </row>
    <row r="1171" spans="1:26" ht="15.75" customHeight="1">
      <c r="A1171" s="125" t="str">
        <f>IF(B1171&lt;&gt;"",IF(AND(B1171&gt;=_TM1,B1171&lt;=_TM2,OR(TH!L1171="1111",TH!M1171="1111")),TH!D1171,""),"")</f>
        <v/>
      </c>
      <c r="B1171" s="11">
        <f t="shared" si="83"/>
        <v>7</v>
      </c>
      <c r="C1171" s="115">
        <v>40745</v>
      </c>
      <c r="D1171" s="115" t="s">
        <v>909</v>
      </c>
      <c r="E1171" s="115">
        <v>40745</v>
      </c>
      <c r="F1171" s="116" t="s">
        <v>1121</v>
      </c>
      <c r="G1171" s="224" t="s">
        <v>1124</v>
      </c>
      <c r="H1171" s="117" t="s">
        <v>709</v>
      </c>
      <c r="I1171" s="141"/>
      <c r="J1171" s="141"/>
      <c r="K1171" s="238">
        <v>1563275</v>
      </c>
      <c r="L1171" s="118" t="s">
        <v>237</v>
      </c>
      <c r="M1171" s="118" t="s">
        <v>707</v>
      </c>
      <c r="N1171" s="25" t="str">
        <f>IF(AND('331-CT'!$E$7=TH!H1171,OR(L1171="331",M1171="331")),"331",IF(AND(OR(L1171="131",M1171="131"),H1171='131-CT'!$E$7),"131",""))</f>
        <v>131</v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/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>x</v>
      </c>
      <c r="Z1171" s="121"/>
    </row>
    <row r="1172" spans="1:26" ht="15.75" customHeight="1">
      <c r="A1172" s="125" t="str">
        <f>IF(B1172&lt;&gt;"",IF(AND(B1172&gt;=_TM1,B1172&lt;=_TM2,OR(TH!L1172="1111",TH!M1172="1111")),TH!D1172,""),"")</f>
        <v/>
      </c>
      <c r="B1172" s="11">
        <f t="shared" si="83"/>
        <v>7</v>
      </c>
      <c r="C1172" s="12">
        <f t="shared" ref="C1172:C1204" si="88">E1172</f>
        <v>40745</v>
      </c>
      <c r="D1172" s="12" t="s">
        <v>904</v>
      </c>
      <c r="E1172" s="12">
        <v>40745</v>
      </c>
      <c r="F1172" s="15" t="s">
        <v>365</v>
      </c>
      <c r="G1172" s="15"/>
      <c r="H1172" s="242" t="s">
        <v>1037</v>
      </c>
      <c r="I1172" s="141">
        <v>50</v>
      </c>
      <c r="J1172" s="141">
        <v>24000</v>
      </c>
      <c r="K1172" s="238">
        <f t="shared" ref="K1172:K1204" si="89">ROUND(I1172*J1172,0)</f>
        <v>1200000</v>
      </c>
      <c r="L1172" s="14" t="s">
        <v>153</v>
      </c>
      <c r="M1172" s="14" t="s">
        <v>149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/>
      </c>
      <c r="X1172" s="25" t="str">
        <f>IF(AND(OR(LEFT(TH!L1172,2)="15",LEFT(TH!M1172,2)="15"),TK!$E$7=TH!F1172),"x","")</f>
        <v>x</v>
      </c>
      <c r="Y1172" s="25" t="str">
        <f>IF(AND(B1172&lt;=NKC!$N$8,B1172&gt;=NKC!$M$8),"x","")</f>
        <v>x</v>
      </c>
      <c r="Z1172" s="121"/>
    </row>
    <row r="1173" spans="1:26" ht="15.75" customHeight="1">
      <c r="A1173" s="125" t="str">
        <f>IF(B1173&lt;&gt;"",IF(AND(B1173&gt;=_TM1,B1173&lt;=_TM2,OR(TH!L1173="1111",TH!M1173="1111")),TH!D1173,""),"")</f>
        <v/>
      </c>
      <c r="B1173" s="11">
        <f t="shared" si="83"/>
        <v>7</v>
      </c>
      <c r="C1173" s="12">
        <f t="shared" si="88"/>
        <v>40745</v>
      </c>
      <c r="D1173" s="12" t="s">
        <v>1060</v>
      </c>
      <c r="E1173" s="12">
        <v>40745</v>
      </c>
      <c r="F1173" s="15" t="s">
        <v>723</v>
      </c>
      <c r="G1173" s="15"/>
      <c r="H1173" s="242" t="s">
        <v>1037</v>
      </c>
      <c r="I1173" s="141">
        <v>5</v>
      </c>
      <c r="J1173" s="141">
        <v>10373.798735153479</v>
      </c>
      <c r="K1173" s="238">
        <f t="shared" si="89"/>
        <v>51869</v>
      </c>
      <c r="L1173" s="14" t="s">
        <v>155</v>
      </c>
      <c r="M1173" s="14" t="s">
        <v>153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>x</v>
      </c>
      <c r="Z1173" s="121"/>
    </row>
    <row r="1174" spans="1:26" ht="15.75" customHeight="1">
      <c r="A1174" s="125" t="str">
        <f>IF(B1174&lt;&gt;"",IF(AND(B1174&gt;=_TM1,B1174&lt;=_TM2,OR(TH!L1174="1111",TH!M1174="1111")),TH!D1174,""),"")</f>
        <v/>
      </c>
      <c r="B1174" s="11">
        <f t="shared" ref="B1174:B1237" si="90">IF(C1174&lt;&gt;"",MONTH(C1174),"")</f>
        <v>7</v>
      </c>
      <c r="C1174" s="12">
        <f t="shared" si="88"/>
        <v>40745</v>
      </c>
      <c r="D1174" s="12" t="s">
        <v>1060</v>
      </c>
      <c r="E1174" s="12">
        <v>40745</v>
      </c>
      <c r="F1174" s="15" t="s">
        <v>724</v>
      </c>
      <c r="G1174" s="15"/>
      <c r="H1174" s="242" t="s">
        <v>1037</v>
      </c>
      <c r="I1174" s="141">
        <v>1</v>
      </c>
      <c r="J1174" s="141">
        <v>10374.398735153478</v>
      </c>
      <c r="K1174" s="238">
        <f t="shared" si="89"/>
        <v>10374</v>
      </c>
      <c r="L1174" s="14" t="s">
        <v>155</v>
      </c>
      <c r="M1174" s="14" t="s">
        <v>153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>x</v>
      </c>
      <c r="Z1174" s="121"/>
    </row>
    <row r="1175" spans="1:26" ht="15.75" customHeight="1">
      <c r="A1175" s="125" t="str">
        <f>IF(B1175&lt;&gt;"",IF(AND(B1175&gt;=_TM1,B1175&lt;=_TM2,OR(TH!L1175="1111",TH!M1175="1111")),TH!D1175,""),"")</f>
        <v/>
      </c>
      <c r="B1175" s="11">
        <f t="shared" si="90"/>
        <v>7</v>
      </c>
      <c r="C1175" s="12">
        <f t="shared" si="88"/>
        <v>40745</v>
      </c>
      <c r="D1175" s="12" t="s">
        <v>1060</v>
      </c>
      <c r="E1175" s="12">
        <v>40745</v>
      </c>
      <c r="F1175" s="15" t="s">
        <v>725</v>
      </c>
      <c r="G1175" s="15"/>
      <c r="H1175" s="242" t="s">
        <v>1037</v>
      </c>
      <c r="I1175" s="141">
        <v>1</v>
      </c>
      <c r="J1175" s="141">
        <v>10309.398735153478</v>
      </c>
      <c r="K1175" s="238">
        <f t="shared" si="89"/>
        <v>10309</v>
      </c>
      <c r="L1175" s="14" t="s">
        <v>155</v>
      </c>
      <c r="M1175" s="14" t="s">
        <v>153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>x</v>
      </c>
      <c r="Z1175" s="121"/>
    </row>
    <row r="1176" spans="1:26" ht="15.75" customHeight="1">
      <c r="A1176" s="125" t="str">
        <f>IF(B1176&lt;&gt;"",IF(AND(B1176&gt;=_TM1,B1176&lt;=_TM2,OR(TH!L1176="1111",TH!M1176="1111")),TH!D1176,""),"")</f>
        <v/>
      </c>
      <c r="B1176" s="11">
        <f t="shared" si="90"/>
        <v>7</v>
      </c>
      <c r="C1176" s="12">
        <f t="shared" si="88"/>
        <v>40745</v>
      </c>
      <c r="D1176" s="12" t="s">
        <v>1060</v>
      </c>
      <c r="E1176" s="12">
        <v>40745</v>
      </c>
      <c r="F1176" s="15" t="s">
        <v>950</v>
      </c>
      <c r="G1176" s="15"/>
      <c r="H1176" s="242" t="s">
        <v>1037</v>
      </c>
      <c r="I1176" s="141">
        <v>18</v>
      </c>
      <c r="J1176" s="141">
        <v>14175.39873515348</v>
      </c>
      <c r="K1176" s="238">
        <f t="shared" si="89"/>
        <v>255157</v>
      </c>
      <c r="L1176" s="14" t="s">
        <v>155</v>
      </c>
      <c r="M1176" s="14" t="s">
        <v>153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>x</v>
      </c>
      <c r="Z1176" s="121"/>
    </row>
    <row r="1177" spans="1:26" ht="15.75" customHeight="1">
      <c r="A1177" s="125" t="str">
        <f>IF(B1177&lt;&gt;"",IF(AND(B1177&gt;=_TM1,B1177&lt;=_TM2,OR(TH!L1177="1111",TH!M1177="1111")),TH!D1177,""),"")</f>
        <v/>
      </c>
      <c r="B1177" s="11">
        <f t="shared" si="90"/>
        <v>7</v>
      </c>
      <c r="C1177" s="12">
        <f t="shared" si="88"/>
        <v>40745</v>
      </c>
      <c r="D1177" s="12" t="s">
        <v>1060</v>
      </c>
      <c r="E1177" s="12">
        <v>40745</v>
      </c>
      <c r="F1177" s="15" t="s">
        <v>726</v>
      </c>
      <c r="G1177" s="15"/>
      <c r="H1177" s="242" t="s">
        <v>1037</v>
      </c>
      <c r="I1177" s="141">
        <v>166</v>
      </c>
      <c r="J1177" s="141">
        <v>13625.398735153478</v>
      </c>
      <c r="K1177" s="238">
        <f t="shared" si="89"/>
        <v>2261816</v>
      </c>
      <c r="L1177" s="14" t="s">
        <v>155</v>
      </c>
      <c r="M1177" s="14" t="s">
        <v>153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>x</v>
      </c>
      <c r="Z1177" s="121"/>
    </row>
    <row r="1178" spans="1:26" ht="15.75" customHeight="1">
      <c r="A1178" s="125" t="str">
        <f>IF(B1178&lt;&gt;"",IF(AND(B1178&gt;=_TM1,B1178&lt;=_TM2,OR(TH!L1178="1111",TH!M1178="1111")),TH!D1178,""),"")</f>
        <v/>
      </c>
      <c r="B1178" s="11">
        <f t="shared" si="90"/>
        <v>7</v>
      </c>
      <c r="C1178" s="12">
        <f t="shared" si="88"/>
        <v>40745</v>
      </c>
      <c r="D1178" s="12" t="s">
        <v>1060</v>
      </c>
      <c r="E1178" s="12">
        <v>40745</v>
      </c>
      <c r="F1178" s="116" t="s">
        <v>1242</v>
      </c>
      <c r="G1178" s="15"/>
      <c r="H1178" s="242" t="s">
        <v>1037</v>
      </c>
      <c r="I1178" s="141">
        <v>2</v>
      </c>
      <c r="J1178" s="141">
        <v>9362.3987351534779</v>
      </c>
      <c r="K1178" s="238">
        <f t="shared" si="89"/>
        <v>18725</v>
      </c>
      <c r="L1178" s="14" t="s">
        <v>155</v>
      </c>
      <c r="M1178" s="14" t="s">
        <v>153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>x</v>
      </c>
      <c r="Z1178" s="121"/>
    </row>
    <row r="1179" spans="1:26" ht="15.75" customHeight="1">
      <c r="A1179" s="125" t="str">
        <f>IF(B1179&lt;&gt;"",IF(AND(B1179&gt;=_TM1,B1179&lt;=_TM2,OR(TH!L1179="1111",TH!M1179="1111")),TH!D1179,""),"")</f>
        <v/>
      </c>
      <c r="B1179" s="11">
        <f t="shared" si="90"/>
        <v>7</v>
      </c>
      <c r="C1179" s="12">
        <f t="shared" si="88"/>
        <v>40745</v>
      </c>
      <c r="D1179" s="12" t="s">
        <v>1060</v>
      </c>
      <c r="E1179" s="12">
        <v>40745</v>
      </c>
      <c r="F1179" s="15" t="s">
        <v>952</v>
      </c>
      <c r="G1179" s="15"/>
      <c r="H1179" s="242" t="s">
        <v>1037</v>
      </c>
      <c r="I1179" s="141">
        <v>1</v>
      </c>
      <c r="J1179" s="141">
        <v>10374.398735153478</v>
      </c>
      <c r="K1179" s="238">
        <f t="shared" si="89"/>
        <v>10374</v>
      </c>
      <c r="L1179" s="14" t="s">
        <v>155</v>
      </c>
      <c r="M1179" s="14" t="s">
        <v>153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>x</v>
      </c>
      <c r="Z1179" s="121"/>
    </row>
    <row r="1180" spans="1:26" ht="15.75" customHeight="1">
      <c r="A1180" s="125" t="str">
        <f>IF(B1180&lt;&gt;"",IF(AND(B1180&gt;=_TM1,B1180&lt;=_TM2,OR(TH!L1180="1111",TH!M1180="1111")),TH!D1180,""),"")</f>
        <v/>
      </c>
      <c r="B1180" s="11">
        <f t="shared" si="90"/>
        <v>7</v>
      </c>
      <c r="C1180" s="12">
        <f t="shared" si="88"/>
        <v>40745</v>
      </c>
      <c r="D1180" s="12" t="s">
        <v>1060</v>
      </c>
      <c r="E1180" s="12">
        <v>40745</v>
      </c>
      <c r="F1180" s="15" t="s">
        <v>727</v>
      </c>
      <c r="G1180" s="15"/>
      <c r="H1180" s="242" t="s">
        <v>1037</v>
      </c>
      <c r="I1180" s="141">
        <v>4</v>
      </c>
      <c r="J1180" s="141">
        <v>12825.398735153478</v>
      </c>
      <c r="K1180" s="238">
        <f t="shared" si="89"/>
        <v>51302</v>
      </c>
      <c r="L1180" s="14" t="s">
        <v>155</v>
      </c>
      <c r="M1180" s="14" t="s">
        <v>153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>x</v>
      </c>
      <c r="Z1180" s="121"/>
    </row>
    <row r="1181" spans="1:26" ht="15.75" customHeight="1">
      <c r="A1181" s="125" t="str">
        <f>IF(B1181&lt;&gt;"",IF(AND(B1181&gt;=_TM1,B1181&lt;=_TM2,OR(TH!L1181="1111",TH!M1181="1111")),TH!D1181,""),"")</f>
        <v/>
      </c>
      <c r="B1181" s="11">
        <f t="shared" si="90"/>
        <v>7</v>
      </c>
      <c r="C1181" s="12">
        <f t="shared" si="88"/>
        <v>40745</v>
      </c>
      <c r="D1181" s="12" t="s">
        <v>1060</v>
      </c>
      <c r="E1181" s="12">
        <v>40745</v>
      </c>
      <c r="F1181" s="15" t="s">
        <v>953</v>
      </c>
      <c r="G1181" s="15"/>
      <c r="H1181" s="242" t="s">
        <v>1037</v>
      </c>
      <c r="I1181" s="141">
        <v>3</v>
      </c>
      <c r="J1181" s="141">
        <v>14080.398735153476</v>
      </c>
      <c r="K1181" s="238">
        <f t="shared" si="89"/>
        <v>42241</v>
      </c>
      <c r="L1181" s="14" t="s">
        <v>155</v>
      </c>
      <c r="M1181" s="14" t="s">
        <v>153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>x</v>
      </c>
      <c r="Z1181" s="121"/>
    </row>
    <row r="1182" spans="1:26" ht="15.75" customHeight="1">
      <c r="A1182" s="125" t="str">
        <f>IF(B1182&lt;&gt;"",IF(AND(B1182&gt;=_TM1,B1182&lt;=_TM2,OR(TH!L1182="1111",TH!M1182="1111")),TH!D1182,""),"")</f>
        <v/>
      </c>
      <c r="B1182" s="11">
        <f t="shared" si="90"/>
        <v>7</v>
      </c>
      <c r="C1182" s="12">
        <f t="shared" si="88"/>
        <v>40745</v>
      </c>
      <c r="D1182" s="12" t="s">
        <v>1061</v>
      </c>
      <c r="E1182" s="12">
        <v>40745</v>
      </c>
      <c r="F1182" s="15" t="s">
        <v>728</v>
      </c>
      <c r="G1182" s="15"/>
      <c r="H1182" s="242" t="s">
        <v>1037</v>
      </c>
      <c r="I1182" s="141">
        <v>3</v>
      </c>
      <c r="J1182" s="141">
        <v>14080.398735153476</v>
      </c>
      <c r="K1182" s="238">
        <f t="shared" si="89"/>
        <v>42241</v>
      </c>
      <c r="L1182" s="14" t="s">
        <v>155</v>
      </c>
      <c r="M1182" s="14" t="s">
        <v>153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>x</v>
      </c>
      <c r="Z1182" s="121"/>
    </row>
    <row r="1183" spans="1:26" ht="15.75" customHeight="1">
      <c r="A1183" s="125" t="str">
        <f>IF(B1183&lt;&gt;"",IF(AND(B1183&gt;=_TM1,B1183&lt;=_TM2,OR(TH!L1183="1111",TH!M1183="1111")),TH!D1183,""),"")</f>
        <v/>
      </c>
      <c r="B1183" s="11">
        <f t="shared" si="90"/>
        <v>7</v>
      </c>
      <c r="C1183" s="12">
        <f t="shared" si="88"/>
        <v>40745</v>
      </c>
      <c r="D1183" s="12" t="s">
        <v>1061</v>
      </c>
      <c r="E1183" s="12">
        <v>40745</v>
      </c>
      <c r="F1183" s="15" t="s">
        <v>954</v>
      </c>
      <c r="G1183" s="15"/>
      <c r="H1183" s="242" t="s">
        <v>1037</v>
      </c>
      <c r="I1183" s="141">
        <v>107</v>
      </c>
      <c r="J1183" s="141">
        <v>13731.968828611421</v>
      </c>
      <c r="K1183" s="238">
        <f t="shared" si="89"/>
        <v>1469321</v>
      </c>
      <c r="L1183" s="14" t="s">
        <v>155</v>
      </c>
      <c r="M1183" s="14" t="s">
        <v>153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>x</v>
      </c>
      <c r="Z1183" s="121"/>
    </row>
    <row r="1184" spans="1:26" ht="15.75" customHeight="1">
      <c r="A1184" s="125" t="str">
        <f>IF(B1184&lt;&gt;"",IF(AND(B1184&gt;=_TM1,B1184&lt;=_TM2,OR(TH!L1184="1111",TH!M1184="1111")),TH!D1184,""),"")</f>
        <v/>
      </c>
      <c r="B1184" s="11">
        <f t="shared" si="90"/>
        <v>7</v>
      </c>
      <c r="C1184" s="12">
        <f t="shared" si="88"/>
        <v>40745</v>
      </c>
      <c r="D1184" s="12" t="s">
        <v>1061</v>
      </c>
      <c r="E1184" s="12">
        <v>40745</v>
      </c>
      <c r="F1184" s="15" t="s">
        <v>955</v>
      </c>
      <c r="G1184" s="15"/>
      <c r="H1184" s="242" t="s">
        <v>1037</v>
      </c>
      <c r="I1184" s="141">
        <v>83</v>
      </c>
      <c r="J1184" s="141">
        <v>10606.651747201671</v>
      </c>
      <c r="K1184" s="238">
        <f t="shared" si="89"/>
        <v>880352</v>
      </c>
      <c r="L1184" s="14" t="s">
        <v>155</v>
      </c>
      <c r="M1184" s="14" t="s">
        <v>153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>x</v>
      </c>
      <c r="Z1184" s="121"/>
    </row>
    <row r="1185" spans="1:26" ht="15.75" customHeight="1">
      <c r="A1185" s="125" t="str">
        <f>IF(B1185&lt;&gt;"",IF(AND(B1185&gt;=_TM1,B1185&lt;=_TM2,OR(TH!L1185="1111",TH!M1185="1111")),TH!D1185,""),"")</f>
        <v/>
      </c>
      <c r="B1185" s="11">
        <f t="shared" si="90"/>
        <v>7</v>
      </c>
      <c r="C1185" s="12">
        <f t="shared" si="88"/>
        <v>40745</v>
      </c>
      <c r="D1185" s="12" t="s">
        <v>1061</v>
      </c>
      <c r="E1185" s="12">
        <v>40745</v>
      </c>
      <c r="F1185" s="116" t="s">
        <v>870</v>
      </c>
      <c r="G1185" s="15"/>
      <c r="H1185" s="242" t="s">
        <v>1037</v>
      </c>
      <c r="I1185" s="141">
        <v>51</v>
      </c>
      <c r="J1185" s="141">
        <v>7394.3987351534797</v>
      </c>
      <c r="K1185" s="238">
        <f t="shared" si="89"/>
        <v>377114</v>
      </c>
      <c r="L1185" s="14" t="s">
        <v>155</v>
      </c>
      <c r="M1185" s="14" t="s">
        <v>153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>x</v>
      </c>
      <c r="Z1185" s="121"/>
    </row>
    <row r="1186" spans="1:26" ht="15.75" customHeight="1">
      <c r="A1186" s="125" t="str">
        <f>IF(B1186&lt;&gt;"",IF(AND(B1186&gt;=_TM1,B1186&lt;=_TM2,OR(TH!L1186="1111",TH!M1186="1111")),TH!D1186,""),"")</f>
        <v/>
      </c>
      <c r="B1186" s="11">
        <f t="shared" si="90"/>
        <v>7</v>
      </c>
      <c r="C1186" s="12">
        <f t="shared" si="88"/>
        <v>40745</v>
      </c>
      <c r="D1186" s="12" t="s">
        <v>1061</v>
      </c>
      <c r="E1186" s="12">
        <v>40745</v>
      </c>
      <c r="F1186" s="116" t="s">
        <v>874</v>
      </c>
      <c r="G1186" s="15"/>
      <c r="H1186" s="242" t="s">
        <v>1037</v>
      </c>
      <c r="I1186" s="141">
        <v>90</v>
      </c>
      <c r="J1186" s="141">
        <v>8248.3987351534779</v>
      </c>
      <c r="K1186" s="238">
        <f t="shared" si="89"/>
        <v>742356</v>
      </c>
      <c r="L1186" s="14" t="s">
        <v>155</v>
      </c>
      <c r="M1186" s="14" t="s">
        <v>153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/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>x</v>
      </c>
      <c r="Z1186" s="121"/>
    </row>
    <row r="1187" spans="1:26" ht="15.75" customHeight="1">
      <c r="A1187" s="125" t="str">
        <f>IF(B1187&lt;&gt;"",IF(AND(B1187&gt;=_TM1,B1187&lt;=_TM2,OR(TH!L1187="1111",TH!M1187="1111")),TH!D1187,""),"")</f>
        <v/>
      </c>
      <c r="B1187" s="11">
        <f t="shared" si="90"/>
        <v>7</v>
      </c>
      <c r="C1187" s="12">
        <f t="shared" si="88"/>
        <v>40745</v>
      </c>
      <c r="D1187" s="12" t="s">
        <v>1061</v>
      </c>
      <c r="E1187" s="12">
        <v>40745</v>
      </c>
      <c r="F1187" s="15" t="s">
        <v>950</v>
      </c>
      <c r="G1187" s="15"/>
      <c r="H1187" s="242" t="s">
        <v>1037</v>
      </c>
      <c r="I1187" s="141">
        <v>669</v>
      </c>
      <c r="J1187" s="141">
        <v>12965.933862208785</v>
      </c>
      <c r="K1187" s="238">
        <f t="shared" si="89"/>
        <v>8674210</v>
      </c>
      <c r="L1187" s="14" t="s">
        <v>155</v>
      </c>
      <c r="M1187" s="14" t="s">
        <v>153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>x</v>
      </c>
      <c r="Z1187" s="121"/>
    </row>
    <row r="1188" spans="1:26" ht="15.75" customHeight="1">
      <c r="A1188" s="125" t="str">
        <f>IF(B1188&lt;&gt;"",IF(AND(B1188&gt;=_TM1,B1188&lt;=_TM2,OR(TH!L1188="1111",TH!M1188="1111")),TH!D1188,""),"")</f>
        <v/>
      </c>
      <c r="B1188" s="11">
        <f t="shared" si="90"/>
        <v>7</v>
      </c>
      <c r="C1188" s="12">
        <f t="shared" si="88"/>
        <v>40745</v>
      </c>
      <c r="D1188" s="12" t="s">
        <v>1061</v>
      </c>
      <c r="E1188" s="12">
        <v>40745</v>
      </c>
      <c r="F1188" s="15" t="s">
        <v>722</v>
      </c>
      <c r="G1188" s="15"/>
      <c r="H1188" s="242" t="s">
        <v>1037</v>
      </c>
      <c r="I1188" s="141">
        <v>176</v>
      </c>
      <c r="J1188" s="141">
        <v>8248.3987351534761</v>
      </c>
      <c r="K1188" s="238">
        <f t="shared" si="89"/>
        <v>1451718</v>
      </c>
      <c r="L1188" s="14" t="s">
        <v>155</v>
      </c>
      <c r="M1188" s="14" t="s">
        <v>153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>x</v>
      </c>
      <c r="Z1188" s="121"/>
    </row>
    <row r="1189" spans="1:26" ht="15.75" customHeight="1">
      <c r="A1189" s="125" t="str">
        <f>IF(B1189&lt;&gt;"",IF(AND(B1189&gt;=_TM1,B1189&lt;=_TM2,OR(TH!L1189="1111",TH!M1189="1111")),TH!D1189,""),"")</f>
        <v/>
      </c>
      <c r="B1189" s="11">
        <f t="shared" si="90"/>
        <v>7</v>
      </c>
      <c r="C1189" s="12">
        <f t="shared" si="88"/>
        <v>40745</v>
      </c>
      <c r="D1189" s="12" t="s">
        <v>908</v>
      </c>
      <c r="E1189" s="12">
        <v>40745</v>
      </c>
      <c r="F1189" s="15" t="s">
        <v>723</v>
      </c>
      <c r="G1189" s="15" t="s">
        <v>1123</v>
      </c>
      <c r="H1189" s="242" t="s">
        <v>709</v>
      </c>
      <c r="I1189" s="141">
        <v>5</v>
      </c>
      <c r="J1189" s="141">
        <v>10373.798735153479</v>
      </c>
      <c r="K1189" s="238">
        <f t="shared" si="89"/>
        <v>51869</v>
      </c>
      <c r="L1189" s="14" t="s">
        <v>161</v>
      </c>
      <c r="M1189" s="14" t="s">
        <v>155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>x</v>
      </c>
      <c r="Z1189" s="121"/>
    </row>
    <row r="1190" spans="1:26" ht="15.75" customHeight="1">
      <c r="A1190" s="125" t="str">
        <f>IF(B1190&lt;&gt;"",IF(AND(B1190&gt;=_TM1,B1190&lt;=_TM2,OR(TH!L1190="1111",TH!M1190="1111")),TH!D1190,""),"")</f>
        <v/>
      </c>
      <c r="B1190" s="11">
        <f t="shared" si="90"/>
        <v>7</v>
      </c>
      <c r="C1190" s="12">
        <f t="shared" si="88"/>
        <v>40745</v>
      </c>
      <c r="D1190" s="12" t="s">
        <v>908</v>
      </c>
      <c r="E1190" s="12">
        <v>40745</v>
      </c>
      <c r="F1190" s="15" t="s">
        <v>724</v>
      </c>
      <c r="G1190" s="15" t="s">
        <v>1123</v>
      </c>
      <c r="H1190" s="242" t="s">
        <v>709</v>
      </c>
      <c r="I1190" s="141">
        <v>1</v>
      </c>
      <c r="J1190" s="141">
        <v>10374.398735153478</v>
      </c>
      <c r="K1190" s="238">
        <f t="shared" si="89"/>
        <v>10374</v>
      </c>
      <c r="L1190" s="14" t="s">
        <v>161</v>
      </c>
      <c r="M1190" s="14" t="s">
        <v>155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>x</v>
      </c>
      <c r="Z1190" s="121"/>
    </row>
    <row r="1191" spans="1:26" ht="15.75" customHeight="1">
      <c r="A1191" s="125" t="str">
        <f>IF(B1191&lt;&gt;"",IF(AND(B1191&gt;=_TM1,B1191&lt;=_TM2,OR(TH!L1191="1111",TH!M1191="1111")),TH!D1191,""),"")</f>
        <v/>
      </c>
      <c r="B1191" s="11">
        <f t="shared" si="90"/>
        <v>7</v>
      </c>
      <c r="C1191" s="12">
        <f t="shared" si="88"/>
        <v>40745</v>
      </c>
      <c r="D1191" s="12" t="s">
        <v>908</v>
      </c>
      <c r="E1191" s="12">
        <v>40745</v>
      </c>
      <c r="F1191" s="15" t="s">
        <v>725</v>
      </c>
      <c r="G1191" s="15" t="s">
        <v>1123</v>
      </c>
      <c r="H1191" s="242" t="s">
        <v>709</v>
      </c>
      <c r="I1191" s="141">
        <v>1</v>
      </c>
      <c r="J1191" s="141">
        <v>10309.398735153478</v>
      </c>
      <c r="K1191" s="238">
        <f t="shared" si="89"/>
        <v>10309</v>
      </c>
      <c r="L1191" s="14" t="s">
        <v>161</v>
      </c>
      <c r="M1191" s="14" t="s">
        <v>155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>x</v>
      </c>
      <c r="Z1191" s="121"/>
    </row>
    <row r="1192" spans="1:26" ht="15.75" customHeight="1">
      <c r="A1192" s="125" t="str">
        <f>IF(B1192&lt;&gt;"",IF(AND(B1192&gt;=_TM1,B1192&lt;=_TM2,OR(TH!L1192="1111",TH!M1192="1111")),TH!D1192,""),"")</f>
        <v/>
      </c>
      <c r="B1192" s="11">
        <f t="shared" si="90"/>
        <v>7</v>
      </c>
      <c r="C1192" s="12">
        <f t="shared" si="88"/>
        <v>40745</v>
      </c>
      <c r="D1192" s="12" t="s">
        <v>908</v>
      </c>
      <c r="E1192" s="12">
        <v>40745</v>
      </c>
      <c r="F1192" s="15" t="s">
        <v>950</v>
      </c>
      <c r="G1192" s="15" t="s">
        <v>1123</v>
      </c>
      <c r="H1192" s="242" t="s">
        <v>709</v>
      </c>
      <c r="I1192" s="141">
        <v>18</v>
      </c>
      <c r="J1192" s="141">
        <v>14175.39873515348</v>
      </c>
      <c r="K1192" s="238">
        <f t="shared" si="89"/>
        <v>255157</v>
      </c>
      <c r="L1192" s="14" t="s">
        <v>161</v>
      </c>
      <c r="M1192" s="14" t="s">
        <v>155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>x</v>
      </c>
      <c r="Z1192" s="121"/>
    </row>
    <row r="1193" spans="1:26" ht="15.75" customHeight="1">
      <c r="A1193" s="125" t="str">
        <f>IF(B1193&lt;&gt;"",IF(AND(B1193&gt;=_TM1,B1193&lt;=_TM2,OR(TH!L1193="1111",TH!M1193="1111")),TH!D1193,""),"")</f>
        <v/>
      </c>
      <c r="B1193" s="11">
        <f t="shared" si="90"/>
        <v>7</v>
      </c>
      <c r="C1193" s="12">
        <f t="shared" si="88"/>
        <v>40745</v>
      </c>
      <c r="D1193" s="12" t="s">
        <v>908</v>
      </c>
      <c r="E1193" s="12">
        <v>40745</v>
      </c>
      <c r="F1193" s="15" t="s">
        <v>726</v>
      </c>
      <c r="G1193" s="15" t="s">
        <v>1123</v>
      </c>
      <c r="H1193" s="242" t="s">
        <v>709</v>
      </c>
      <c r="I1193" s="141">
        <v>166</v>
      </c>
      <c r="J1193" s="141">
        <v>13625.398735153478</v>
      </c>
      <c r="K1193" s="238">
        <f t="shared" si="89"/>
        <v>2261816</v>
      </c>
      <c r="L1193" s="14" t="s">
        <v>161</v>
      </c>
      <c r="M1193" s="14" t="s">
        <v>155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>x</v>
      </c>
      <c r="Z1193" s="121"/>
    </row>
    <row r="1194" spans="1:26" ht="15.75" customHeight="1">
      <c r="A1194" s="125" t="str">
        <f>IF(B1194&lt;&gt;"",IF(AND(B1194&gt;=_TM1,B1194&lt;=_TM2,OR(TH!L1194="1111",TH!M1194="1111")),TH!D1194,""),"")</f>
        <v/>
      </c>
      <c r="B1194" s="11">
        <f t="shared" si="90"/>
        <v>7</v>
      </c>
      <c r="C1194" s="12">
        <f t="shared" si="88"/>
        <v>40745</v>
      </c>
      <c r="D1194" s="12" t="s">
        <v>908</v>
      </c>
      <c r="E1194" s="12">
        <v>40745</v>
      </c>
      <c r="F1194" s="116" t="s">
        <v>1242</v>
      </c>
      <c r="G1194" s="15" t="s">
        <v>1123</v>
      </c>
      <c r="H1194" s="242" t="s">
        <v>709</v>
      </c>
      <c r="I1194" s="141">
        <v>2</v>
      </c>
      <c r="J1194" s="141">
        <v>9362.3987351534779</v>
      </c>
      <c r="K1194" s="238">
        <f t="shared" si="89"/>
        <v>18725</v>
      </c>
      <c r="L1194" s="14" t="s">
        <v>161</v>
      </c>
      <c r="M1194" s="14" t="s">
        <v>155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/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>x</v>
      </c>
      <c r="Z1194" s="121"/>
    </row>
    <row r="1195" spans="1:26" ht="15.75" customHeight="1">
      <c r="A1195" s="125" t="str">
        <f>IF(B1195&lt;&gt;"",IF(AND(B1195&gt;=_TM1,B1195&lt;=_TM2,OR(TH!L1195="1111",TH!M1195="1111")),TH!D1195,""),"")</f>
        <v/>
      </c>
      <c r="B1195" s="11">
        <f t="shared" si="90"/>
        <v>7</v>
      </c>
      <c r="C1195" s="12">
        <f t="shared" si="88"/>
        <v>40745</v>
      </c>
      <c r="D1195" s="12" t="s">
        <v>908</v>
      </c>
      <c r="E1195" s="12">
        <v>40745</v>
      </c>
      <c r="F1195" s="15" t="s">
        <v>952</v>
      </c>
      <c r="G1195" s="15" t="s">
        <v>1123</v>
      </c>
      <c r="H1195" s="242" t="s">
        <v>709</v>
      </c>
      <c r="I1195" s="141">
        <v>1</v>
      </c>
      <c r="J1195" s="141">
        <v>10374.398735153478</v>
      </c>
      <c r="K1195" s="238">
        <f t="shared" si="89"/>
        <v>10374</v>
      </c>
      <c r="L1195" s="14" t="s">
        <v>161</v>
      </c>
      <c r="M1195" s="14" t="s">
        <v>155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>x</v>
      </c>
      <c r="Z1195" s="121"/>
    </row>
    <row r="1196" spans="1:26" ht="15.75" customHeight="1">
      <c r="A1196" s="125" t="str">
        <f>IF(B1196&lt;&gt;"",IF(AND(B1196&gt;=_TM1,B1196&lt;=_TM2,OR(TH!L1196="1111",TH!M1196="1111")),TH!D1196,""),"")</f>
        <v/>
      </c>
      <c r="B1196" s="11">
        <f t="shared" si="90"/>
        <v>7</v>
      </c>
      <c r="C1196" s="12">
        <f t="shared" si="88"/>
        <v>40745</v>
      </c>
      <c r="D1196" s="12" t="s">
        <v>908</v>
      </c>
      <c r="E1196" s="12">
        <v>40745</v>
      </c>
      <c r="F1196" s="15" t="s">
        <v>727</v>
      </c>
      <c r="G1196" s="15" t="s">
        <v>1123</v>
      </c>
      <c r="H1196" s="242" t="s">
        <v>709</v>
      </c>
      <c r="I1196" s="141">
        <v>4</v>
      </c>
      <c r="J1196" s="141">
        <v>12825.398735153478</v>
      </c>
      <c r="K1196" s="238">
        <f t="shared" si="89"/>
        <v>51302</v>
      </c>
      <c r="L1196" s="14" t="s">
        <v>161</v>
      </c>
      <c r="M1196" s="14" t="s">
        <v>155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>x</v>
      </c>
      <c r="Z1196" s="121"/>
    </row>
    <row r="1197" spans="1:26" ht="15.75" customHeight="1">
      <c r="A1197" s="125" t="str">
        <f>IF(B1197&lt;&gt;"",IF(AND(B1197&gt;=_TM1,B1197&lt;=_TM2,OR(TH!L1197="1111",TH!M1197="1111")),TH!D1197,""),"")</f>
        <v/>
      </c>
      <c r="B1197" s="11">
        <f t="shared" si="90"/>
        <v>7</v>
      </c>
      <c r="C1197" s="12">
        <f t="shared" si="88"/>
        <v>40745</v>
      </c>
      <c r="D1197" s="12" t="s">
        <v>909</v>
      </c>
      <c r="E1197" s="12">
        <v>40745</v>
      </c>
      <c r="F1197" s="15" t="s">
        <v>953</v>
      </c>
      <c r="G1197" s="15" t="s">
        <v>1124</v>
      </c>
      <c r="H1197" s="242" t="s">
        <v>709</v>
      </c>
      <c r="I1197" s="141">
        <v>3</v>
      </c>
      <c r="J1197" s="141">
        <v>14080.398735153476</v>
      </c>
      <c r="K1197" s="238">
        <f t="shared" si="89"/>
        <v>42241</v>
      </c>
      <c r="L1197" s="14" t="s">
        <v>161</v>
      </c>
      <c r="M1197" s="14" t="s">
        <v>155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>x</v>
      </c>
      <c r="Z1197" s="121"/>
    </row>
    <row r="1198" spans="1:26" ht="15.75" customHeight="1">
      <c r="A1198" s="125" t="str">
        <f>IF(B1198&lt;&gt;"",IF(AND(B1198&gt;=_TM1,B1198&lt;=_TM2,OR(TH!L1198="1111",TH!M1198="1111")),TH!D1198,""),"")</f>
        <v/>
      </c>
      <c r="B1198" s="11">
        <f t="shared" si="90"/>
        <v>7</v>
      </c>
      <c r="C1198" s="12">
        <f t="shared" si="88"/>
        <v>40745</v>
      </c>
      <c r="D1198" s="12" t="s">
        <v>909</v>
      </c>
      <c r="E1198" s="12">
        <v>40745</v>
      </c>
      <c r="F1198" s="15" t="s">
        <v>728</v>
      </c>
      <c r="G1198" s="15" t="s">
        <v>1124</v>
      </c>
      <c r="H1198" s="242" t="s">
        <v>709</v>
      </c>
      <c r="I1198" s="141">
        <v>3</v>
      </c>
      <c r="J1198" s="141">
        <v>14080.398735153476</v>
      </c>
      <c r="K1198" s="238">
        <f t="shared" si="89"/>
        <v>42241</v>
      </c>
      <c r="L1198" s="14" t="s">
        <v>161</v>
      </c>
      <c r="M1198" s="14" t="s">
        <v>155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>x</v>
      </c>
      <c r="Z1198" s="121"/>
    </row>
    <row r="1199" spans="1:26" ht="15.75" customHeight="1">
      <c r="A1199" s="125" t="str">
        <f>IF(B1199&lt;&gt;"",IF(AND(B1199&gt;=_TM1,B1199&lt;=_TM2,OR(TH!L1199="1111",TH!M1199="1111")),TH!D1199,""),"")</f>
        <v/>
      </c>
      <c r="B1199" s="11">
        <f t="shared" si="90"/>
        <v>7</v>
      </c>
      <c r="C1199" s="12">
        <f t="shared" si="88"/>
        <v>40745</v>
      </c>
      <c r="D1199" s="12" t="s">
        <v>909</v>
      </c>
      <c r="E1199" s="12">
        <v>40745</v>
      </c>
      <c r="F1199" s="15" t="s">
        <v>954</v>
      </c>
      <c r="G1199" s="15" t="s">
        <v>1124</v>
      </c>
      <c r="H1199" s="242" t="s">
        <v>709</v>
      </c>
      <c r="I1199" s="141">
        <v>107</v>
      </c>
      <c r="J1199" s="141">
        <v>13731.968828611421</v>
      </c>
      <c r="K1199" s="238">
        <f t="shared" si="89"/>
        <v>1469321</v>
      </c>
      <c r="L1199" s="14" t="s">
        <v>161</v>
      </c>
      <c r="M1199" s="14" t="s">
        <v>155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>x</v>
      </c>
      <c r="Z1199" s="121"/>
    </row>
    <row r="1200" spans="1:26" ht="15.75" customHeight="1">
      <c r="A1200" s="125" t="str">
        <f>IF(B1200&lt;&gt;"",IF(AND(B1200&gt;=_TM1,B1200&lt;=_TM2,OR(TH!L1200="1111",TH!M1200="1111")),TH!D1200,""),"")</f>
        <v/>
      </c>
      <c r="B1200" s="11">
        <f t="shared" si="90"/>
        <v>7</v>
      </c>
      <c r="C1200" s="12">
        <f t="shared" si="88"/>
        <v>40745</v>
      </c>
      <c r="D1200" s="12" t="s">
        <v>909</v>
      </c>
      <c r="E1200" s="12">
        <v>40745</v>
      </c>
      <c r="F1200" s="15" t="s">
        <v>955</v>
      </c>
      <c r="G1200" s="15" t="s">
        <v>1124</v>
      </c>
      <c r="H1200" s="242" t="s">
        <v>709</v>
      </c>
      <c r="I1200" s="141">
        <v>83</v>
      </c>
      <c r="J1200" s="141">
        <v>10606.651747201671</v>
      </c>
      <c r="K1200" s="238">
        <f t="shared" si="89"/>
        <v>880352</v>
      </c>
      <c r="L1200" s="14" t="s">
        <v>161</v>
      </c>
      <c r="M1200" s="14" t="s">
        <v>155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>x</v>
      </c>
      <c r="Z1200" s="121"/>
    </row>
    <row r="1201" spans="1:26" ht="15.75" customHeight="1">
      <c r="A1201" s="125" t="str">
        <f>IF(B1201&lt;&gt;"",IF(AND(B1201&gt;=_TM1,B1201&lt;=_TM2,OR(TH!L1201="1111",TH!M1201="1111")),TH!D1201,""),"")</f>
        <v/>
      </c>
      <c r="B1201" s="11">
        <f t="shared" si="90"/>
        <v>7</v>
      </c>
      <c r="C1201" s="12">
        <f t="shared" si="88"/>
        <v>40745</v>
      </c>
      <c r="D1201" s="12" t="s">
        <v>909</v>
      </c>
      <c r="E1201" s="12">
        <v>40745</v>
      </c>
      <c r="F1201" s="116" t="s">
        <v>870</v>
      </c>
      <c r="G1201" s="15" t="s">
        <v>1124</v>
      </c>
      <c r="H1201" s="242" t="s">
        <v>709</v>
      </c>
      <c r="I1201" s="141">
        <v>51</v>
      </c>
      <c r="J1201" s="141">
        <v>7394.3987351534797</v>
      </c>
      <c r="K1201" s="238">
        <f t="shared" si="89"/>
        <v>377114</v>
      </c>
      <c r="L1201" s="14" t="s">
        <v>161</v>
      </c>
      <c r="M1201" s="14" t="s">
        <v>155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>x</v>
      </c>
      <c r="Z1201" s="121"/>
    </row>
    <row r="1202" spans="1:26" ht="15.75" customHeight="1">
      <c r="A1202" s="125" t="str">
        <f>IF(B1202&lt;&gt;"",IF(AND(B1202&gt;=_TM1,B1202&lt;=_TM2,OR(TH!L1202="1111",TH!M1202="1111")),TH!D1202,""),"")</f>
        <v/>
      </c>
      <c r="B1202" s="11">
        <f t="shared" si="90"/>
        <v>7</v>
      </c>
      <c r="C1202" s="12">
        <f t="shared" si="88"/>
        <v>40745</v>
      </c>
      <c r="D1202" s="12" t="s">
        <v>909</v>
      </c>
      <c r="E1202" s="12">
        <v>40745</v>
      </c>
      <c r="F1202" s="116" t="s">
        <v>874</v>
      </c>
      <c r="G1202" s="15" t="s">
        <v>1124</v>
      </c>
      <c r="H1202" s="242" t="s">
        <v>709</v>
      </c>
      <c r="I1202" s="141">
        <v>90</v>
      </c>
      <c r="J1202" s="141">
        <v>8248.3987351534779</v>
      </c>
      <c r="K1202" s="238">
        <f t="shared" si="89"/>
        <v>742356</v>
      </c>
      <c r="L1202" s="14" t="s">
        <v>161</v>
      </c>
      <c r="M1202" s="14" t="s">
        <v>155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>x</v>
      </c>
      <c r="Z1202" s="121"/>
    </row>
    <row r="1203" spans="1:26" ht="15.75" customHeight="1">
      <c r="A1203" s="125" t="str">
        <f>IF(B1203&lt;&gt;"",IF(AND(B1203&gt;=_TM1,B1203&lt;=_TM2,OR(TH!L1203="1111",TH!M1203="1111")),TH!D1203,""),"")</f>
        <v/>
      </c>
      <c r="B1203" s="11">
        <f t="shared" si="90"/>
        <v>7</v>
      </c>
      <c r="C1203" s="12">
        <f t="shared" si="88"/>
        <v>40745</v>
      </c>
      <c r="D1203" s="12" t="s">
        <v>909</v>
      </c>
      <c r="E1203" s="12">
        <v>40745</v>
      </c>
      <c r="F1203" s="15" t="s">
        <v>950</v>
      </c>
      <c r="G1203" s="15" t="s">
        <v>1124</v>
      </c>
      <c r="H1203" s="242" t="s">
        <v>709</v>
      </c>
      <c r="I1203" s="141">
        <v>669</v>
      </c>
      <c r="J1203" s="141">
        <v>12965.933862208785</v>
      </c>
      <c r="K1203" s="238">
        <f t="shared" si="89"/>
        <v>8674210</v>
      </c>
      <c r="L1203" s="14" t="s">
        <v>161</v>
      </c>
      <c r="M1203" s="14" t="s">
        <v>155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>x</v>
      </c>
      <c r="Z1203" s="121"/>
    </row>
    <row r="1204" spans="1:26" ht="15.75" customHeight="1">
      <c r="A1204" s="125" t="str">
        <f>IF(B1204&lt;&gt;"",IF(AND(B1204&gt;=_TM1,B1204&lt;=_TM2,OR(TH!L1204="1111",TH!M1204="1111")),TH!D1204,""),"")</f>
        <v/>
      </c>
      <c r="B1204" s="11">
        <f t="shared" si="90"/>
        <v>7</v>
      </c>
      <c r="C1204" s="12">
        <f t="shared" si="88"/>
        <v>40745</v>
      </c>
      <c r="D1204" s="12" t="s">
        <v>909</v>
      </c>
      <c r="E1204" s="12">
        <v>40745</v>
      </c>
      <c r="F1204" s="15" t="s">
        <v>722</v>
      </c>
      <c r="G1204" s="15" t="s">
        <v>1124</v>
      </c>
      <c r="H1204" s="242" t="s">
        <v>709</v>
      </c>
      <c r="I1204" s="141">
        <v>176</v>
      </c>
      <c r="J1204" s="141">
        <v>8248.3987351534761</v>
      </c>
      <c r="K1204" s="238">
        <f t="shared" si="89"/>
        <v>1451718</v>
      </c>
      <c r="L1204" s="14" t="s">
        <v>161</v>
      </c>
      <c r="M1204" s="14" t="s">
        <v>155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>x</v>
      </c>
      <c r="Z1204" s="121"/>
    </row>
    <row r="1205" spans="1:26" ht="15.75" customHeight="1">
      <c r="A1205" s="125" t="str">
        <f>IF(B1205&lt;&gt;"",IF(AND(B1205&gt;=_TM1,B1205&lt;=_TM2,OR(TH!L1205="1111",TH!M1205="1111")),TH!D1205,""),"")</f>
        <v/>
      </c>
      <c r="B1205" s="11">
        <f t="shared" si="90"/>
        <v>7</v>
      </c>
      <c r="C1205" s="115">
        <v>40746</v>
      </c>
      <c r="D1205" s="115" t="s">
        <v>912</v>
      </c>
      <c r="E1205" s="115">
        <v>40746</v>
      </c>
      <c r="F1205" s="116" t="s">
        <v>943</v>
      </c>
      <c r="G1205" s="224" t="s">
        <v>1125</v>
      </c>
      <c r="H1205" s="117" t="s">
        <v>709</v>
      </c>
      <c r="I1205" s="141">
        <v>50</v>
      </c>
      <c r="J1205" s="141">
        <v>9793</v>
      </c>
      <c r="K1205" s="238">
        <v>489650</v>
      </c>
      <c r="L1205" s="118" t="s">
        <v>237</v>
      </c>
      <c r="M1205" s="118" t="s">
        <v>163</v>
      </c>
      <c r="N1205" s="25" t="str">
        <f>IF(AND('331-CT'!$E$7=TH!H1205,OR(L1205="331",M1205="331")),"331",IF(AND(OR(L1205="131",M1205="131"),H1205='131-CT'!$E$7),"131",""))</f>
        <v>131</v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>x</v>
      </c>
      <c r="Z1205" s="121"/>
    </row>
    <row r="1206" spans="1:26" ht="15.75" customHeight="1">
      <c r="A1206" s="125" t="str">
        <f>IF(B1206&lt;&gt;"",IF(AND(B1206&gt;=_TM1,B1206&lt;=_TM2,OR(TH!L1206="1111",TH!M1206="1111")),TH!D1206,""),"")</f>
        <v/>
      </c>
      <c r="B1206" s="11">
        <f t="shared" si="90"/>
        <v>7</v>
      </c>
      <c r="C1206" s="115">
        <v>40746</v>
      </c>
      <c r="D1206" s="115" t="s">
        <v>912</v>
      </c>
      <c r="E1206" s="115">
        <v>40746</v>
      </c>
      <c r="F1206" s="116" t="s">
        <v>727</v>
      </c>
      <c r="G1206" s="224" t="s">
        <v>1125</v>
      </c>
      <c r="H1206" s="117" t="s">
        <v>709</v>
      </c>
      <c r="I1206" s="141">
        <v>46</v>
      </c>
      <c r="J1206" s="141">
        <v>14010</v>
      </c>
      <c r="K1206" s="238">
        <v>644460</v>
      </c>
      <c r="L1206" s="118" t="s">
        <v>237</v>
      </c>
      <c r="M1206" s="118" t="s">
        <v>163</v>
      </c>
      <c r="N1206" s="25" t="str">
        <f>IF(AND('331-CT'!$E$7=TH!H1206,OR(L1206="331",M1206="331")),"331",IF(AND(OR(L1206="131",M1206="131"),H1206='131-CT'!$E$7),"131",""))</f>
        <v>131</v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>x</v>
      </c>
      <c r="Z1206" s="121"/>
    </row>
    <row r="1207" spans="1:26" ht="15.75" customHeight="1">
      <c r="A1207" s="125" t="str">
        <f>IF(B1207&lt;&gt;"",IF(AND(B1207&gt;=_TM1,B1207&lt;=_TM2,OR(TH!L1207="1111",TH!M1207="1111")),TH!D1207,""),"")</f>
        <v/>
      </c>
      <c r="B1207" s="11">
        <f t="shared" si="90"/>
        <v>7</v>
      </c>
      <c r="C1207" s="115">
        <v>40746</v>
      </c>
      <c r="D1207" s="115" t="s">
        <v>912</v>
      </c>
      <c r="E1207" s="115">
        <v>40746</v>
      </c>
      <c r="F1207" s="116" t="s">
        <v>957</v>
      </c>
      <c r="G1207" s="224" t="s">
        <v>1125</v>
      </c>
      <c r="H1207" s="117" t="s">
        <v>709</v>
      </c>
      <c r="I1207" s="143">
        <v>68</v>
      </c>
      <c r="J1207" s="143">
        <v>11067</v>
      </c>
      <c r="K1207" s="238">
        <v>752556</v>
      </c>
      <c r="L1207" s="118" t="s">
        <v>237</v>
      </c>
      <c r="M1207" s="118" t="s">
        <v>163</v>
      </c>
      <c r="N1207" s="25" t="str">
        <f>IF(AND('331-CT'!$E$7=TH!H1207,OR(L1207="331",M1207="331")),"331",IF(AND(OR(L1207="131",M1207="131"),H1207='131-CT'!$E$7),"131",""))</f>
        <v>131</v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>x</v>
      </c>
      <c r="Z1207" s="121"/>
    </row>
    <row r="1208" spans="1:26" ht="15.75" customHeight="1">
      <c r="A1208" s="125" t="str">
        <f>IF(B1208&lt;&gt;"",IF(AND(B1208&gt;=_TM1,B1208&lt;=_TM2,OR(TH!L1208="1111",TH!M1208="1111")),TH!D1208,""),"")</f>
        <v/>
      </c>
      <c r="B1208" s="11">
        <f t="shared" si="90"/>
        <v>7</v>
      </c>
      <c r="C1208" s="115">
        <v>40746</v>
      </c>
      <c r="D1208" s="115" t="s">
        <v>912</v>
      </c>
      <c r="E1208" s="115">
        <v>40746</v>
      </c>
      <c r="F1208" s="116" t="s">
        <v>729</v>
      </c>
      <c r="G1208" s="224" t="s">
        <v>1125</v>
      </c>
      <c r="H1208" s="117" t="s">
        <v>709</v>
      </c>
      <c r="I1208" s="141">
        <v>50</v>
      </c>
      <c r="J1208" s="141">
        <v>16713</v>
      </c>
      <c r="K1208" s="238">
        <v>835650</v>
      </c>
      <c r="L1208" s="118" t="s">
        <v>237</v>
      </c>
      <c r="M1208" s="118" t="s">
        <v>163</v>
      </c>
      <c r="N1208" s="25" t="str">
        <f>IF(AND('331-CT'!$E$7=TH!H1208,OR(L1208="331",M1208="331")),"331",IF(AND(OR(L1208="131",M1208="131"),H1208='131-CT'!$E$7),"131",""))</f>
        <v>131</v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>x</v>
      </c>
      <c r="Z1208" s="121"/>
    </row>
    <row r="1209" spans="1:26" ht="15.75" customHeight="1">
      <c r="A1209" s="125" t="str">
        <f>IF(B1209&lt;&gt;"",IF(AND(B1209&gt;=_TM1,B1209&lt;=_TM2,OR(TH!L1209="1111",TH!M1209="1111")),TH!D1209,""),"")</f>
        <v/>
      </c>
      <c r="B1209" s="11">
        <f t="shared" si="90"/>
        <v>7</v>
      </c>
      <c r="C1209" s="115">
        <v>40746</v>
      </c>
      <c r="D1209" s="115" t="s">
        <v>912</v>
      </c>
      <c r="E1209" s="115">
        <v>40746</v>
      </c>
      <c r="F1209" s="116" t="s">
        <v>730</v>
      </c>
      <c r="G1209" s="224" t="s">
        <v>1125</v>
      </c>
      <c r="H1209" s="117" t="s">
        <v>709</v>
      </c>
      <c r="I1209" s="141">
        <v>2</v>
      </c>
      <c r="J1209" s="141">
        <v>12207</v>
      </c>
      <c r="K1209" s="238">
        <v>24414</v>
      </c>
      <c r="L1209" s="118" t="s">
        <v>237</v>
      </c>
      <c r="M1209" s="118" t="s">
        <v>163</v>
      </c>
      <c r="N1209" s="25" t="str">
        <f>IF(AND('331-CT'!$E$7=TH!H1209,OR(L1209="331",M1209="331")),"331",IF(AND(OR(L1209="131",M1209="131"),H1209='131-CT'!$E$7),"131",""))</f>
        <v>131</v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>x</v>
      </c>
      <c r="Z1209" s="121"/>
    </row>
    <row r="1210" spans="1:26" ht="15.75" customHeight="1">
      <c r="A1210" s="125" t="str">
        <f>IF(B1210&lt;&gt;"",IF(AND(B1210&gt;=_TM1,B1210&lt;=_TM2,OR(TH!L1210="1111",TH!M1210="1111")),TH!D1210,""),"")</f>
        <v/>
      </c>
      <c r="B1210" s="11">
        <f t="shared" si="90"/>
        <v>7</v>
      </c>
      <c r="C1210" s="115">
        <v>40746</v>
      </c>
      <c r="D1210" s="115" t="s">
        <v>912</v>
      </c>
      <c r="E1210" s="115">
        <v>40746</v>
      </c>
      <c r="F1210" s="116" t="s">
        <v>958</v>
      </c>
      <c r="G1210" s="224" t="s">
        <v>1125</v>
      </c>
      <c r="H1210" s="117" t="s">
        <v>709</v>
      </c>
      <c r="I1210" s="141">
        <v>1</v>
      </c>
      <c r="J1210" s="141">
        <v>13099</v>
      </c>
      <c r="K1210" s="238">
        <v>13099</v>
      </c>
      <c r="L1210" s="118" t="s">
        <v>237</v>
      </c>
      <c r="M1210" s="118" t="s">
        <v>163</v>
      </c>
      <c r="N1210" s="25" t="str">
        <f>IF(AND('331-CT'!$E$7=TH!H1210,OR(L1210="331",M1210="331")),"331",IF(AND(OR(L1210="131",M1210="131"),H1210='131-CT'!$E$7),"131",""))</f>
        <v>131</v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>x</v>
      </c>
      <c r="Z1210" s="121"/>
    </row>
    <row r="1211" spans="1:26" ht="15.75" customHeight="1">
      <c r="A1211" s="125" t="str">
        <f>IF(B1211&lt;&gt;"",IF(AND(B1211&gt;=_TM1,B1211&lt;=_TM2,OR(TH!L1211="1111",TH!M1211="1111")),TH!D1211,""),"")</f>
        <v/>
      </c>
      <c r="B1211" s="11">
        <f t="shared" si="90"/>
        <v>7</v>
      </c>
      <c r="C1211" s="115">
        <v>40746</v>
      </c>
      <c r="D1211" s="115" t="s">
        <v>912</v>
      </c>
      <c r="E1211" s="115">
        <v>40746</v>
      </c>
      <c r="F1211" s="116" t="s">
        <v>731</v>
      </c>
      <c r="G1211" s="224" t="s">
        <v>1125</v>
      </c>
      <c r="H1211" s="117" t="s">
        <v>709</v>
      </c>
      <c r="I1211" s="141">
        <v>5</v>
      </c>
      <c r="J1211" s="141">
        <v>12179</v>
      </c>
      <c r="K1211" s="238">
        <v>60895</v>
      </c>
      <c r="L1211" s="118" t="s">
        <v>237</v>
      </c>
      <c r="M1211" s="118" t="s">
        <v>163</v>
      </c>
      <c r="N1211" s="25" t="str">
        <f>IF(AND('331-CT'!$E$7=TH!H1211,OR(L1211="331",M1211="331")),"331",IF(AND(OR(L1211="131",M1211="131"),H1211='131-CT'!$E$7),"131",""))</f>
        <v>131</v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>x</v>
      </c>
      <c r="Z1211" s="121"/>
    </row>
    <row r="1212" spans="1:26" ht="15.75" customHeight="1">
      <c r="A1212" s="125" t="str">
        <f>IF(B1212&lt;&gt;"",IF(AND(B1212&gt;=_TM1,B1212&lt;=_TM2,OR(TH!L1212="1111",TH!M1212="1111")),TH!D1212,""),"")</f>
        <v/>
      </c>
      <c r="B1212" s="11">
        <f t="shared" si="90"/>
        <v>7</v>
      </c>
      <c r="C1212" s="115">
        <v>40746</v>
      </c>
      <c r="D1212" s="115" t="s">
        <v>912</v>
      </c>
      <c r="E1212" s="115">
        <v>40746</v>
      </c>
      <c r="F1212" s="116" t="s">
        <v>724</v>
      </c>
      <c r="G1212" s="224" t="s">
        <v>1125</v>
      </c>
      <c r="H1212" s="117" t="s">
        <v>709</v>
      </c>
      <c r="I1212" s="141">
        <v>6</v>
      </c>
      <c r="J1212" s="141">
        <v>10253</v>
      </c>
      <c r="K1212" s="238">
        <v>61518</v>
      </c>
      <c r="L1212" s="118" t="s">
        <v>237</v>
      </c>
      <c r="M1212" s="118" t="s">
        <v>163</v>
      </c>
      <c r="N1212" s="25" t="str">
        <f>IF(AND('331-CT'!$E$7=TH!H1212,OR(L1212="331",M1212="331")),"331",IF(AND(OR(L1212="131",M1212="131"),H1212='131-CT'!$E$7),"131",""))</f>
        <v>131</v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/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>x</v>
      </c>
      <c r="Z1212" s="121"/>
    </row>
    <row r="1213" spans="1:26" ht="15.75" customHeight="1">
      <c r="A1213" s="125" t="str">
        <f>IF(B1213&lt;&gt;"",IF(AND(B1213&gt;=_TM1,B1213&lt;=_TM2,OR(TH!L1213="1111",TH!M1213="1111")),TH!D1213,""),"")</f>
        <v/>
      </c>
      <c r="B1213" s="11">
        <f t="shared" si="90"/>
        <v>7</v>
      </c>
      <c r="C1213" s="115">
        <v>40746</v>
      </c>
      <c r="D1213" s="115" t="s">
        <v>912</v>
      </c>
      <c r="E1213" s="115">
        <v>40746</v>
      </c>
      <c r="F1213" s="116" t="s">
        <v>1121</v>
      </c>
      <c r="G1213" s="224" t="s">
        <v>1125</v>
      </c>
      <c r="H1213" s="117" t="s">
        <v>709</v>
      </c>
      <c r="I1213" s="141"/>
      <c r="J1213" s="141"/>
      <c r="K1213" s="238">
        <v>288224</v>
      </c>
      <c r="L1213" s="118" t="s">
        <v>237</v>
      </c>
      <c r="M1213" s="118" t="s">
        <v>707</v>
      </c>
      <c r="N1213" s="25" t="str">
        <f>IF(AND('331-CT'!$E$7=TH!H1213,OR(L1213="331",M1213="331")),"331",IF(AND(OR(L1213="131",M1213="131"),H1213='131-CT'!$E$7),"131",""))</f>
        <v>131</v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/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>x</v>
      </c>
      <c r="Z1213" s="121"/>
    </row>
    <row r="1214" spans="1:26" ht="15.75" customHeight="1">
      <c r="A1214" s="125" t="str">
        <f>IF(B1214&lt;&gt;"",IF(AND(B1214&gt;=_TM1,B1214&lt;=_TM2,OR(TH!L1214="1111",TH!M1214="1111")),TH!D1214,""),"")</f>
        <v/>
      </c>
      <c r="B1214" s="11">
        <f t="shared" si="90"/>
        <v>7</v>
      </c>
      <c r="C1214" s="12">
        <f t="shared" ref="C1214:C1234" si="91">E1214</f>
        <v>40746</v>
      </c>
      <c r="D1214" s="12" t="s">
        <v>1044</v>
      </c>
      <c r="E1214" s="304">
        <v>40746</v>
      </c>
      <c r="F1214" s="114" t="s">
        <v>364</v>
      </c>
      <c r="G1214" s="15"/>
      <c r="H1214" s="242" t="s">
        <v>1037</v>
      </c>
      <c r="I1214" s="315">
        <v>11</v>
      </c>
      <c r="J1214" s="141">
        <v>4449</v>
      </c>
      <c r="K1214" s="238">
        <f t="shared" ref="K1214:K1234" si="92">ROUND(I1214*J1214,0)</f>
        <v>48939</v>
      </c>
      <c r="L1214" s="14" t="s">
        <v>153</v>
      </c>
      <c r="M1214" s="14" t="s">
        <v>147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>x</v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>x</v>
      </c>
      <c r="Z1214" s="121"/>
    </row>
    <row r="1215" spans="1:26" ht="15.75" customHeight="1">
      <c r="A1215" s="125" t="str">
        <f>IF(B1215&lt;&gt;"",IF(AND(B1215&gt;=_TM1,B1215&lt;=_TM2,OR(TH!L1215="1111",TH!M1215="1111")),TH!D1215,""),"")</f>
        <v/>
      </c>
      <c r="B1215" s="11">
        <f t="shared" si="90"/>
        <v>7</v>
      </c>
      <c r="C1215" s="12">
        <f t="shared" si="91"/>
        <v>40746</v>
      </c>
      <c r="D1215" s="12" t="s">
        <v>1044</v>
      </c>
      <c r="E1215" s="304">
        <v>40746</v>
      </c>
      <c r="F1215" s="114" t="s">
        <v>469</v>
      </c>
      <c r="G1215" s="15"/>
      <c r="H1215" s="242" t="s">
        <v>1037</v>
      </c>
      <c r="I1215" s="141">
        <v>0.5</v>
      </c>
      <c r="J1215" s="141">
        <v>23716</v>
      </c>
      <c r="K1215" s="238">
        <f t="shared" si="92"/>
        <v>11858</v>
      </c>
      <c r="L1215" s="14" t="s">
        <v>153</v>
      </c>
      <c r="M1215" s="14" t="s">
        <v>147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>x</v>
      </c>
      <c r="Z1215" s="121"/>
    </row>
    <row r="1216" spans="1:26" ht="15.75" customHeight="1">
      <c r="A1216" s="125" t="str">
        <f>IF(B1216&lt;&gt;"",IF(AND(B1216&gt;=_TM1,B1216&lt;=_TM2,OR(TH!L1216="1111",TH!M1216="1111")),TH!D1216,""),"")</f>
        <v/>
      </c>
      <c r="B1216" s="11">
        <f t="shared" si="90"/>
        <v>7</v>
      </c>
      <c r="C1216" s="12">
        <f t="shared" si="91"/>
        <v>40746</v>
      </c>
      <c r="D1216" s="12" t="s">
        <v>1044</v>
      </c>
      <c r="E1216" s="304">
        <v>40746</v>
      </c>
      <c r="F1216" s="15" t="s">
        <v>603</v>
      </c>
      <c r="G1216" s="15"/>
      <c r="H1216" s="242" t="s">
        <v>1037</v>
      </c>
      <c r="I1216" s="141">
        <v>3</v>
      </c>
      <c r="J1216" s="141">
        <v>23975</v>
      </c>
      <c r="K1216" s="238">
        <f t="shared" si="92"/>
        <v>71925</v>
      </c>
      <c r="L1216" s="14" t="s">
        <v>153</v>
      </c>
      <c r="M1216" s="14" t="s">
        <v>147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>x</v>
      </c>
      <c r="Z1216" s="121"/>
    </row>
    <row r="1217" spans="1:26" ht="15.75" customHeight="1">
      <c r="A1217" s="125" t="str">
        <f>IF(B1217&lt;&gt;"",IF(AND(B1217&gt;=_TM1,B1217&lt;=_TM2,OR(TH!L1217="1111",TH!M1217="1111")),TH!D1217,""),"")</f>
        <v/>
      </c>
      <c r="B1217" s="11">
        <f t="shared" si="90"/>
        <v>7</v>
      </c>
      <c r="C1217" s="12">
        <f t="shared" si="91"/>
        <v>40746</v>
      </c>
      <c r="D1217" s="12" t="s">
        <v>1044</v>
      </c>
      <c r="E1217" s="304">
        <v>40746</v>
      </c>
      <c r="F1217" s="114" t="s">
        <v>500</v>
      </c>
      <c r="G1217" s="15"/>
      <c r="H1217" s="242" t="s">
        <v>1037</v>
      </c>
      <c r="I1217" s="141">
        <v>1</v>
      </c>
      <c r="J1217" s="141">
        <v>7268</v>
      </c>
      <c r="K1217" s="238">
        <f t="shared" si="92"/>
        <v>7268</v>
      </c>
      <c r="L1217" s="14" t="s">
        <v>153</v>
      </c>
      <c r="M1217" s="14" t="s">
        <v>147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>x</v>
      </c>
      <c r="Z1217" s="121"/>
    </row>
    <row r="1218" spans="1:26" ht="15.75" customHeight="1">
      <c r="A1218" s="125" t="str">
        <f>IF(B1218&lt;&gt;"",IF(AND(B1218&gt;=_TM1,B1218&lt;=_TM2,OR(TH!L1218="1111",TH!M1218="1111")),TH!D1218,""),"")</f>
        <v/>
      </c>
      <c r="B1218" s="11">
        <f t="shared" si="90"/>
        <v>7</v>
      </c>
      <c r="C1218" s="12">
        <f t="shared" si="91"/>
        <v>40746</v>
      </c>
      <c r="D1218" s="12" t="s">
        <v>1044</v>
      </c>
      <c r="E1218" s="304">
        <v>40746</v>
      </c>
      <c r="F1218" s="15" t="s">
        <v>578</v>
      </c>
      <c r="G1218" s="15"/>
      <c r="H1218" s="242" t="s">
        <v>1037</v>
      </c>
      <c r="I1218" s="141">
        <v>0.5</v>
      </c>
      <c r="J1218" s="141">
        <v>16303</v>
      </c>
      <c r="K1218" s="238">
        <f t="shared" si="92"/>
        <v>8152</v>
      </c>
      <c r="L1218" s="14" t="s">
        <v>153</v>
      </c>
      <c r="M1218" s="14" t="s">
        <v>147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/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>x</v>
      </c>
      <c r="Z1218" s="121"/>
    </row>
    <row r="1219" spans="1:26" ht="15.75" customHeight="1">
      <c r="A1219" s="125" t="str">
        <f>IF(B1219&lt;&gt;"",IF(AND(B1219&gt;=_TM1,B1219&lt;=_TM2,OR(TH!L1219="1111",TH!M1219="1111")),TH!D1219,""),"")</f>
        <v/>
      </c>
      <c r="B1219" s="11">
        <f t="shared" si="90"/>
        <v>7</v>
      </c>
      <c r="C1219" s="12">
        <f t="shared" si="91"/>
        <v>40746</v>
      </c>
      <c r="D1219" s="12" t="s">
        <v>1062</v>
      </c>
      <c r="E1219" s="12">
        <v>40746</v>
      </c>
      <c r="F1219" s="15" t="s">
        <v>943</v>
      </c>
      <c r="G1219" s="15"/>
      <c r="H1219" s="242" t="s">
        <v>1037</v>
      </c>
      <c r="I1219" s="141">
        <v>50</v>
      </c>
      <c r="J1219" s="141">
        <v>8248.3987351534779</v>
      </c>
      <c r="K1219" s="238">
        <f t="shared" si="92"/>
        <v>412420</v>
      </c>
      <c r="L1219" s="14" t="s">
        <v>155</v>
      </c>
      <c r="M1219" s="14" t="s">
        <v>153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/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>x</v>
      </c>
      <c r="Z1219" s="121"/>
    </row>
    <row r="1220" spans="1:26" ht="15.75" customHeight="1">
      <c r="A1220" s="125" t="str">
        <f>IF(B1220&lt;&gt;"",IF(AND(B1220&gt;=_TM1,B1220&lt;=_TM2,OR(TH!L1220="1111",TH!M1220="1111")),TH!D1220,""),"")</f>
        <v/>
      </c>
      <c r="B1220" s="11">
        <f t="shared" si="90"/>
        <v>7</v>
      </c>
      <c r="C1220" s="12">
        <f t="shared" si="91"/>
        <v>40746</v>
      </c>
      <c r="D1220" s="12" t="s">
        <v>1062</v>
      </c>
      <c r="E1220" s="12">
        <v>40746</v>
      </c>
      <c r="F1220" s="15" t="s">
        <v>727</v>
      </c>
      <c r="G1220" s="15"/>
      <c r="H1220" s="242" t="s">
        <v>1037</v>
      </c>
      <c r="I1220" s="141">
        <v>46</v>
      </c>
      <c r="J1220" s="141">
        <v>14066.398735153482</v>
      </c>
      <c r="K1220" s="238">
        <f t="shared" si="92"/>
        <v>647054</v>
      </c>
      <c r="L1220" s="14" t="s">
        <v>155</v>
      </c>
      <c r="M1220" s="14" t="s">
        <v>153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/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>x</v>
      </c>
      <c r="Z1220" s="121"/>
    </row>
    <row r="1221" spans="1:26" ht="15.75" customHeight="1">
      <c r="A1221" s="125" t="str">
        <f>IF(B1221&lt;&gt;"",IF(AND(B1221&gt;=_TM1,B1221&lt;=_TM2,OR(TH!L1221="1111",TH!M1221="1111")),TH!D1221,""),"")</f>
        <v/>
      </c>
      <c r="B1221" s="11">
        <f t="shared" si="90"/>
        <v>7</v>
      </c>
      <c r="C1221" s="12">
        <f t="shared" si="91"/>
        <v>40746</v>
      </c>
      <c r="D1221" s="12" t="s">
        <v>1062</v>
      </c>
      <c r="E1221" s="12">
        <v>40746</v>
      </c>
      <c r="F1221" s="15" t="s">
        <v>957</v>
      </c>
      <c r="G1221" s="15"/>
      <c r="H1221" s="242" t="s">
        <v>1037</v>
      </c>
      <c r="I1221" s="141">
        <v>68</v>
      </c>
      <c r="J1221" s="141">
        <v>10708.898735153478</v>
      </c>
      <c r="K1221" s="238">
        <f t="shared" si="92"/>
        <v>728205</v>
      </c>
      <c r="L1221" s="14" t="s">
        <v>155</v>
      </c>
      <c r="M1221" s="14" t="s">
        <v>153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/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>x</v>
      </c>
      <c r="Z1221" s="121"/>
    </row>
    <row r="1222" spans="1:26" ht="15.75" customHeight="1">
      <c r="A1222" s="125" t="str">
        <f>IF(B1222&lt;&gt;"",IF(AND(B1222&gt;=_TM1,B1222&lt;=_TM2,OR(TH!L1222="1111",TH!M1222="1111")),TH!D1222,""),"")</f>
        <v/>
      </c>
      <c r="B1222" s="11">
        <f t="shared" si="90"/>
        <v>7</v>
      </c>
      <c r="C1222" s="12">
        <f t="shared" si="91"/>
        <v>40746</v>
      </c>
      <c r="D1222" s="12" t="s">
        <v>1062</v>
      </c>
      <c r="E1222" s="12">
        <v>40746</v>
      </c>
      <c r="F1222" s="15" t="s">
        <v>729</v>
      </c>
      <c r="G1222" s="15"/>
      <c r="H1222" s="242" t="s">
        <v>1037</v>
      </c>
      <c r="I1222" s="141">
        <v>50</v>
      </c>
      <c r="J1222" s="141">
        <v>13625.398735153478</v>
      </c>
      <c r="K1222" s="238">
        <f t="shared" si="92"/>
        <v>681270</v>
      </c>
      <c r="L1222" s="14" t="s">
        <v>155</v>
      </c>
      <c r="M1222" s="14" t="s">
        <v>153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/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>x</v>
      </c>
      <c r="Z1222" s="121"/>
    </row>
    <row r="1223" spans="1:26" ht="15.75" customHeight="1">
      <c r="A1223" s="125" t="str">
        <f>IF(B1223&lt;&gt;"",IF(AND(B1223&gt;=_TM1,B1223&lt;=_TM2,OR(TH!L1223="1111",TH!M1223="1111")),TH!D1223,""),"")</f>
        <v/>
      </c>
      <c r="B1223" s="11">
        <f t="shared" si="90"/>
        <v>7</v>
      </c>
      <c r="C1223" s="12">
        <f t="shared" si="91"/>
        <v>40746</v>
      </c>
      <c r="D1223" s="12" t="s">
        <v>1062</v>
      </c>
      <c r="E1223" s="12">
        <v>40746</v>
      </c>
      <c r="F1223" s="15" t="s">
        <v>730</v>
      </c>
      <c r="G1223" s="15"/>
      <c r="H1223" s="242" t="s">
        <v>1037</v>
      </c>
      <c r="I1223" s="141">
        <v>2</v>
      </c>
      <c r="J1223" s="141">
        <v>10373.898735153478</v>
      </c>
      <c r="K1223" s="238">
        <f t="shared" si="92"/>
        <v>20748</v>
      </c>
      <c r="L1223" s="14" t="s">
        <v>155</v>
      </c>
      <c r="M1223" s="14" t="s">
        <v>153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/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>x</v>
      </c>
      <c r="Z1223" s="121"/>
    </row>
    <row r="1224" spans="1:26" ht="15.75" customHeight="1">
      <c r="A1224" s="125" t="str">
        <f>IF(B1224&lt;&gt;"",IF(AND(B1224&gt;=_TM1,B1224&lt;=_TM2,OR(TH!L1224="1111",TH!M1224="1111")),TH!D1224,""),"")</f>
        <v/>
      </c>
      <c r="B1224" s="11">
        <f t="shared" si="90"/>
        <v>7</v>
      </c>
      <c r="C1224" s="12">
        <f t="shared" si="91"/>
        <v>40746</v>
      </c>
      <c r="D1224" s="12" t="s">
        <v>1062</v>
      </c>
      <c r="E1224" s="12">
        <v>40746</v>
      </c>
      <c r="F1224" s="15" t="s">
        <v>958</v>
      </c>
      <c r="G1224" s="15"/>
      <c r="H1224" s="242" t="s">
        <v>1037</v>
      </c>
      <c r="I1224" s="141">
        <v>1</v>
      </c>
      <c r="J1224" s="141">
        <v>14080.398735153478</v>
      </c>
      <c r="K1224" s="238">
        <f t="shared" si="92"/>
        <v>14080</v>
      </c>
      <c r="L1224" s="14" t="s">
        <v>155</v>
      </c>
      <c r="M1224" s="14" t="s">
        <v>153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>x</v>
      </c>
      <c r="Z1224" s="121"/>
    </row>
    <row r="1225" spans="1:26" ht="15.75" customHeight="1">
      <c r="A1225" s="125" t="str">
        <f>IF(B1225&lt;&gt;"",IF(AND(B1225&gt;=_TM1,B1225&lt;=_TM2,OR(TH!L1225="1111",TH!M1225="1111")),TH!D1225,""),"")</f>
        <v/>
      </c>
      <c r="B1225" s="11">
        <f t="shared" si="90"/>
        <v>7</v>
      </c>
      <c r="C1225" s="12">
        <f t="shared" si="91"/>
        <v>40746</v>
      </c>
      <c r="D1225" s="12" t="s">
        <v>1062</v>
      </c>
      <c r="E1225" s="12">
        <v>40746</v>
      </c>
      <c r="F1225" s="15" t="s">
        <v>731</v>
      </c>
      <c r="G1225" s="15"/>
      <c r="H1225" s="242" t="s">
        <v>1037</v>
      </c>
      <c r="I1225" s="141">
        <v>5</v>
      </c>
      <c r="J1225" s="141">
        <v>10373.798735153479</v>
      </c>
      <c r="K1225" s="238">
        <f t="shared" si="92"/>
        <v>51869</v>
      </c>
      <c r="L1225" s="14" t="s">
        <v>155</v>
      </c>
      <c r="M1225" s="14" t="s">
        <v>153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>x</v>
      </c>
      <c r="Z1225" s="121"/>
    </row>
    <row r="1226" spans="1:26" ht="15.75" customHeight="1">
      <c r="A1226" s="125" t="str">
        <f>IF(B1226&lt;&gt;"",IF(AND(B1226&gt;=_TM1,B1226&lt;=_TM2,OR(TH!L1226="1111",TH!M1226="1111")),TH!D1226,""),"")</f>
        <v/>
      </c>
      <c r="B1226" s="11">
        <f t="shared" si="90"/>
        <v>7</v>
      </c>
      <c r="C1226" s="12">
        <f t="shared" si="91"/>
        <v>40746</v>
      </c>
      <c r="D1226" s="12" t="s">
        <v>1062</v>
      </c>
      <c r="E1226" s="12">
        <v>40746</v>
      </c>
      <c r="F1226" s="15" t="s">
        <v>724</v>
      </c>
      <c r="G1226" s="15"/>
      <c r="H1226" s="242" t="s">
        <v>1037</v>
      </c>
      <c r="I1226" s="141">
        <v>6</v>
      </c>
      <c r="J1226" s="141">
        <v>9490.3987351534797</v>
      </c>
      <c r="K1226" s="238">
        <f t="shared" si="92"/>
        <v>56942</v>
      </c>
      <c r="L1226" s="14" t="s">
        <v>155</v>
      </c>
      <c r="M1226" s="14" t="s">
        <v>153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>x</v>
      </c>
      <c r="Z1226" s="121"/>
    </row>
    <row r="1227" spans="1:26" ht="15.75" customHeight="1">
      <c r="A1227" s="125" t="str">
        <f>IF(B1227&lt;&gt;"",IF(AND(B1227&gt;=_TM1,B1227&lt;=_TM2,OR(TH!L1227="1111",TH!M1227="1111")),TH!D1227,""),"")</f>
        <v/>
      </c>
      <c r="B1227" s="11">
        <f t="shared" si="90"/>
        <v>7</v>
      </c>
      <c r="C1227" s="12">
        <f t="shared" si="91"/>
        <v>40746</v>
      </c>
      <c r="D1227" s="12" t="s">
        <v>912</v>
      </c>
      <c r="E1227" s="12">
        <v>40746</v>
      </c>
      <c r="F1227" s="15" t="s">
        <v>943</v>
      </c>
      <c r="G1227" s="15" t="s">
        <v>1125</v>
      </c>
      <c r="H1227" s="242" t="s">
        <v>709</v>
      </c>
      <c r="I1227" s="141">
        <v>50</v>
      </c>
      <c r="J1227" s="141">
        <v>8248.3987351534779</v>
      </c>
      <c r="K1227" s="238">
        <f t="shared" si="92"/>
        <v>412420</v>
      </c>
      <c r="L1227" s="14" t="s">
        <v>161</v>
      </c>
      <c r="M1227" s="14" t="s">
        <v>155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>x</v>
      </c>
      <c r="Z1227" s="121"/>
    </row>
    <row r="1228" spans="1:26" ht="15.75" customHeight="1">
      <c r="A1228" s="125" t="str">
        <f>IF(B1228&lt;&gt;"",IF(AND(B1228&gt;=_TM1,B1228&lt;=_TM2,OR(TH!L1228="1111",TH!M1228="1111")),TH!D1228,""),"")</f>
        <v/>
      </c>
      <c r="B1228" s="11">
        <f t="shared" si="90"/>
        <v>7</v>
      </c>
      <c r="C1228" s="12">
        <f t="shared" si="91"/>
        <v>40746</v>
      </c>
      <c r="D1228" s="12" t="s">
        <v>912</v>
      </c>
      <c r="E1228" s="12">
        <v>40746</v>
      </c>
      <c r="F1228" s="15" t="s">
        <v>727</v>
      </c>
      <c r="G1228" s="15" t="s">
        <v>1125</v>
      </c>
      <c r="H1228" s="242" t="s">
        <v>709</v>
      </c>
      <c r="I1228" s="141">
        <v>46</v>
      </c>
      <c r="J1228" s="141">
        <v>14066.398735153482</v>
      </c>
      <c r="K1228" s="238">
        <f t="shared" si="92"/>
        <v>647054</v>
      </c>
      <c r="L1228" s="14" t="s">
        <v>161</v>
      </c>
      <c r="M1228" s="14" t="s">
        <v>155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>x</v>
      </c>
      <c r="Z1228" s="121"/>
    </row>
    <row r="1229" spans="1:26" ht="15.75" customHeight="1">
      <c r="A1229" s="125" t="str">
        <f>IF(B1229&lt;&gt;"",IF(AND(B1229&gt;=_TM1,B1229&lt;=_TM2,OR(TH!L1229="1111",TH!M1229="1111")),TH!D1229,""),"")</f>
        <v/>
      </c>
      <c r="B1229" s="11">
        <f t="shared" si="90"/>
        <v>7</v>
      </c>
      <c r="C1229" s="12">
        <f t="shared" si="91"/>
        <v>40746</v>
      </c>
      <c r="D1229" s="12" t="s">
        <v>912</v>
      </c>
      <c r="E1229" s="12">
        <v>40746</v>
      </c>
      <c r="F1229" s="15" t="s">
        <v>957</v>
      </c>
      <c r="G1229" s="15" t="s">
        <v>1125</v>
      </c>
      <c r="H1229" s="242" t="s">
        <v>709</v>
      </c>
      <c r="I1229" s="141">
        <v>68</v>
      </c>
      <c r="J1229" s="141">
        <v>10708.898735153478</v>
      </c>
      <c r="K1229" s="238">
        <f t="shared" si="92"/>
        <v>728205</v>
      </c>
      <c r="L1229" s="14" t="s">
        <v>161</v>
      </c>
      <c r="M1229" s="14" t="s">
        <v>155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>x</v>
      </c>
      <c r="Z1229" s="121"/>
    </row>
    <row r="1230" spans="1:26" ht="15.75" customHeight="1">
      <c r="A1230" s="125" t="str">
        <f>IF(B1230&lt;&gt;"",IF(AND(B1230&gt;=_TM1,B1230&lt;=_TM2,OR(TH!L1230="1111",TH!M1230="1111")),TH!D1230,""),"")</f>
        <v/>
      </c>
      <c r="B1230" s="11">
        <f t="shared" si="90"/>
        <v>7</v>
      </c>
      <c r="C1230" s="12">
        <f t="shared" si="91"/>
        <v>40746</v>
      </c>
      <c r="D1230" s="12" t="s">
        <v>912</v>
      </c>
      <c r="E1230" s="12">
        <v>40746</v>
      </c>
      <c r="F1230" s="15" t="s">
        <v>729</v>
      </c>
      <c r="G1230" s="15" t="s">
        <v>1125</v>
      </c>
      <c r="H1230" s="242" t="s">
        <v>709</v>
      </c>
      <c r="I1230" s="141">
        <v>50</v>
      </c>
      <c r="J1230" s="141">
        <v>13625.398735153478</v>
      </c>
      <c r="K1230" s="238">
        <f t="shared" si="92"/>
        <v>681270</v>
      </c>
      <c r="L1230" s="14" t="s">
        <v>161</v>
      </c>
      <c r="M1230" s="14" t="s">
        <v>155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/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>x</v>
      </c>
      <c r="Z1230" s="121"/>
    </row>
    <row r="1231" spans="1:26" ht="15.75" customHeight="1">
      <c r="A1231" s="125" t="str">
        <f>IF(B1231&lt;&gt;"",IF(AND(B1231&gt;=_TM1,B1231&lt;=_TM2,OR(TH!L1231="1111",TH!M1231="1111")),TH!D1231,""),"")</f>
        <v/>
      </c>
      <c r="B1231" s="11">
        <f t="shared" si="90"/>
        <v>7</v>
      </c>
      <c r="C1231" s="12">
        <f t="shared" si="91"/>
        <v>40746</v>
      </c>
      <c r="D1231" s="12" t="s">
        <v>912</v>
      </c>
      <c r="E1231" s="12">
        <v>40746</v>
      </c>
      <c r="F1231" s="15" t="s">
        <v>730</v>
      </c>
      <c r="G1231" s="15" t="s">
        <v>1125</v>
      </c>
      <c r="H1231" s="242" t="s">
        <v>709</v>
      </c>
      <c r="I1231" s="141">
        <v>2</v>
      </c>
      <c r="J1231" s="141">
        <v>10373.898735153478</v>
      </c>
      <c r="K1231" s="238">
        <f t="shared" si="92"/>
        <v>20748</v>
      </c>
      <c r="L1231" s="14" t="s">
        <v>161</v>
      </c>
      <c r="M1231" s="14" t="s">
        <v>155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>x</v>
      </c>
      <c r="Z1231" s="121"/>
    </row>
    <row r="1232" spans="1:26" ht="15.75" customHeight="1">
      <c r="A1232" s="125" t="str">
        <f>IF(B1232&lt;&gt;"",IF(AND(B1232&gt;=_TM1,B1232&lt;=_TM2,OR(TH!L1232="1111",TH!M1232="1111")),TH!D1232,""),"")</f>
        <v/>
      </c>
      <c r="B1232" s="11">
        <f t="shared" si="90"/>
        <v>7</v>
      </c>
      <c r="C1232" s="12">
        <f t="shared" si="91"/>
        <v>40746</v>
      </c>
      <c r="D1232" s="12" t="s">
        <v>912</v>
      </c>
      <c r="E1232" s="12">
        <v>40746</v>
      </c>
      <c r="F1232" s="15" t="s">
        <v>958</v>
      </c>
      <c r="G1232" s="15" t="s">
        <v>1125</v>
      </c>
      <c r="H1232" s="242" t="s">
        <v>709</v>
      </c>
      <c r="I1232" s="141">
        <v>1</v>
      </c>
      <c r="J1232" s="141">
        <v>14080.398735153478</v>
      </c>
      <c r="K1232" s="238">
        <f t="shared" si="92"/>
        <v>14080</v>
      </c>
      <c r="L1232" s="14" t="s">
        <v>161</v>
      </c>
      <c r="M1232" s="14" t="s">
        <v>155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>x</v>
      </c>
      <c r="Z1232" s="121"/>
    </row>
    <row r="1233" spans="1:26" ht="15.75" customHeight="1">
      <c r="A1233" s="125" t="str">
        <f>IF(B1233&lt;&gt;"",IF(AND(B1233&gt;=_TM1,B1233&lt;=_TM2,OR(TH!L1233="1111",TH!M1233="1111")),TH!D1233,""),"")</f>
        <v/>
      </c>
      <c r="B1233" s="11">
        <f t="shared" si="90"/>
        <v>7</v>
      </c>
      <c r="C1233" s="12">
        <f t="shared" si="91"/>
        <v>40746</v>
      </c>
      <c r="D1233" s="12" t="s">
        <v>912</v>
      </c>
      <c r="E1233" s="12">
        <v>40746</v>
      </c>
      <c r="F1233" s="15" t="s">
        <v>731</v>
      </c>
      <c r="G1233" s="15" t="s">
        <v>1125</v>
      </c>
      <c r="H1233" s="242" t="s">
        <v>709</v>
      </c>
      <c r="I1233" s="141">
        <v>5</v>
      </c>
      <c r="J1233" s="141">
        <v>10373.798735153479</v>
      </c>
      <c r="K1233" s="238">
        <f t="shared" si="92"/>
        <v>51869</v>
      </c>
      <c r="L1233" s="14" t="s">
        <v>161</v>
      </c>
      <c r="M1233" s="14" t="s">
        <v>155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>x</v>
      </c>
      <c r="Z1233" s="121"/>
    </row>
    <row r="1234" spans="1:26" ht="15.75" customHeight="1">
      <c r="A1234" s="125" t="str">
        <f>IF(B1234&lt;&gt;"",IF(AND(B1234&gt;=_TM1,B1234&lt;=_TM2,OR(TH!L1234="1111",TH!M1234="1111")),TH!D1234,""),"")</f>
        <v/>
      </c>
      <c r="B1234" s="11">
        <f t="shared" si="90"/>
        <v>7</v>
      </c>
      <c r="C1234" s="12">
        <f t="shared" si="91"/>
        <v>40746</v>
      </c>
      <c r="D1234" s="12" t="s">
        <v>912</v>
      </c>
      <c r="E1234" s="12">
        <v>40746</v>
      </c>
      <c r="F1234" s="15" t="s">
        <v>724</v>
      </c>
      <c r="G1234" s="15" t="s">
        <v>1125</v>
      </c>
      <c r="H1234" s="242" t="s">
        <v>709</v>
      </c>
      <c r="I1234" s="141">
        <v>6</v>
      </c>
      <c r="J1234" s="141">
        <v>9490.3987351534797</v>
      </c>
      <c r="K1234" s="238">
        <f t="shared" si="92"/>
        <v>56942</v>
      </c>
      <c r="L1234" s="14" t="s">
        <v>161</v>
      </c>
      <c r="M1234" s="14" t="s">
        <v>155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>x</v>
      </c>
      <c r="Z1234" s="121"/>
    </row>
    <row r="1235" spans="1:26" ht="15.75" customHeight="1">
      <c r="A1235" s="125" t="str">
        <f>IF(B1235&lt;&gt;"",IF(AND(B1235&gt;=_TM1,B1235&lt;=_TM2,OR(TH!L1235="1111",TH!M1235="1111")),TH!D1235,""),"")</f>
        <v/>
      </c>
      <c r="B1235" s="11">
        <f t="shared" si="90"/>
        <v>7</v>
      </c>
      <c r="C1235" s="115">
        <v>40747</v>
      </c>
      <c r="D1235" s="115" t="s">
        <v>913</v>
      </c>
      <c r="E1235" s="115">
        <v>40747</v>
      </c>
      <c r="F1235" s="116" t="s">
        <v>953</v>
      </c>
      <c r="G1235" s="224" t="s">
        <v>1126</v>
      </c>
      <c r="H1235" s="117" t="s">
        <v>709</v>
      </c>
      <c r="I1235" s="141">
        <v>10</v>
      </c>
      <c r="J1235" s="141">
        <v>15053</v>
      </c>
      <c r="K1235" s="238">
        <v>150530</v>
      </c>
      <c r="L1235" s="118" t="s">
        <v>237</v>
      </c>
      <c r="M1235" s="118" t="s">
        <v>163</v>
      </c>
      <c r="N1235" s="25" t="str">
        <f>IF(AND('331-CT'!$E$7=TH!H1235,OR(L1235="331",M1235="331")),"331",IF(AND(OR(L1235="131",M1235="131"),H1235='131-CT'!$E$7),"131",""))</f>
        <v>131</v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>x</v>
      </c>
      <c r="Z1235" s="121"/>
    </row>
    <row r="1236" spans="1:26" ht="15.75" customHeight="1">
      <c r="A1236" s="125" t="str">
        <f>IF(B1236&lt;&gt;"",IF(AND(B1236&gt;=_TM1,B1236&lt;=_TM2,OR(TH!L1236="1111",TH!M1236="1111")),TH!D1236,""),"")</f>
        <v/>
      </c>
      <c r="B1236" s="11">
        <f t="shared" si="90"/>
        <v>7</v>
      </c>
      <c r="C1236" s="115">
        <v>40747</v>
      </c>
      <c r="D1236" s="115" t="s">
        <v>913</v>
      </c>
      <c r="E1236" s="115">
        <v>40747</v>
      </c>
      <c r="F1236" s="116" t="s">
        <v>941</v>
      </c>
      <c r="G1236" s="224" t="s">
        <v>1126</v>
      </c>
      <c r="H1236" s="117" t="s">
        <v>709</v>
      </c>
      <c r="I1236" s="141">
        <v>160</v>
      </c>
      <c r="J1236" s="141">
        <v>20976</v>
      </c>
      <c r="K1236" s="238">
        <v>3356160</v>
      </c>
      <c r="L1236" s="118" t="s">
        <v>237</v>
      </c>
      <c r="M1236" s="118" t="s">
        <v>163</v>
      </c>
      <c r="N1236" s="25" t="str">
        <f>IF(AND('331-CT'!$E$7=TH!H1236,OR(L1236="331",M1236="331")),"331",IF(AND(OR(L1236="131",M1236="131"),H1236='131-CT'!$E$7),"131",""))</f>
        <v>131</v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>x</v>
      </c>
      <c r="Z1236" s="121"/>
    </row>
    <row r="1237" spans="1:26" ht="15.75" customHeight="1">
      <c r="A1237" s="125" t="str">
        <f>IF(B1237&lt;&gt;"",IF(AND(B1237&gt;=_TM1,B1237&lt;=_TM2,OR(TH!L1237="1111",TH!M1237="1111")),TH!D1237,""),"")</f>
        <v/>
      </c>
      <c r="B1237" s="11">
        <f t="shared" si="90"/>
        <v>7</v>
      </c>
      <c r="C1237" s="115">
        <v>40747</v>
      </c>
      <c r="D1237" s="115" t="s">
        <v>913</v>
      </c>
      <c r="E1237" s="115">
        <v>40747</v>
      </c>
      <c r="F1237" s="116" t="s">
        <v>732</v>
      </c>
      <c r="G1237" s="224" t="s">
        <v>1126</v>
      </c>
      <c r="H1237" s="117" t="s">
        <v>709</v>
      </c>
      <c r="I1237" s="141">
        <v>55</v>
      </c>
      <c r="J1237" s="141">
        <v>4422</v>
      </c>
      <c r="K1237" s="238">
        <v>243210</v>
      </c>
      <c r="L1237" s="118" t="s">
        <v>237</v>
      </c>
      <c r="M1237" s="118" t="s">
        <v>163</v>
      </c>
      <c r="N1237" s="25" t="str">
        <f>IF(AND('331-CT'!$E$7=TH!H1237,OR(L1237="331",M1237="331")),"331",IF(AND(OR(L1237="131",M1237="131"),H1237='131-CT'!$E$7),"131",""))</f>
        <v>131</v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>x</v>
      </c>
      <c r="Z1237" s="121"/>
    </row>
    <row r="1238" spans="1:26" ht="15.75" customHeight="1">
      <c r="A1238" s="125" t="str">
        <f>IF(B1238&lt;&gt;"",IF(AND(B1238&gt;=_TM1,B1238&lt;=_TM2,OR(TH!L1238="1111",TH!M1238="1111")),TH!D1238,""),"")</f>
        <v/>
      </c>
      <c r="B1238" s="11">
        <f t="shared" ref="B1238:B1301" si="93">IF(C1238&lt;&gt;"",MONTH(C1238),"")</f>
        <v>7</v>
      </c>
      <c r="C1238" s="115">
        <v>40747</v>
      </c>
      <c r="D1238" s="115" t="s">
        <v>913</v>
      </c>
      <c r="E1238" s="115">
        <v>40747</v>
      </c>
      <c r="F1238" s="116" t="s">
        <v>725</v>
      </c>
      <c r="G1238" s="224" t="s">
        <v>1126</v>
      </c>
      <c r="H1238" s="117" t="s">
        <v>709</v>
      </c>
      <c r="I1238" s="141">
        <v>8</v>
      </c>
      <c r="J1238" s="141">
        <v>12564</v>
      </c>
      <c r="K1238" s="238">
        <v>100512</v>
      </c>
      <c r="L1238" s="118" t="s">
        <v>237</v>
      </c>
      <c r="M1238" s="118" t="s">
        <v>163</v>
      </c>
      <c r="N1238" s="25" t="str">
        <f>IF(AND('331-CT'!$E$7=TH!H1238,OR(L1238="331",M1238="331")),"331",IF(AND(OR(L1238="131",M1238="131"),H1238='131-CT'!$E$7),"131",""))</f>
        <v>131</v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>x</v>
      </c>
      <c r="Z1238" s="121"/>
    </row>
    <row r="1239" spans="1:26" ht="15.75" customHeight="1">
      <c r="A1239" s="125" t="str">
        <f>IF(B1239&lt;&gt;"",IF(AND(B1239&gt;=_TM1,B1239&lt;=_TM2,OR(TH!L1239="1111",TH!M1239="1111")),TH!D1239,""),"")</f>
        <v/>
      </c>
      <c r="B1239" s="11">
        <f t="shared" si="93"/>
        <v>7</v>
      </c>
      <c r="C1239" s="115">
        <v>40747</v>
      </c>
      <c r="D1239" s="115" t="s">
        <v>913</v>
      </c>
      <c r="E1239" s="115">
        <v>40747</v>
      </c>
      <c r="F1239" s="116" t="s">
        <v>733</v>
      </c>
      <c r="G1239" s="224" t="s">
        <v>1126</v>
      </c>
      <c r="H1239" s="117" t="s">
        <v>709</v>
      </c>
      <c r="I1239" s="141">
        <v>1</v>
      </c>
      <c r="J1239" s="141">
        <v>5210</v>
      </c>
      <c r="K1239" s="238">
        <v>5210</v>
      </c>
      <c r="L1239" s="118" t="s">
        <v>237</v>
      </c>
      <c r="M1239" s="118" t="s">
        <v>163</v>
      </c>
      <c r="N1239" s="25" t="str">
        <f>IF(AND('331-CT'!$E$7=TH!H1239,OR(L1239="331",M1239="331")),"331",IF(AND(OR(L1239="131",M1239="131"),H1239='131-CT'!$E$7),"131",""))</f>
        <v>131</v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>x</v>
      </c>
      <c r="Z1239" s="121"/>
    </row>
    <row r="1240" spans="1:26" ht="15.75" customHeight="1">
      <c r="A1240" s="125" t="str">
        <f>IF(B1240&lt;&gt;"",IF(AND(B1240&gt;=_TM1,B1240&lt;=_TM2,OR(TH!L1240="1111",TH!M1240="1111")),TH!D1240,""),"")</f>
        <v/>
      </c>
      <c r="B1240" s="11">
        <f t="shared" si="93"/>
        <v>7</v>
      </c>
      <c r="C1240" s="115">
        <v>40747</v>
      </c>
      <c r="D1240" s="115" t="s">
        <v>913</v>
      </c>
      <c r="E1240" s="115">
        <v>40747</v>
      </c>
      <c r="F1240" s="114" t="s">
        <v>872</v>
      </c>
      <c r="G1240" s="224" t="s">
        <v>1126</v>
      </c>
      <c r="H1240" s="117" t="s">
        <v>709</v>
      </c>
      <c r="I1240" s="141">
        <v>1</v>
      </c>
      <c r="J1240" s="141">
        <v>7094</v>
      </c>
      <c r="K1240" s="238">
        <v>7094</v>
      </c>
      <c r="L1240" s="118" t="s">
        <v>237</v>
      </c>
      <c r="M1240" s="118" t="s">
        <v>163</v>
      </c>
      <c r="N1240" s="25" t="str">
        <f>IF(AND('331-CT'!$E$7=TH!H1240,OR(L1240="331",M1240="331")),"331",IF(AND(OR(L1240="131",M1240="131"),H1240='131-CT'!$E$7),"131",""))</f>
        <v>131</v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>x</v>
      </c>
      <c r="Z1240" s="121"/>
    </row>
    <row r="1241" spans="1:26" ht="15.75" customHeight="1">
      <c r="A1241" s="125" t="str">
        <f>IF(B1241&lt;&gt;"",IF(AND(B1241&gt;=_TM1,B1241&lt;=_TM2,OR(TH!L1241="1111",TH!M1241="1111")),TH!D1241,""),"")</f>
        <v/>
      </c>
      <c r="B1241" s="11">
        <f t="shared" si="93"/>
        <v>7</v>
      </c>
      <c r="C1241" s="115">
        <v>40747</v>
      </c>
      <c r="D1241" s="115" t="s">
        <v>913</v>
      </c>
      <c r="E1241" s="115">
        <v>40747</v>
      </c>
      <c r="F1241" s="116" t="s">
        <v>721</v>
      </c>
      <c r="G1241" s="224" t="s">
        <v>1126</v>
      </c>
      <c r="H1241" s="117" t="s">
        <v>709</v>
      </c>
      <c r="I1241" s="141">
        <v>2</v>
      </c>
      <c r="J1241" s="141">
        <v>9263</v>
      </c>
      <c r="K1241" s="238">
        <v>18526</v>
      </c>
      <c r="L1241" s="118" t="s">
        <v>237</v>
      </c>
      <c r="M1241" s="118" t="s">
        <v>163</v>
      </c>
      <c r="N1241" s="25" t="str">
        <f>IF(AND('331-CT'!$E$7=TH!H1241,OR(L1241="331",M1241="331")),"331",IF(AND(OR(L1241="131",M1241="131"),H1241='131-CT'!$E$7),"131",""))</f>
        <v>131</v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>x</v>
      </c>
      <c r="Z1241" s="121"/>
    </row>
    <row r="1242" spans="1:26" ht="15.75" customHeight="1">
      <c r="A1242" s="125" t="str">
        <f>IF(B1242&lt;&gt;"",IF(AND(B1242&gt;=_TM1,B1242&lt;=_TM2,OR(TH!L1242="1111",TH!M1242="1111")),TH!D1242,""),"")</f>
        <v/>
      </c>
      <c r="B1242" s="11">
        <f t="shared" si="93"/>
        <v>7</v>
      </c>
      <c r="C1242" s="115">
        <v>40747</v>
      </c>
      <c r="D1242" s="115" t="s">
        <v>913</v>
      </c>
      <c r="E1242" s="115">
        <v>40747</v>
      </c>
      <c r="F1242" s="116" t="s">
        <v>723</v>
      </c>
      <c r="G1242" s="224" t="s">
        <v>1126</v>
      </c>
      <c r="H1242" s="117" t="s">
        <v>709</v>
      </c>
      <c r="I1242" s="141">
        <v>2</v>
      </c>
      <c r="J1242" s="141">
        <v>11321</v>
      </c>
      <c r="K1242" s="238">
        <v>22642</v>
      </c>
      <c r="L1242" s="118" t="s">
        <v>237</v>
      </c>
      <c r="M1242" s="118" t="s">
        <v>163</v>
      </c>
      <c r="N1242" s="25" t="str">
        <f>IF(AND('331-CT'!$E$7=TH!H1242,OR(L1242="331",M1242="331")),"331",IF(AND(OR(L1242="131",M1242="131"),H1242='131-CT'!$E$7),"131",""))</f>
        <v>131</v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>x</v>
      </c>
      <c r="Z1242" s="121"/>
    </row>
    <row r="1243" spans="1:26" ht="15.75" customHeight="1">
      <c r="A1243" s="125" t="str">
        <f>IF(B1243&lt;&gt;"",IF(AND(B1243&gt;=_TM1,B1243&lt;=_TM2,OR(TH!L1243="1111",TH!M1243="1111")),TH!D1243,""),"")</f>
        <v/>
      </c>
      <c r="B1243" s="11">
        <f t="shared" si="93"/>
        <v>7</v>
      </c>
      <c r="C1243" s="115">
        <v>40747</v>
      </c>
      <c r="D1243" s="115" t="s">
        <v>913</v>
      </c>
      <c r="E1243" s="115">
        <v>40747</v>
      </c>
      <c r="F1243" s="116" t="s">
        <v>1121</v>
      </c>
      <c r="G1243" s="224" t="s">
        <v>1126</v>
      </c>
      <c r="H1243" s="117" t="s">
        <v>709</v>
      </c>
      <c r="I1243" s="141"/>
      <c r="J1243" s="141"/>
      <c r="K1243" s="238">
        <v>390388</v>
      </c>
      <c r="L1243" s="118" t="s">
        <v>237</v>
      </c>
      <c r="M1243" s="118" t="s">
        <v>707</v>
      </c>
      <c r="N1243" s="25" t="str">
        <f>IF(AND('331-CT'!$E$7=TH!H1243,OR(L1243="331",M1243="331")),"331",IF(AND(OR(L1243="131",M1243="131"),H1243='131-CT'!$E$7),"131",""))</f>
        <v>131</v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>x</v>
      </c>
      <c r="Z1243" s="121"/>
    </row>
    <row r="1244" spans="1:26" ht="15.75" customHeight="1">
      <c r="A1244" s="125" t="str">
        <f>IF(B1244&lt;&gt;"",IF(AND(B1244&gt;=_TM1,B1244&lt;=_TM2,OR(TH!L1244="1111",TH!M1244="1111")),TH!D1244,""),"")</f>
        <v/>
      </c>
      <c r="B1244" s="11">
        <f t="shared" si="93"/>
        <v>7</v>
      </c>
      <c r="C1244" s="12">
        <f t="shared" ref="C1244:C1262" si="94">E1244</f>
        <v>40747</v>
      </c>
      <c r="D1244" s="12" t="s">
        <v>1045</v>
      </c>
      <c r="E1244" s="304">
        <v>40747</v>
      </c>
      <c r="F1244" s="15" t="s">
        <v>577</v>
      </c>
      <c r="G1244" s="15"/>
      <c r="H1244" s="242" t="s">
        <v>1037</v>
      </c>
      <c r="I1244" s="141">
        <v>55</v>
      </c>
      <c r="J1244" s="141">
        <v>24276</v>
      </c>
      <c r="K1244" s="238">
        <f t="shared" ref="K1244:K1262" si="95">ROUND(I1244*J1244,0)</f>
        <v>1335180</v>
      </c>
      <c r="L1244" s="14" t="s">
        <v>153</v>
      </c>
      <c r="M1244" s="14" t="s">
        <v>147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>x</v>
      </c>
      <c r="Z1244" s="121"/>
    </row>
    <row r="1245" spans="1:26" ht="15.75" customHeight="1">
      <c r="A1245" s="125" t="str">
        <f>IF(B1245&lt;&gt;"",IF(AND(B1245&gt;=_TM1,B1245&lt;=_TM2,OR(TH!L1245="1111",TH!M1245="1111")),TH!D1245,""),"")</f>
        <v/>
      </c>
      <c r="B1245" s="11">
        <f t="shared" si="93"/>
        <v>7</v>
      </c>
      <c r="C1245" s="12">
        <f t="shared" si="94"/>
        <v>40747</v>
      </c>
      <c r="D1245" s="12" t="s">
        <v>1045</v>
      </c>
      <c r="E1245" s="304">
        <v>40747</v>
      </c>
      <c r="F1245" s="15" t="s">
        <v>605</v>
      </c>
      <c r="G1245" s="15"/>
      <c r="H1245" s="242" t="s">
        <v>1037</v>
      </c>
      <c r="I1245" s="315">
        <v>48.5</v>
      </c>
      <c r="J1245" s="141">
        <v>32985</v>
      </c>
      <c r="K1245" s="238">
        <f t="shared" si="95"/>
        <v>1599773</v>
      </c>
      <c r="L1245" s="14" t="s">
        <v>153</v>
      </c>
      <c r="M1245" s="14" t="s">
        <v>147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>x</v>
      </c>
      <c r="Z1245" s="121"/>
    </row>
    <row r="1246" spans="1:26" ht="15.75" customHeight="1">
      <c r="A1246" s="125" t="str">
        <f>IF(B1246&lt;&gt;"",IF(AND(B1246&gt;=_TM1,B1246&lt;=_TM2,OR(TH!L1246="1111",TH!M1246="1111")),TH!D1246,""),"")</f>
        <v/>
      </c>
      <c r="B1246" s="11">
        <f t="shared" si="93"/>
        <v>7</v>
      </c>
      <c r="C1246" s="12">
        <f t="shared" si="94"/>
        <v>40747</v>
      </c>
      <c r="D1246" s="12" t="s">
        <v>1045</v>
      </c>
      <c r="E1246" s="304">
        <v>40747</v>
      </c>
      <c r="F1246" s="15" t="s">
        <v>567</v>
      </c>
      <c r="G1246" s="15"/>
      <c r="H1246" s="242" t="s">
        <v>1037</v>
      </c>
      <c r="I1246" s="141">
        <v>27.5</v>
      </c>
      <c r="J1246" s="141">
        <v>35812</v>
      </c>
      <c r="K1246" s="238">
        <f t="shared" si="95"/>
        <v>984830</v>
      </c>
      <c r="L1246" s="14" t="s">
        <v>153</v>
      </c>
      <c r="M1246" s="14" t="s">
        <v>147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>x</v>
      </c>
      <c r="Z1246" s="121"/>
    </row>
    <row r="1247" spans="1:26" ht="15.75" customHeight="1">
      <c r="A1247" s="125" t="str">
        <f>IF(B1247&lt;&gt;"",IF(AND(B1247&gt;=_TM1,B1247&lt;=_TM2,OR(TH!L1247="1111",TH!M1247="1111")),TH!D1247,""),"")</f>
        <v/>
      </c>
      <c r="B1247" s="11">
        <f t="shared" si="93"/>
        <v>7</v>
      </c>
      <c r="C1247" s="12">
        <f t="shared" si="94"/>
        <v>40747</v>
      </c>
      <c r="D1247" s="12" t="s">
        <v>1063</v>
      </c>
      <c r="E1247" s="12">
        <v>40747</v>
      </c>
      <c r="F1247" s="15" t="s">
        <v>953</v>
      </c>
      <c r="G1247" s="15"/>
      <c r="H1247" s="242" t="s">
        <v>1037</v>
      </c>
      <c r="I1247" s="141">
        <v>10</v>
      </c>
      <c r="J1247" s="141">
        <v>13625.39873515348</v>
      </c>
      <c r="K1247" s="238">
        <f t="shared" si="95"/>
        <v>136254</v>
      </c>
      <c r="L1247" s="14" t="s">
        <v>155</v>
      </c>
      <c r="M1247" s="14" t="s">
        <v>153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>x</v>
      </c>
      <c r="Z1247" s="121"/>
    </row>
    <row r="1248" spans="1:26" ht="15.75" customHeight="1">
      <c r="A1248" s="125" t="str">
        <f>IF(B1248&lt;&gt;"",IF(AND(B1248&gt;=_TM1,B1248&lt;=_TM2,OR(TH!L1248="1111",TH!M1248="1111")),TH!D1248,""),"")</f>
        <v/>
      </c>
      <c r="B1248" s="11">
        <f t="shared" si="93"/>
        <v>7</v>
      </c>
      <c r="C1248" s="12">
        <f t="shared" si="94"/>
        <v>40747</v>
      </c>
      <c r="D1248" s="12" t="s">
        <v>1063</v>
      </c>
      <c r="E1248" s="12">
        <v>40747</v>
      </c>
      <c r="F1248" s="15" t="s">
        <v>941</v>
      </c>
      <c r="G1248" s="15"/>
      <c r="H1248" s="242" t="s">
        <v>1037</v>
      </c>
      <c r="I1248" s="141">
        <v>160</v>
      </c>
      <c r="J1248" s="141">
        <v>18925.398735153474</v>
      </c>
      <c r="K1248" s="238">
        <f t="shared" si="95"/>
        <v>3028064</v>
      </c>
      <c r="L1248" s="14" t="s">
        <v>155</v>
      </c>
      <c r="M1248" s="14" t="s">
        <v>153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/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>x</v>
      </c>
      <c r="Z1248" s="121"/>
    </row>
    <row r="1249" spans="1:26" ht="15.75" customHeight="1">
      <c r="A1249" s="125" t="str">
        <f>IF(B1249&lt;&gt;"",IF(AND(B1249&gt;=_TM1,B1249&lt;=_TM2,OR(TH!L1249="1111",TH!M1249="1111")),TH!D1249,""),"")</f>
        <v/>
      </c>
      <c r="B1249" s="11">
        <f t="shared" si="93"/>
        <v>7</v>
      </c>
      <c r="C1249" s="12">
        <f t="shared" si="94"/>
        <v>40747</v>
      </c>
      <c r="D1249" s="12" t="s">
        <v>1063</v>
      </c>
      <c r="E1249" s="12">
        <v>40747</v>
      </c>
      <c r="F1249" s="116" t="s">
        <v>732</v>
      </c>
      <c r="G1249" s="15"/>
      <c r="H1249" s="242" t="s">
        <v>1037</v>
      </c>
      <c r="I1249" s="141">
        <v>55</v>
      </c>
      <c r="J1249" s="141">
        <v>4487.3441896989325</v>
      </c>
      <c r="K1249" s="238">
        <f t="shared" si="95"/>
        <v>246804</v>
      </c>
      <c r="L1249" s="14" t="s">
        <v>155</v>
      </c>
      <c r="M1249" s="14" t="s">
        <v>153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>x</v>
      </c>
      <c r="Z1249" s="121"/>
    </row>
    <row r="1250" spans="1:26" ht="15.75" customHeight="1">
      <c r="A1250" s="125" t="str">
        <f>IF(B1250&lt;&gt;"",IF(AND(B1250&gt;=_TM1,B1250&lt;=_TM2,OR(TH!L1250="1111",TH!M1250="1111")),TH!D1250,""),"")</f>
        <v/>
      </c>
      <c r="B1250" s="11">
        <f t="shared" si="93"/>
        <v>7</v>
      </c>
      <c r="C1250" s="12">
        <f t="shared" si="94"/>
        <v>40747</v>
      </c>
      <c r="D1250" s="12" t="s">
        <v>1063</v>
      </c>
      <c r="E1250" s="12">
        <v>40747</v>
      </c>
      <c r="F1250" s="15" t="s">
        <v>725</v>
      </c>
      <c r="G1250" s="15"/>
      <c r="H1250" s="242" t="s">
        <v>1037</v>
      </c>
      <c r="I1250" s="141">
        <v>8</v>
      </c>
      <c r="J1250" s="141">
        <v>10373.648735153478</v>
      </c>
      <c r="K1250" s="238">
        <f t="shared" si="95"/>
        <v>82989</v>
      </c>
      <c r="L1250" s="14" t="s">
        <v>155</v>
      </c>
      <c r="M1250" s="14" t="s">
        <v>153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>x</v>
      </c>
      <c r="Z1250" s="121"/>
    </row>
    <row r="1251" spans="1:26" ht="15.75" customHeight="1">
      <c r="A1251" s="125" t="str">
        <f>IF(B1251&lt;&gt;"",IF(AND(B1251&gt;=_TM1,B1251&lt;=_TM2,OR(TH!L1251="1111",TH!M1251="1111")),TH!D1251,""),"")</f>
        <v/>
      </c>
      <c r="B1251" s="11">
        <f t="shared" si="93"/>
        <v>7</v>
      </c>
      <c r="C1251" s="12">
        <f t="shared" si="94"/>
        <v>40747</v>
      </c>
      <c r="D1251" s="12" t="s">
        <v>1063</v>
      </c>
      <c r="E1251" s="12">
        <v>40747</v>
      </c>
      <c r="F1251" s="15" t="s">
        <v>733</v>
      </c>
      <c r="G1251" s="15"/>
      <c r="H1251" s="242" t="s">
        <v>1037</v>
      </c>
      <c r="I1251" s="141">
        <v>1</v>
      </c>
      <c r="J1251" s="141">
        <v>4447.3987351534788</v>
      </c>
      <c r="K1251" s="238">
        <f t="shared" si="95"/>
        <v>4447</v>
      </c>
      <c r="L1251" s="14" t="s">
        <v>155</v>
      </c>
      <c r="M1251" s="14" t="s">
        <v>153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>x</v>
      </c>
      <c r="Z1251" s="121"/>
    </row>
    <row r="1252" spans="1:26" ht="15.75" customHeight="1">
      <c r="A1252" s="125" t="str">
        <f>IF(B1252&lt;&gt;"",IF(AND(B1252&gt;=_TM1,B1252&lt;=_TM2,OR(TH!L1252="1111",TH!M1252="1111")),TH!D1252,""),"")</f>
        <v/>
      </c>
      <c r="B1252" s="11">
        <f t="shared" si="93"/>
        <v>7</v>
      </c>
      <c r="C1252" s="12">
        <f t="shared" si="94"/>
        <v>40747</v>
      </c>
      <c r="D1252" s="12" t="s">
        <v>1063</v>
      </c>
      <c r="E1252" s="12">
        <v>40747</v>
      </c>
      <c r="F1252" s="114" t="s">
        <v>872</v>
      </c>
      <c r="G1252" s="15"/>
      <c r="H1252" s="242" t="s">
        <v>1037</v>
      </c>
      <c r="I1252" s="141">
        <v>1</v>
      </c>
      <c r="J1252" s="141">
        <v>6671.3987351534788</v>
      </c>
      <c r="K1252" s="238">
        <f t="shared" si="95"/>
        <v>6671</v>
      </c>
      <c r="L1252" s="14" t="s">
        <v>155</v>
      </c>
      <c r="M1252" s="14" t="s">
        <v>153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>x</v>
      </c>
      <c r="Z1252" s="121"/>
    </row>
    <row r="1253" spans="1:26" ht="15.75" customHeight="1">
      <c r="A1253" s="125" t="str">
        <f>IF(B1253&lt;&gt;"",IF(AND(B1253&gt;=_TM1,B1253&lt;=_TM2,OR(TH!L1253="1111",TH!M1253="1111")),TH!D1253,""),"")</f>
        <v/>
      </c>
      <c r="B1253" s="11">
        <f t="shared" si="93"/>
        <v>7</v>
      </c>
      <c r="C1253" s="12">
        <f t="shared" si="94"/>
        <v>40747</v>
      </c>
      <c r="D1253" s="12" t="s">
        <v>1063</v>
      </c>
      <c r="E1253" s="12">
        <v>40747</v>
      </c>
      <c r="F1253" s="15" t="s">
        <v>721</v>
      </c>
      <c r="G1253" s="15"/>
      <c r="H1253" s="242" t="s">
        <v>1037</v>
      </c>
      <c r="I1253" s="141">
        <v>2</v>
      </c>
      <c r="J1253" s="141">
        <v>8248.3987351534779</v>
      </c>
      <c r="K1253" s="238">
        <f t="shared" si="95"/>
        <v>16497</v>
      </c>
      <c r="L1253" s="14" t="s">
        <v>155</v>
      </c>
      <c r="M1253" s="14" t="s">
        <v>153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>x</v>
      </c>
      <c r="Z1253" s="121"/>
    </row>
    <row r="1254" spans="1:26" ht="15.75" customHeight="1">
      <c r="A1254" s="125" t="str">
        <f>IF(B1254&lt;&gt;"",IF(AND(B1254&gt;=_TM1,B1254&lt;=_TM2,OR(TH!L1254="1111",TH!M1254="1111")),TH!D1254,""),"")</f>
        <v/>
      </c>
      <c r="B1254" s="11">
        <f t="shared" si="93"/>
        <v>7</v>
      </c>
      <c r="C1254" s="12">
        <f t="shared" si="94"/>
        <v>40747</v>
      </c>
      <c r="D1254" s="12" t="s">
        <v>1063</v>
      </c>
      <c r="E1254" s="12">
        <v>40747</v>
      </c>
      <c r="F1254" s="15" t="s">
        <v>723</v>
      </c>
      <c r="G1254" s="15"/>
      <c r="H1254" s="242" t="s">
        <v>1037</v>
      </c>
      <c r="I1254" s="141">
        <v>2</v>
      </c>
      <c r="J1254" s="141">
        <v>10373.898735153478</v>
      </c>
      <c r="K1254" s="238">
        <f t="shared" si="95"/>
        <v>20748</v>
      </c>
      <c r="L1254" s="14" t="s">
        <v>155</v>
      </c>
      <c r="M1254" s="14" t="s">
        <v>153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>x</v>
      </c>
      <c r="Z1254" s="121"/>
    </row>
    <row r="1255" spans="1:26" ht="15.75" customHeight="1">
      <c r="A1255" s="125" t="str">
        <f>IF(B1255&lt;&gt;"",IF(AND(B1255&gt;=_TM1,B1255&lt;=_TM2,OR(TH!L1255="1111",TH!M1255="1111")),TH!D1255,""),"")</f>
        <v/>
      </c>
      <c r="B1255" s="11">
        <f t="shared" si="93"/>
        <v>7</v>
      </c>
      <c r="C1255" s="12">
        <f t="shared" si="94"/>
        <v>40747</v>
      </c>
      <c r="D1255" s="12" t="s">
        <v>913</v>
      </c>
      <c r="E1255" s="12">
        <v>40747</v>
      </c>
      <c r="F1255" s="15" t="s">
        <v>953</v>
      </c>
      <c r="G1255" s="15" t="s">
        <v>1126</v>
      </c>
      <c r="H1255" s="242" t="s">
        <v>709</v>
      </c>
      <c r="I1255" s="141">
        <v>10</v>
      </c>
      <c r="J1255" s="141">
        <v>13625.39873515348</v>
      </c>
      <c r="K1255" s="238">
        <f t="shared" si="95"/>
        <v>136254</v>
      </c>
      <c r="L1255" s="14" t="s">
        <v>161</v>
      </c>
      <c r="M1255" s="14" t="s">
        <v>155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>x</v>
      </c>
      <c r="Z1255" s="121"/>
    </row>
    <row r="1256" spans="1:26" ht="15.75" customHeight="1">
      <c r="A1256" s="125" t="str">
        <f>IF(B1256&lt;&gt;"",IF(AND(B1256&gt;=_TM1,B1256&lt;=_TM2,OR(TH!L1256="1111",TH!M1256="1111")),TH!D1256,""),"")</f>
        <v/>
      </c>
      <c r="B1256" s="11">
        <f t="shared" si="93"/>
        <v>7</v>
      </c>
      <c r="C1256" s="12">
        <f t="shared" si="94"/>
        <v>40747</v>
      </c>
      <c r="D1256" s="12" t="s">
        <v>913</v>
      </c>
      <c r="E1256" s="12">
        <v>40747</v>
      </c>
      <c r="F1256" s="15" t="s">
        <v>941</v>
      </c>
      <c r="G1256" s="15" t="s">
        <v>1126</v>
      </c>
      <c r="H1256" s="242" t="s">
        <v>709</v>
      </c>
      <c r="I1256" s="141">
        <v>160</v>
      </c>
      <c r="J1256" s="141">
        <v>18925.398735153474</v>
      </c>
      <c r="K1256" s="238">
        <f t="shared" si="95"/>
        <v>3028064</v>
      </c>
      <c r="L1256" s="14" t="s">
        <v>161</v>
      </c>
      <c r="M1256" s="14" t="s">
        <v>155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>x</v>
      </c>
      <c r="Z1256" s="121"/>
    </row>
    <row r="1257" spans="1:26" ht="15.75" customHeight="1">
      <c r="A1257" s="125" t="str">
        <f>IF(B1257&lt;&gt;"",IF(AND(B1257&gt;=_TM1,B1257&lt;=_TM2,OR(TH!L1257="1111",TH!M1257="1111")),TH!D1257,""),"")</f>
        <v/>
      </c>
      <c r="B1257" s="11">
        <f t="shared" si="93"/>
        <v>7</v>
      </c>
      <c r="C1257" s="12">
        <f t="shared" si="94"/>
        <v>40747</v>
      </c>
      <c r="D1257" s="12" t="s">
        <v>913</v>
      </c>
      <c r="E1257" s="12">
        <v>40747</v>
      </c>
      <c r="F1257" s="116" t="s">
        <v>732</v>
      </c>
      <c r="G1257" s="15" t="s">
        <v>1126</v>
      </c>
      <c r="H1257" s="242" t="s">
        <v>709</v>
      </c>
      <c r="I1257" s="141">
        <v>55</v>
      </c>
      <c r="J1257" s="141">
        <v>4487.3441896989325</v>
      </c>
      <c r="K1257" s="238">
        <f t="shared" si="95"/>
        <v>246804</v>
      </c>
      <c r="L1257" s="14" t="s">
        <v>161</v>
      </c>
      <c r="M1257" s="14" t="s">
        <v>155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>x</v>
      </c>
      <c r="Z1257" s="121"/>
    </row>
    <row r="1258" spans="1:26" ht="15.75" customHeight="1">
      <c r="A1258" s="125" t="str">
        <f>IF(B1258&lt;&gt;"",IF(AND(B1258&gt;=_TM1,B1258&lt;=_TM2,OR(TH!L1258="1111",TH!M1258="1111")),TH!D1258,""),"")</f>
        <v/>
      </c>
      <c r="B1258" s="11">
        <f t="shared" si="93"/>
        <v>7</v>
      </c>
      <c r="C1258" s="12">
        <f t="shared" si="94"/>
        <v>40747</v>
      </c>
      <c r="D1258" s="12" t="s">
        <v>913</v>
      </c>
      <c r="E1258" s="12">
        <v>40747</v>
      </c>
      <c r="F1258" s="15" t="s">
        <v>725</v>
      </c>
      <c r="G1258" s="15" t="s">
        <v>1126</v>
      </c>
      <c r="H1258" s="242" t="s">
        <v>709</v>
      </c>
      <c r="I1258" s="141">
        <v>8</v>
      </c>
      <c r="J1258" s="141">
        <v>10373.648735153478</v>
      </c>
      <c r="K1258" s="238">
        <f t="shared" si="95"/>
        <v>82989</v>
      </c>
      <c r="L1258" s="14" t="s">
        <v>161</v>
      </c>
      <c r="M1258" s="14" t="s">
        <v>155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>x</v>
      </c>
      <c r="Z1258" s="121"/>
    </row>
    <row r="1259" spans="1:26" ht="15.75" customHeight="1">
      <c r="A1259" s="125" t="str">
        <f>IF(B1259&lt;&gt;"",IF(AND(B1259&gt;=_TM1,B1259&lt;=_TM2,OR(TH!L1259="1111",TH!M1259="1111")),TH!D1259,""),"")</f>
        <v/>
      </c>
      <c r="B1259" s="11">
        <f t="shared" si="93"/>
        <v>7</v>
      </c>
      <c r="C1259" s="12">
        <f t="shared" si="94"/>
        <v>40747</v>
      </c>
      <c r="D1259" s="12" t="s">
        <v>913</v>
      </c>
      <c r="E1259" s="12">
        <v>40747</v>
      </c>
      <c r="F1259" s="15" t="s">
        <v>733</v>
      </c>
      <c r="G1259" s="15" t="s">
        <v>1126</v>
      </c>
      <c r="H1259" s="242" t="s">
        <v>709</v>
      </c>
      <c r="I1259" s="141">
        <v>1</v>
      </c>
      <c r="J1259" s="141">
        <v>4447.3987351534788</v>
      </c>
      <c r="K1259" s="238">
        <f t="shared" si="95"/>
        <v>4447</v>
      </c>
      <c r="L1259" s="14" t="s">
        <v>161</v>
      </c>
      <c r="M1259" s="14" t="s">
        <v>155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>x</v>
      </c>
      <c r="Z1259" s="121"/>
    </row>
    <row r="1260" spans="1:26" ht="15.75" customHeight="1">
      <c r="A1260" s="125" t="str">
        <f>IF(B1260&lt;&gt;"",IF(AND(B1260&gt;=_TM1,B1260&lt;=_TM2,OR(TH!L1260="1111",TH!M1260="1111")),TH!D1260,""),"")</f>
        <v/>
      </c>
      <c r="B1260" s="11">
        <f t="shared" si="93"/>
        <v>7</v>
      </c>
      <c r="C1260" s="12">
        <f t="shared" si="94"/>
        <v>40747</v>
      </c>
      <c r="D1260" s="12" t="s">
        <v>913</v>
      </c>
      <c r="E1260" s="12">
        <v>40747</v>
      </c>
      <c r="F1260" s="114" t="s">
        <v>872</v>
      </c>
      <c r="G1260" s="15" t="s">
        <v>1126</v>
      </c>
      <c r="H1260" s="242" t="s">
        <v>709</v>
      </c>
      <c r="I1260" s="141">
        <v>1</v>
      </c>
      <c r="J1260" s="141">
        <v>6671.3987351534788</v>
      </c>
      <c r="K1260" s="238">
        <f t="shared" si="95"/>
        <v>6671</v>
      </c>
      <c r="L1260" s="14" t="s">
        <v>161</v>
      </c>
      <c r="M1260" s="14" t="s">
        <v>155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>x</v>
      </c>
      <c r="Z1260" s="121"/>
    </row>
    <row r="1261" spans="1:26" ht="15.75" customHeight="1">
      <c r="A1261" s="125" t="str">
        <f>IF(B1261&lt;&gt;"",IF(AND(B1261&gt;=_TM1,B1261&lt;=_TM2,OR(TH!L1261="1111",TH!M1261="1111")),TH!D1261,""),"")</f>
        <v/>
      </c>
      <c r="B1261" s="11">
        <f t="shared" si="93"/>
        <v>7</v>
      </c>
      <c r="C1261" s="12">
        <f t="shared" si="94"/>
        <v>40747</v>
      </c>
      <c r="D1261" s="12" t="s">
        <v>913</v>
      </c>
      <c r="E1261" s="12">
        <v>40747</v>
      </c>
      <c r="F1261" s="15" t="s">
        <v>721</v>
      </c>
      <c r="G1261" s="15" t="s">
        <v>1126</v>
      </c>
      <c r="H1261" s="242" t="s">
        <v>709</v>
      </c>
      <c r="I1261" s="141">
        <v>2</v>
      </c>
      <c r="J1261" s="141">
        <v>8248.3987351534779</v>
      </c>
      <c r="K1261" s="238">
        <f t="shared" si="95"/>
        <v>16497</v>
      </c>
      <c r="L1261" s="14" t="s">
        <v>161</v>
      </c>
      <c r="M1261" s="14" t="s">
        <v>155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>x</v>
      </c>
      <c r="Z1261" s="121"/>
    </row>
    <row r="1262" spans="1:26" ht="15.75" customHeight="1">
      <c r="A1262" s="125" t="str">
        <f>IF(B1262&lt;&gt;"",IF(AND(B1262&gt;=_TM1,B1262&lt;=_TM2,OR(TH!L1262="1111",TH!M1262="1111")),TH!D1262,""),"")</f>
        <v/>
      </c>
      <c r="B1262" s="11">
        <f t="shared" si="93"/>
        <v>7</v>
      </c>
      <c r="C1262" s="12">
        <f t="shared" si="94"/>
        <v>40747</v>
      </c>
      <c r="D1262" s="12" t="s">
        <v>913</v>
      </c>
      <c r="E1262" s="12">
        <v>40747</v>
      </c>
      <c r="F1262" s="15" t="s">
        <v>723</v>
      </c>
      <c r="G1262" s="15" t="s">
        <v>1126</v>
      </c>
      <c r="H1262" s="242" t="s">
        <v>709</v>
      </c>
      <c r="I1262" s="141">
        <v>2</v>
      </c>
      <c r="J1262" s="141">
        <v>10373.898735153478</v>
      </c>
      <c r="K1262" s="238">
        <f t="shared" si="95"/>
        <v>20748</v>
      </c>
      <c r="L1262" s="14" t="s">
        <v>161</v>
      </c>
      <c r="M1262" s="14" t="s">
        <v>155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>x</v>
      </c>
      <c r="Z1262" s="121"/>
    </row>
    <row r="1263" spans="1:26" ht="15.75" customHeight="1">
      <c r="A1263" s="125" t="str">
        <f>IF(B1263&lt;&gt;"",IF(AND(B1263&gt;=_TM1,B1263&lt;=_TM2,OR(TH!L1263="1111",TH!M1263="1111")),TH!D1263,""),"")</f>
        <v/>
      </c>
      <c r="B1263" s="11">
        <f t="shared" si="93"/>
        <v>7</v>
      </c>
      <c r="C1263" s="115">
        <v>40748</v>
      </c>
      <c r="D1263" s="115" t="s">
        <v>914</v>
      </c>
      <c r="E1263" s="115">
        <v>40748</v>
      </c>
      <c r="F1263" s="116" t="s">
        <v>734</v>
      </c>
      <c r="G1263" s="224" t="s">
        <v>1127</v>
      </c>
      <c r="H1263" s="117" t="s">
        <v>709</v>
      </c>
      <c r="I1263" s="141">
        <v>11</v>
      </c>
      <c r="J1263" s="141">
        <v>7348</v>
      </c>
      <c r="K1263" s="238">
        <v>80828</v>
      </c>
      <c r="L1263" s="118" t="s">
        <v>237</v>
      </c>
      <c r="M1263" s="118" t="s">
        <v>163</v>
      </c>
      <c r="N1263" s="25" t="str">
        <f>IF(AND('331-CT'!$E$7=TH!H1263,OR(L1263="331",M1263="331")),"331",IF(AND(OR(L1263="131",M1263="131"),H1263='131-CT'!$E$7),"131",""))</f>
        <v>131</v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>x</v>
      </c>
      <c r="Z1263" s="121"/>
    </row>
    <row r="1264" spans="1:26" ht="15.75" customHeight="1">
      <c r="A1264" s="125" t="str">
        <f>IF(B1264&lt;&gt;"",IF(AND(B1264&gt;=_TM1,B1264&lt;=_TM2,OR(TH!L1264="1111",TH!M1264="1111")),TH!D1264,""),"")</f>
        <v/>
      </c>
      <c r="B1264" s="11">
        <f t="shared" si="93"/>
        <v>7</v>
      </c>
      <c r="C1264" s="115">
        <v>40748</v>
      </c>
      <c r="D1264" s="115" t="s">
        <v>914</v>
      </c>
      <c r="E1264" s="115">
        <v>40748</v>
      </c>
      <c r="F1264" s="116" t="s">
        <v>735</v>
      </c>
      <c r="G1264" s="224" t="s">
        <v>1127</v>
      </c>
      <c r="H1264" s="117" t="s">
        <v>709</v>
      </c>
      <c r="I1264" s="141">
        <v>1</v>
      </c>
      <c r="J1264" s="141">
        <v>15136</v>
      </c>
      <c r="K1264" s="238">
        <v>15136</v>
      </c>
      <c r="L1264" s="118" t="s">
        <v>237</v>
      </c>
      <c r="M1264" s="118" t="s">
        <v>163</v>
      </c>
      <c r="N1264" s="25" t="str">
        <f>IF(AND('331-CT'!$E$7=TH!H1264,OR(L1264="331",M1264="331")),"331",IF(AND(OR(L1264="131",M1264="131"),H1264='131-CT'!$E$7),"131",""))</f>
        <v>131</v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>x</v>
      </c>
      <c r="Z1264" s="121"/>
    </row>
    <row r="1265" spans="1:26" ht="15.75" customHeight="1">
      <c r="A1265" s="125" t="str">
        <f>IF(B1265&lt;&gt;"",IF(AND(B1265&gt;=_TM1,B1265&lt;=_TM2,OR(TH!L1265="1111",TH!M1265="1111")),TH!D1265,""),"")</f>
        <v/>
      </c>
      <c r="B1265" s="11">
        <f t="shared" si="93"/>
        <v>7</v>
      </c>
      <c r="C1265" s="115">
        <v>40748</v>
      </c>
      <c r="D1265" s="115" t="s">
        <v>914</v>
      </c>
      <c r="E1265" s="115">
        <v>40748</v>
      </c>
      <c r="F1265" s="116" t="s">
        <v>959</v>
      </c>
      <c r="G1265" s="224" t="s">
        <v>1127</v>
      </c>
      <c r="H1265" s="117" t="s">
        <v>709</v>
      </c>
      <c r="I1265" s="141">
        <v>5</v>
      </c>
      <c r="J1265" s="141">
        <v>17837</v>
      </c>
      <c r="K1265" s="238">
        <v>89185</v>
      </c>
      <c r="L1265" s="118" t="s">
        <v>237</v>
      </c>
      <c r="M1265" s="118" t="s">
        <v>163</v>
      </c>
      <c r="N1265" s="25" t="str">
        <f>IF(AND('331-CT'!$E$7=TH!H1265,OR(L1265="331",M1265="331")),"331",IF(AND(OR(L1265="131",M1265="131"),H1265='131-CT'!$E$7),"131",""))</f>
        <v>131</v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>x</v>
      </c>
      <c r="Z1265" s="121"/>
    </row>
    <row r="1266" spans="1:26" ht="15.75" customHeight="1">
      <c r="A1266" s="125" t="str">
        <f>IF(B1266&lt;&gt;"",IF(AND(B1266&gt;=_TM1,B1266&lt;=_TM2,OR(TH!L1266="1111",TH!M1266="1111")),TH!D1266,""),"")</f>
        <v/>
      </c>
      <c r="B1266" s="11">
        <f t="shared" si="93"/>
        <v>7</v>
      </c>
      <c r="C1266" s="115">
        <v>40748</v>
      </c>
      <c r="D1266" s="115" t="s">
        <v>914</v>
      </c>
      <c r="E1266" s="115">
        <v>40748</v>
      </c>
      <c r="F1266" s="116" t="s">
        <v>1242</v>
      </c>
      <c r="G1266" s="224" t="s">
        <v>1127</v>
      </c>
      <c r="H1266" s="117" t="s">
        <v>709</v>
      </c>
      <c r="I1266" s="141">
        <v>1</v>
      </c>
      <c r="J1266" s="141">
        <v>10026</v>
      </c>
      <c r="K1266" s="238">
        <v>10026</v>
      </c>
      <c r="L1266" s="118" t="s">
        <v>237</v>
      </c>
      <c r="M1266" s="118" t="s">
        <v>163</v>
      </c>
      <c r="N1266" s="25" t="str">
        <f>IF(AND('331-CT'!$E$7=TH!H1266,OR(L1266="331",M1266="331")),"331",IF(AND(OR(L1266="131",M1266="131"),H1266='131-CT'!$E$7),"131",""))</f>
        <v>131</v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/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>x</v>
      </c>
      <c r="Z1266" s="121"/>
    </row>
    <row r="1267" spans="1:26" ht="15.75" customHeight="1">
      <c r="A1267" s="125" t="str">
        <f>IF(B1267&lt;&gt;"",IF(AND(B1267&gt;=_TM1,B1267&lt;=_TM2,OR(TH!L1267="1111",TH!M1267="1111")),TH!D1267,""),"")</f>
        <v/>
      </c>
      <c r="B1267" s="11">
        <f t="shared" si="93"/>
        <v>7</v>
      </c>
      <c r="C1267" s="115">
        <v>40748</v>
      </c>
      <c r="D1267" s="115" t="s">
        <v>914</v>
      </c>
      <c r="E1267" s="345">
        <v>40748</v>
      </c>
      <c r="F1267" s="116" t="s">
        <v>952</v>
      </c>
      <c r="G1267" s="224" t="s">
        <v>1127</v>
      </c>
      <c r="H1267" s="117" t="s">
        <v>709</v>
      </c>
      <c r="I1267" s="141">
        <v>1</v>
      </c>
      <c r="J1267" s="141">
        <v>10723</v>
      </c>
      <c r="K1267" s="238">
        <v>10723</v>
      </c>
      <c r="L1267" s="118" t="s">
        <v>237</v>
      </c>
      <c r="M1267" s="118" t="s">
        <v>163</v>
      </c>
      <c r="N1267" s="25" t="str">
        <f>IF(AND('331-CT'!$E$7=TH!H1267,OR(L1267="331",M1267="331")),"331",IF(AND(OR(L1267="131",M1267="131"),H1267='131-CT'!$E$7),"131",""))</f>
        <v>131</v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>x</v>
      </c>
      <c r="Z1267" s="121"/>
    </row>
    <row r="1268" spans="1:26" ht="15.75" customHeight="1">
      <c r="A1268" s="125" t="str">
        <f>IF(B1268&lt;&gt;"",IF(AND(B1268&gt;=_TM1,B1268&lt;=_TM2,OR(TH!L1268="1111",TH!M1268="1111")),TH!D1268,""),"")</f>
        <v/>
      </c>
      <c r="B1268" s="11">
        <f t="shared" si="93"/>
        <v>7</v>
      </c>
      <c r="C1268" s="115">
        <v>40748</v>
      </c>
      <c r="D1268" s="115" t="s">
        <v>914</v>
      </c>
      <c r="E1268" s="345">
        <v>40748</v>
      </c>
      <c r="F1268" s="116" t="s">
        <v>1121</v>
      </c>
      <c r="G1268" s="224" t="s">
        <v>1127</v>
      </c>
      <c r="H1268" s="117" t="s">
        <v>709</v>
      </c>
      <c r="I1268" s="141"/>
      <c r="J1268" s="141"/>
      <c r="K1268" s="238">
        <v>20590</v>
      </c>
      <c r="L1268" s="118" t="s">
        <v>237</v>
      </c>
      <c r="M1268" s="118" t="s">
        <v>707</v>
      </c>
      <c r="N1268" s="25" t="str">
        <f>IF(AND('331-CT'!$E$7=TH!H1268,OR(L1268="331",M1268="331")),"331",IF(AND(OR(L1268="131",M1268="131"),H1268='131-CT'!$E$7),"131",""))</f>
        <v>131</v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>x</v>
      </c>
      <c r="Z1268" s="121"/>
    </row>
    <row r="1269" spans="1:26" ht="15.75" customHeight="1">
      <c r="A1269" s="125" t="str">
        <f>IF(B1269&lt;&gt;"",IF(AND(B1269&gt;=_TM1,B1269&lt;=_TM2,OR(TH!L1269="1111",TH!M1269="1111")),TH!D1269,""),"")</f>
        <v/>
      </c>
      <c r="B1269" s="11">
        <f t="shared" si="93"/>
        <v>7</v>
      </c>
      <c r="C1269" s="12">
        <f t="shared" ref="C1269:C1279" si="96">E1269</f>
        <v>40748</v>
      </c>
      <c r="D1269" s="12" t="s">
        <v>1046</v>
      </c>
      <c r="E1269" s="303">
        <v>40748</v>
      </c>
      <c r="F1269" s="114" t="s">
        <v>555</v>
      </c>
      <c r="G1269" s="15"/>
      <c r="H1269" s="242" t="s">
        <v>1037</v>
      </c>
      <c r="I1269" s="141">
        <v>249.5</v>
      </c>
      <c r="J1269" s="141">
        <v>10344</v>
      </c>
      <c r="K1269" s="238">
        <f t="shared" ref="K1269:K1279" si="97">ROUND(I1269*J1269,0)</f>
        <v>2580828</v>
      </c>
      <c r="L1269" s="14" t="s">
        <v>153</v>
      </c>
      <c r="M1269" s="14" t="s">
        <v>147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>x</v>
      </c>
      <c r="Z1269" s="121"/>
    </row>
    <row r="1270" spans="1:26" ht="15.75" customHeight="1">
      <c r="A1270" s="125" t="str">
        <f>IF(B1270&lt;&gt;"",IF(AND(B1270&gt;=_TM1,B1270&lt;=_TM2,OR(TH!L1270="1111",TH!M1270="1111")),TH!D1270,""),"")</f>
        <v/>
      </c>
      <c r="B1270" s="11">
        <f t="shared" si="93"/>
        <v>7</v>
      </c>
      <c r="C1270" s="12">
        <f t="shared" si="96"/>
        <v>40748</v>
      </c>
      <c r="D1270" s="12" t="s">
        <v>1064</v>
      </c>
      <c r="E1270" s="344">
        <v>40748</v>
      </c>
      <c r="F1270" s="15" t="s">
        <v>734</v>
      </c>
      <c r="G1270" s="15"/>
      <c r="H1270" s="242" t="s">
        <v>1037</v>
      </c>
      <c r="I1270" s="141">
        <v>11</v>
      </c>
      <c r="J1270" s="141">
        <v>6671.398735153477</v>
      </c>
      <c r="K1270" s="238">
        <f t="shared" si="97"/>
        <v>73385</v>
      </c>
      <c r="L1270" s="14" t="s">
        <v>155</v>
      </c>
      <c r="M1270" s="14" t="s">
        <v>153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>x</v>
      </c>
      <c r="Z1270" s="121"/>
    </row>
    <row r="1271" spans="1:26" ht="15.75" customHeight="1">
      <c r="A1271" s="125" t="str">
        <f>IF(B1271&lt;&gt;"",IF(AND(B1271&gt;=_TM1,B1271&lt;=_TM2,OR(TH!L1271="1111",TH!M1271="1111")),TH!D1271,""),"")</f>
        <v/>
      </c>
      <c r="B1271" s="11">
        <f t="shared" si="93"/>
        <v>7</v>
      </c>
      <c r="C1271" s="12">
        <f t="shared" si="96"/>
        <v>40748</v>
      </c>
      <c r="D1271" s="12" t="s">
        <v>1064</v>
      </c>
      <c r="E1271" s="344">
        <v>40748</v>
      </c>
      <c r="F1271" s="15" t="s">
        <v>735</v>
      </c>
      <c r="G1271" s="15"/>
      <c r="H1271" s="242" t="s">
        <v>1037</v>
      </c>
      <c r="I1271" s="141">
        <v>1</v>
      </c>
      <c r="J1271" s="141">
        <v>14080.398735153478</v>
      </c>
      <c r="K1271" s="238">
        <f t="shared" si="97"/>
        <v>14080</v>
      </c>
      <c r="L1271" s="14" t="s">
        <v>155</v>
      </c>
      <c r="M1271" s="14" t="s">
        <v>153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>x</v>
      </c>
      <c r="Z1271" s="121"/>
    </row>
    <row r="1272" spans="1:26" ht="15.75" customHeight="1">
      <c r="A1272" s="125" t="str">
        <f>IF(B1272&lt;&gt;"",IF(AND(B1272&gt;=_TM1,B1272&lt;=_TM2,OR(TH!L1272="1111",TH!M1272="1111")),TH!D1272,""),"")</f>
        <v/>
      </c>
      <c r="B1272" s="11">
        <f t="shared" si="93"/>
        <v>7</v>
      </c>
      <c r="C1272" s="12">
        <f t="shared" si="96"/>
        <v>40748</v>
      </c>
      <c r="D1272" s="12" t="s">
        <v>1064</v>
      </c>
      <c r="E1272" s="344">
        <v>40748</v>
      </c>
      <c r="F1272" s="15" t="s">
        <v>959</v>
      </c>
      <c r="G1272" s="15"/>
      <c r="H1272" s="242" t="s">
        <v>1037</v>
      </c>
      <c r="I1272" s="141">
        <v>5</v>
      </c>
      <c r="J1272" s="141">
        <v>16607.398735153474</v>
      </c>
      <c r="K1272" s="238">
        <f t="shared" si="97"/>
        <v>83037</v>
      </c>
      <c r="L1272" s="14" t="s">
        <v>155</v>
      </c>
      <c r="M1272" s="14" t="s">
        <v>153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>x</v>
      </c>
      <c r="Z1272" s="121"/>
    </row>
    <row r="1273" spans="1:26" ht="15.75" customHeight="1">
      <c r="A1273" s="125" t="str">
        <f>IF(B1273&lt;&gt;"",IF(AND(B1273&gt;=_TM1,B1273&lt;=_TM2,OR(TH!L1273="1111",TH!M1273="1111")),TH!D1273,""),"")</f>
        <v/>
      </c>
      <c r="B1273" s="11">
        <f t="shared" si="93"/>
        <v>7</v>
      </c>
      <c r="C1273" s="12">
        <f t="shared" si="96"/>
        <v>40748</v>
      </c>
      <c r="D1273" s="12" t="s">
        <v>1064</v>
      </c>
      <c r="E1273" s="344">
        <v>40748</v>
      </c>
      <c r="F1273" s="116" t="s">
        <v>1242</v>
      </c>
      <c r="G1273" s="15"/>
      <c r="H1273" s="242" t="s">
        <v>1037</v>
      </c>
      <c r="I1273" s="141">
        <v>1</v>
      </c>
      <c r="J1273" s="141">
        <v>9490.3987351534779</v>
      </c>
      <c r="K1273" s="238">
        <f t="shared" si="97"/>
        <v>9490</v>
      </c>
      <c r="L1273" s="14" t="s">
        <v>155</v>
      </c>
      <c r="M1273" s="14" t="s">
        <v>153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>x</v>
      </c>
      <c r="Z1273" s="121"/>
    </row>
    <row r="1274" spans="1:26" ht="15.75" customHeight="1">
      <c r="A1274" s="125" t="str">
        <f>IF(B1274&lt;&gt;"",IF(AND(B1274&gt;=_TM1,B1274&lt;=_TM2,OR(TH!L1274="1111",TH!M1274="1111")),TH!D1274,""),"")</f>
        <v/>
      </c>
      <c r="B1274" s="11">
        <f t="shared" si="93"/>
        <v>7</v>
      </c>
      <c r="C1274" s="12">
        <f t="shared" si="96"/>
        <v>40748</v>
      </c>
      <c r="D1274" s="12" t="s">
        <v>1064</v>
      </c>
      <c r="E1274" s="344">
        <v>40748</v>
      </c>
      <c r="F1274" s="15" t="s">
        <v>952</v>
      </c>
      <c r="G1274" s="15"/>
      <c r="H1274" s="242" t="s">
        <v>1037</v>
      </c>
      <c r="I1274" s="141">
        <v>1</v>
      </c>
      <c r="J1274" s="141">
        <v>10374.398735153478</v>
      </c>
      <c r="K1274" s="238">
        <f t="shared" si="97"/>
        <v>10374</v>
      </c>
      <c r="L1274" s="14" t="s">
        <v>155</v>
      </c>
      <c r="M1274" s="14" t="s">
        <v>153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/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>x</v>
      </c>
      <c r="Z1274" s="121"/>
    </row>
    <row r="1275" spans="1:26" ht="15.75" customHeight="1">
      <c r="A1275" s="125" t="str">
        <f>IF(B1275&lt;&gt;"",IF(AND(B1275&gt;=_TM1,B1275&lt;=_TM2,OR(TH!L1275="1111",TH!M1275="1111")),TH!D1275,""),"")</f>
        <v/>
      </c>
      <c r="B1275" s="11">
        <f t="shared" si="93"/>
        <v>7</v>
      </c>
      <c r="C1275" s="12">
        <f t="shared" si="96"/>
        <v>40748</v>
      </c>
      <c r="D1275" s="12" t="s">
        <v>914</v>
      </c>
      <c r="E1275" s="12">
        <v>40748</v>
      </c>
      <c r="F1275" s="15" t="s">
        <v>734</v>
      </c>
      <c r="G1275" s="15" t="s">
        <v>1127</v>
      </c>
      <c r="H1275" s="242" t="s">
        <v>709</v>
      </c>
      <c r="I1275" s="141">
        <v>11</v>
      </c>
      <c r="J1275" s="141">
        <v>6671.398735153477</v>
      </c>
      <c r="K1275" s="238">
        <f t="shared" si="97"/>
        <v>73385</v>
      </c>
      <c r="L1275" s="14" t="s">
        <v>161</v>
      </c>
      <c r="M1275" s="14" t="s">
        <v>155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>x</v>
      </c>
      <c r="Z1275" s="121"/>
    </row>
    <row r="1276" spans="1:26" ht="15.75" customHeight="1">
      <c r="A1276" s="125" t="str">
        <f>IF(B1276&lt;&gt;"",IF(AND(B1276&gt;=_TM1,B1276&lt;=_TM2,OR(TH!L1276="1111",TH!M1276="1111")),TH!D1276,""),"")</f>
        <v/>
      </c>
      <c r="B1276" s="11">
        <f t="shared" si="93"/>
        <v>7</v>
      </c>
      <c r="C1276" s="12">
        <f t="shared" si="96"/>
        <v>40748</v>
      </c>
      <c r="D1276" s="12" t="s">
        <v>914</v>
      </c>
      <c r="E1276" s="12">
        <v>40748</v>
      </c>
      <c r="F1276" s="15" t="s">
        <v>735</v>
      </c>
      <c r="G1276" s="15" t="s">
        <v>1127</v>
      </c>
      <c r="H1276" s="242" t="s">
        <v>709</v>
      </c>
      <c r="I1276" s="141">
        <v>1</v>
      </c>
      <c r="J1276" s="141">
        <v>14080.398735153478</v>
      </c>
      <c r="K1276" s="238">
        <f t="shared" si="97"/>
        <v>14080</v>
      </c>
      <c r="L1276" s="14" t="s">
        <v>161</v>
      </c>
      <c r="M1276" s="14" t="s">
        <v>155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>x</v>
      </c>
      <c r="Z1276" s="121"/>
    </row>
    <row r="1277" spans="1:26" ht="15.75" customHeight="1">
      <c r="A1277" s="125" t="str">
        <f>IF(B1277&lt;&gt;"",IF(AND(B1277&gt;=_TM1,B1277&lt;=_TM2,OR(TH!L1277="1111",TH!M1277="1111")),TH!D1277,""),"")</f>
        <v/>
      </c>
      <c r="B1277" s="11">
        <f t="shared" si="93"/>
        <v>7</v>
      </c>
      <c r="C1277" s="12">
        <f t="shared" si="96"/>
        <v>40748</v>
      </c>
      <c r="D1277" s="12" t="s">
        <v>914</v>
      </c>
      <c r="E1277" s="12">
        <v>40748</v>
      </c>
      <c r="F1277" s="15" t="s">
        <v>959</v>
      </c>
      <c r="G1277" s="15" t="s">
        <v>1127</v>
      </c>
      <c r="H1277" s="242" t="s">
        <v>709</v>
      </c>
      <c r="I1277" s="141">
        <v>5</v>
      </c>
      <c r="J1277" s="141">
        <v>16607.398735153474</v>
      </c>
      <c r="K1277" s="238">
        <f t="shared" si="97"/>
        <v>83037</v>
      </c>
      <c r="L1277" s="14" t="s">
        <v>161</v>
      </c>
      <c r="M1277" s="14" t="s">
        <v>155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>x</v>
      </c>
      <c r="Z1277" s="121"/>
    </row>
    <row r="1278" spans="1:26" ht="15.75" customHeight="1">
      <c r="A1278" s="125" t="str">
        <f>IF(B1278&lt;&gt;"",IF(AND(B1278&gt;=_TM1,B1278&lt;=_TM2,OR(TH!L1278="1111",TH!M1278="1111")),TH!D1278,""),"")</f>
        <v/>
      </c>
      <c r="B1278" s="11">
        <f t="shared" si="93"/>
        <v>7</v>
      </c>
      <c r="C1278" s="12">
        <f t="shared" si="96"/>
        <v>40748</v>
      </c>
      <c r="D1278" s="12" t="s">
        <v>914</v>
      </c>
      <c r="E1278" s="12">
        <v>40748</v>
      </c>
      <c r="F1278" s="116" t="s">
        <v>1242</v>
      </c>
      <c r="G1278" s="15" t="s">
        <v>1127</v>
      </c>
      <c r="H1278" s="242" t="s">
        <v>709</v>
      </c>
      <c r="I1278" s="141">
        <v>1</v>
      </c>
      <c r="J1278" s="141">
        <v>9490.3987351534779</v>
      </c>
      <c r="K1278" s="238">
        <f t="shared" si="97"/>
        <v>9490</v>
      </c>
      <c r="L1278" s="14" t="s">
        <v>161</v>
      </c>
      <c r="M1278" s="14" t="s">
        <v>155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/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>x</v>
      </c>
      <c r="Z1278" s="121"/>
    </row>
    <row r="1279" spans="1:26" ht="15.75" customHeight="1">
      <c r="A1279" s="125" t="str">
        <f>IF(B1279&lt;&gt;"",IF(AND(B1279&gt;=_TM1,B1279&lt;=_TM2,OR(TH!L1279="1111",TH!M1279="1111")),TH!D1279,""),"")</f>
        <v/>
      </c>
      <c r="B1279" s="11">
        <f t="shared" si="93"/>
        <v>7</v>
      </c>
      <c r="C1279" s="12">
        <f t="shared" si="96"/>
        <v>40748</v>
      </c>
      <c r="D1279" s="12" t="s">
        <v>914</v>
      </c>
      <c r="E1279" s="12">
        <v>40748</v>
      </c>
      <c r="F1279" s="15" t="s">
        <v>952</v>
      </c>
      <c r="G1279" s="15" t="s">
        <v>1127</v>
      </c>
      <c r="H1279" s="242" t="s">
        <v>709</v>
      </c>
      <c r="I1279" s="141">
        <v>1</v>
      </c>
      <c r="J1279" s="141">
        <v>10374.398735153478</v>
      </c>
      <c r="K1279" s="238">
        <f t="shared" si="97"/>
        <v>10374</v>
      </c>
      <c r="L1279" s="14" t="s">
        <v>161</v>
      </c>
      <c r="M1279" s="14" t="s">
        <v>155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>x</v>
      </c>
      <c r="Z1279" s="121"/>
    </row>
    <row r="1280" spans="1:26" ht="15.75" customHeight="1">
      <c r="A1280" s="125" t="str">
        <f>IF(B1280&lt;&gt;"",IF(AND(B1280&gt;=_TM1,B1280&lt;=_TM2,OR(TH!L1280="1111",TH!M1280="1111")),TH!D1280,""),"")</f>
        <v/>
      </c>
      <c r="B1280" s="11">
        <f t="shared" si="93"/>
        <v>7</v>
      </c>
      <c r="C1280" s="110">
        <v>40749</v>
      </c>
      <c r="D1280" s="110" t="s">
        <v>310</v>
      </c>
      <c r="E1280" s="110">
        <v>40749</v>
      </c>
      <c r="F1280" s="114" t="s">
        <v>341</v>
      </c>
      <c r="G1280" s="240" t="s">
        <v>307</v>
      </c>
      <c r="H1280" s="117"/>
      <c r="I1280" s="141"/>
      <c r="J1280" s="141"/>
      <c r="K1280" s="238">
        <v>32191</v>
      </c>
      <c r="L1280" s="239" t="s">
        <v>23</v>
      </c>
      <c r="M1280" s="239" t="s">
        <v>37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/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>x</v>
      </c>
      <c r="Z1280" s="121"/>
    </row>
    <row r="1281" spans="1:26" ht="15.75" customHeight="1">
      <c r="A1281" s="125" t="str">
        <f>IF(B1281&lt;&gt;"",IF(AND(B1281&gt;=_TM1,B1281&lt;=_TM2,OR(TH!L1281="1111",TH!M1281="1111")),TH!D1281,""),"")</f>
        <v/>
      </c>
      <c r="B1281" s="11">
        <f t="shared" si="93"/>
        <v>7</v>
      </c>
      <c r="C1281" s="115">
        <v>40749</v>
      </c>
      <c r="D1281" s="115" t="s">
        <v>915</v>
      </c>
      <c r="E1281" s="115">
        <v>40749</v>
      </c>
      <c r="F1281" s="116" t="s">
        <v>960</v>
      </c>
      <c r="G1281" s="224" t="s">
        <v>1128</v>
      </c>
      <c r="H1281" s="117" t="s">
        <v>710</v>
      </c>
      <c r="I1281" s="141">
        <v>108</v>
      </c>
      <c r="J1281" s="141">
        <v>17100</v>
      </c>
      <c r="K1281" s="238">
        <v>1846800</v>
      </c>
      <c r="L1281" s="118" t="s">
        <v>237</v>
      </c>
      <c r="M1281" s="118" t="s">
        <v>163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>x</v>
      </c>
      <c r="Z1281" s="121"/>
    </row>
    <row r="1282" spans="1:26" ht="15.75" customHeight="1">
      <c r="A1282" s="125" t="str">
        <f>IF(B1282&lt;&gt;"",IF(AND(B1282&gt;=_TM1,B1282&lt;=_TM2,OR(TH!L1282="1111",TH!M1282="1111")),TH!D1282,""),"")</f>
        <v/>
      </c>
      <c r="B1282" s="11">
        <f t="shared" si="93"/>
        <v>7</v>
      </c>
      <c r="C1282" s="115">
        <v>40749</v>
      </c>
      <c r="D1282" s="115" t="s">
        <v>915</v>
      </c>
      <c r="E1282" s="115">
        <v>40749</v>
      </c>
      <c r="F1282" s="116" t="s">
        <v>961</v>
      </c>
      <c r="G1282" s="224" t="s">
        <v>1128</v>
      </c>
      <c r="H1282" s="117" t="s">
        <v>710</v>
      </c>
      <c r="I1282" s="141">
        <v>97</v>
      </c>
      <c r="J1282" s="141">
        <v>19690</v>
      </c>
      <c r="K1282" s="238">
        <v>1909930</v>
      </c>
      <c r="L1282" s="118" t="s">
        <v>237</v>
      </c>
      <c r="M1282" s="118" t="s">
        <v>163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>x</v>
      </c>
      <c r="Z1282" s="121"/>
    </row>
    <row r="1283" spans="1:26" ht="15.75" customHeight="1">
      <c r="A1283" s="125" t="str">
        <f>IF(B1283&lt;&gt;"",IF(AND(B1283&gt;=_TM1,B1283&lt;=_TM2,OR(TH!L1283="1111",TH!M1283="1111")),TH!D1283,""),"")</f>
        <v/>
      </c>
      <c r="B1283" s="11">
        <f t="shared" si="93"/>
        <v>7</v>
      </c>
      <c r="C1283" s="115">
        <v>40749</v>
      </c>
      <c r="D1283" s="115" t="s">
        <v>915</v>
      </c>
      <c r="E1283" s="115">
        <v>40749</v>
      </c>
      <c r="F1283" s="116" t="s">
        <v>962</v>
      </c>
      <c r="G1283" s="224" t="s">
        <v>1128</v>
      </c>
      <c r="H1283" s="117" t="s">
        <v>710</v>
      </c>
      <c r="I1283" s="141">
        <v>55</v>
      </c>
      <c r="J1283" s="141">
        <v>23100</v>
      </c>
      <c r="K1283" s="238">
        <v>1270500</v>
      </c>
      <c r="L1283" s="118" t="s">
        <v>237</v>
      </c>
      <c r="M1283" s="118" t="s">
        <v>163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/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>x</v>
      </c>
      <c r="Z1283" s="121"/>
    </row>
    <row r="1284" spans="1:26" ht="15.75" customHeight="1">
      <c r="A1284" s="125" t="str">
        <f>IF(B1284&lt;&gt;"",IF(AND(B1284&gt;=_TM1,B1284&lt;=_TM2,OR(TH!L1284="1111",TH!M1284="1111")),TH!D1284,""),"")</f>
        <v/>
      </c>
      <c r="B1284" s="11">
        <f t="shared" si="93"/>
        <v>7</v>
      </c>
      <c r="C1284" s="115">
        <v>40749</v>
      </c>
      <c r="D1284" s="115" t="s">
        <v>915</v>
      </c>
      <c r="E1284" s="115">
        <v>40749</v>
      </c>
      <c r="F1284" s="116" t="s">
        <v>1121</v>
      </c>
      <c r="G1284" s="224" t="s">
        <v>1128</v>
      </c>
      <c r="H1284" s="117" t="s">
        <v>710</v>
      </c>
      <c r="I1284" s="141"/>
      <c r="J1284" s="141"/>
      <c r="K1284" s="238">
        <v>502723</v>
      </c>
      <c r="L1284" s="118" t="s">
        <v>237</v>
      </c>
      <c r="M1284" s="118" t="s">
        <v>707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/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>x</v>
      </c>
      <c r="Z1284" s="121"/>
    </row>
    <row r="1285" spans="1:26" ht="15.75" customHeight="1">
      <c r="A1285" s="125" t="str">
        <f>IF(B1285&lt;&gt;"",IF(AND(B1285&gt;=_TM1,B1285&lt;=_TM2,OR(TH!L1285="1111",TH!M1285="1111")),TH!D1285,""),"")</f>
        <v/>
      </c>
      <c r="B1285" s="11">
        <f t="shared" si="93"/>
        <v>7</v>
      </c>
      <c r="C1285" s="12">
        <f t="shared" ref="C1285:C1290" si="98">E1285</f>
        <v>40749</v>
      </c>
      <c r="D1285" s="12" t="s">
        <v>1065</v>
      </c>
      <c r="E1285" s="12">
        <v>40749</v>
      </c>
      <c r="F1285" s="15" t="s">
        <v>960</v>
      </c>
      <c r="G1285" s="15"/>
      <c r="H1285" s="242" t="s">
        <v>1037</v>
      </c>
      <c r="I1285" s="141">
        <v>108</v>
      </c>
      <c r="J1285" s="141">
        <v>14585.176512931257</v>
      </c>
      <c r="K1285" s="238">
        <f t="shared" ref="K1285:K1290" si="99">ROUND(I1285*J1285,0)</f>
        <v>1575199</v>
      </c>
      <c r="L1285" s="14" t="s">
        <v>155</v>
      </c>
      <c r="M1285" s="14" t="s">
        <v>153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>x</v>
      </c>
      <c r="Z1285" s="121"/>
    </row>
    <row r="1286" spans="1:26" ht="15.75" customHeight="1">
      <c r="A1286" s="125" t="str">
        <f>IF(B1286&lt;&gt;"",IF(AND(B1286&gt;=_TM1,B1286&lt;=_TM2,OR(TH!L1286="1111",TH!M1286="1111")),TH!D1286,""),"")</f>
        <v/>
      </c>
      <c r="B1286" s="11">
        <f t="shared" si="93"/>
        <v>7</v>
      </c>
      <c r="C1286" s="12">
        <f t="shared" si="98"/>
        <v>40749</v>
      </c>
      <c r="D1286" s="12" t="s">
        <v>1065</v>
      </c>
      <c r="E1286" s="12">
        <v>40749</v>
      </c>
      <c r="F1286" s="15" t="s">
        <v>961</v>
      </c>
      <c r="G1286" s="15"/>
      <c r="H1286" s="242" t="s">
        <v>1037</v>
      </c>
      <c r="I1286" s="141">
        <v>97</v>
      </c>
      <c r="J1286" s="141">
        <v>18714.903889792655</v>
      </c>
      <c r="K1286" s="238">
        <f t="shared" si="99"/>
        <v>1815346</v>
      </c>
      <c r="L1286" s="14" t="s">
        <v>155</v>
      </c>
      <c r="M1286" s="14" t="s">
        <v>153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/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>x</v>
      </c>
      <c r="Z1286" s="121"/>
    </row>
    <row r="1287" spans="1:26" ht="15.75" customHeight="1">
      <c r="A1287" s="125" t="str">
        <f>IF(B1287&lt;&gt;"",IF(AND(B1287&gt;=_TM1,B1287&lt;=_TM2,OR(TH!L1287="1111",TH!M1287="1111")),TH!D1287,""),"")</f>
        <v/>
      </c>
      <c r="B1287" s="11">
        <f t="shared" si="93"/>
        <v>7</v>
      </c>
      <c r="C1287" s="12">
        <f t="shared" si="98"/>
        <v>40749</v>
      </c>
      <c r="D1287" s="12" t="s">
        <v>1065</v>
      </c>
      <c r="E1287" s="12">
        <v>40749</v>
      </c>
      <c r="F1287" s="15" t="s">
        <v>962</v>
      </c>
      <c r="G1287" s="15"/>
      <c r="H1287" s="242" t="s">
        <v>1037</v>
      </c>
      <c r="I1287" s="141">
        <v>55</v>
      </c>
      <c r="J1287" s="141">
        <v>20128.398735153482</v>
      </c>
      <c r="K1287" s="238">
        <f t="shared" si="99"/>
        <v>1107062</v>
      </c>
      <c r="L1287" s="14" t="s">
        <v>155</v>
      </c>
      <c r="M1287" s="14" t="s">
        <v>153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/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>x</v>
      </c>
      <c r="Z1287" s="121"/>
    </row>
    <row r="1288" spans="1:26" ht="15.75" customHeight="1">
      <c r="A1288" s="125" t="str">
        <f>IF(B1288&lt;&gt;"",IF(AND(B1288&gt;=_TM1,B1288&lt;=_TM2,OR(TH!L1288="1111",TH!M1288="1111")),TH!D1288,""),"")</f>
        <v/>
      </c>
      <c r="B1288" s="11">
        <f t="shared" si="93"/>
        <v>7</v>
      </c>
      <c r="C1288" s="12">
        <f t="shared" si="98"/>
        <v>40749</v>
      </c>
      <c r="D1288" s="12" t="s">
        <v>915</v>
      </c>
      <c r="E1288" s="12">
        <v>40749</v>
      </c>
      <c r="F1288" s="15" t="s">
        <v>960</v>
      </c>
      <c r="G1288" s="15" t="s">
        <v>1128</v>
      </c>
      <c r="H1288" s="242" t="s">
        <v>710</v>
      </c>
      <c r="I1288" s="141">
        <v>108</v>
      </c>
      <c r="J1288" s="141">
        <v>14585.176512931257</v>
      </c>
      <c r="K1288" s="238">
        <f t="shared" si="99"/>
        <v>1575199</v>
      </c>
      <c r="L1288" s="14" t="s">
        <v>161</v>
      </c>
      <c r="M1288" s="14" t="s">
        <v>155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>x</v>
      </c>
      <c r="Z1288" s="121"/>
    </row>
    <row r="1289" spans="1:26" ht="15.75" customHeight="1">
      <c r="A1289" s="125" t="str">
        <f>IF(B1289&lt;&gt;"",IF(AND(B1289&gt;=_TM1,B1289&lt;=_TM2,OR(TH!L1289="1111",TH!M1289="1111")),TH!D1289,""),"")</f>
        <v/>
      </c>
      <c r="B1289" s="11">
        <f t="shared" si="93"/>
        <v>7</v>
      </c>
      <c r="C1289" s="12">
        <f t="shared" si="98"/>
        <v>40749</v>
      </c>
      <c r="D1289" s="12" t="s">
        <v>915</v>
      </c>
      <c r="E1289" s="12">
        <v>40749</v>
      </c>
      <c r="F1289" s="15" t="s">
        <v>961</v>
      </c>
      <c r="G1289" s="15" t="s">
        <v>1128</v>
      </c>
      <c r="H1289" s="242" t="s">
        <v>710</v>
      </c>
      <c r="I1289" s="141">
        <v>97</v>
      </c>
      <c r="J1289" s="141">
        <v>18714.903889792655</v>
      </c>
      <c r="K1289" s="238">
        <f t="shared" si="99"/>
        <v>1815346</v>
      </c>
      <c r="L1289" s="14" t="s">
        <v>161</v>
      </c>
      <c r="M1289" s="14" t="s">
        <v>155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>x</v>
      </c>
      <c r="Z1289" s="121"/>
    </row>
    <row r="1290" spans="1:26" ht="15.75" customHeight="1">
      <c r="A1290" s="125" t="str">
        <f>IF(B1290&lt;&gt;"",IF(AND(B1290&gt;=_TM1,B1290&lt;=_TM2,OR(TH!L1290="1111",TH!M1290="1111")),TH!D1290,""),"")</f>
        <v/>
      </c>
      <c r="B1290" s="11">
        <f t="shared" si="93"/>
        <v>7</v>
      </c>
      <c r="C1290" s="12">
        <f t="shared" si="98"/>
        <v>40749</v>
      </c>
      <c r="D1290" s="12" t="s">
        <v>915</v>
      </c>
      <c r="E1290" s="12">
        <v>40749</v>
      </c>
      <c r="F1290" s="15" t="s">
        <v>962</v>
      </c>
      <c r="G1290" s="15" t="s">
        <v>1128</v>
      </c>
      <c r="H1290" s="242" t="s">
        <v>710</v>
      </c>
      <c r="I1290" s="141">
        <v>55</v>
      </c>
      <c r="J1290" s="141">
        <v>20128.398735153482</v>
      </c>
      <c r="K1290" s="238">
        <f t="shared" si="99"/>
        <v>1107062</v>
      </c>
      <c r="L1290" s="14" t="s">
        <v>161</v>
      </c>
      <c r="M1290" s="14" t="s">
        <v>155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>x</v>
      </c>
      <c r="Z1290" s="121"/>
    </row>
    <row r="1291" spans="1:26" ht="15.75" customHeight="1">
      <c r="A1291" s="125" t="str">
        <f>IF(B1291&lt;&gt;"",IF(AND(B1291&gt;=_TM1,B1291&lt;=_TM2,OR(TH!L1291="1111",TH!M1291="1111")),TH!D1291,""),"")</f>
        <v/>
      </c>
      <c r="B1291" s="11">
        <f t="shared" si="93"/>
        <v>7</v>
      </c>
      <c r="C1291" s="115">
        <v>40750</v>
      </c>
      <c r="D1291" s="115" t="s">
        <v>916</v>
      </c>
      <c r="E1291" s="115">
        <v>40750</v>
      </c>
      <c r="F1291" s="116" t="s">
        <v>963</v>
      </c>
      <c r="G1291" s="224" t="s">
        <v>1129</v>
      </c>
      <c r="H1291" s="117" t="s">
        <v>710</v>
      </c>
      <c r="I1291" s="141">
        <v>499</v>
      </c>
      <c r="J1291" s="141">
        <v>8100</v>
      </c>
      <c r="K1291" s="238">
        <v>4041900</v>
      </c>
      <c r="L1291" s="118" t="s">
        <v>237</v>
      </c>
      <c r="M1291" s="118" t="s">
        <v>163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>x</v>
      </c>
      <c r="Z1291" s="121"/>
    </row>
    <row r="1292" spans="1:26" ht="15.75" customHeight="1">
      <c r="A1292" s="125" t="str">
        <f>IF(B1292&lt;&gt;"",IF(AND(B1292&gt;=_TM1,B1292&lt;=_TM2,OR(TH!L1292="1111",TH!M1292="1111")),TH!D1292,""),"")</f>
        <v/>
      </c>
      <c r="B1292" s="11">
        <f t="shared" si="93"/>
        <v>7</v>
      </c>
      <c r="C1292" s="115">
        <v>40750</v>
      </c>
      <c r="D1292" s="115" t="s">
        <v>916</v>
      </c>
      <c r="E1292" s="115">
        <v>40750</v>
      </c>
      <c r="F1292" s="116" t="s">
        <v>1121</v>
      </c>
      <c r="G1292" s="224" t="s">
        <v>1129</v>
      </c>
      <c r="H1292" s="117" t="s">
        <v>710</v>
      </c>
      <c r="I1292" s="143"/>
      <c r="J1292" s="143"/>
      <c r="K1292" s="238">
        <v>404190</v>
      </c>
      <c r="L1292" s="118" t="s">
        <v>237</v>
      </c>
      <c r="M1292" s="118" t="s">
        <v>707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>x</v>
      </c>
      <c r="Z1292" s="121"/>
    </row>
    <row r="1293" spans="1:26" ht="15.75" customHeight="1">
      <c r="A1293" s="125" t="str">
        <f>IF(B1293&lt;&gt;"",IF(AND(B1293&gt;=_TM1,B1293&lt;=_TM2,OR(TH!L1293="1111",TH!M1293="1111")),TH!D1293,""),"")</f>
        <v/>
      </c>
      <c r="B1293" s="11">
        <f t="shared" si="93"/>
        <v>7</v>
      </c>
      <c r="C1293" s="12">
        <f>E1293</f>
        <v>40750</v>
      </c>
      <c r="D1293" s="12" t="s">
        <v>1066</v>
      </c>
      <c r="E1293" s="12">
        <v>40750</v>
      </c>
      <c r="F1293" s="15" t="s">
        <v>963</v>
      </c>
      <c r="G1293" s="15"/>
      <c r="H1293" s="242" t="s">
        <v>1037</v>
      </c>
      <c r="I1293" s="141">
        <v>499</v>
      </c>
      <c r="J1293" s="141">
        <v>7394.3987351534797</v>
      </c>
      <c r="K1293" s="238">
        <f>ROUND(I1293*J1293,0)</f>
        <v>3689805</v>
      </c>
      <c r="L1293" s="14" t="s">
        <v>155</v>
      </c>
      <c r="M1293" s="14" t="s">
        <v>153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>x</v>
      </c>
      <c r="Z1293" s="121"/>
    </row>
    <row r="1294" spans="1:26" ht="15.75" customHeight="1">
      <c r="A1294" s="125" t="str">
        <f>IF(B1294&lt;&gt;"",IF(AND(B1294&gt;=_TM1,B1294&lt;=_TM2,OR(TH!L1294="1111",TH!M1294="1111")),TH!D1294,""),"")</f>
        <v/>
      </c>
      <c r="B1294" s="11">
        <f t="shared" si="93"/>
        <v>7</v>
      </c>
      <c r="C1294" s="12">
        <f>E1294</f>
        <v>40750</v>
      </c>
      <c r="D1294" s="12" t="s">
        <v>916</v>
      </c>
      <c r="E1294" s="12">
        <v>40750</v>
      </c>
      <c r="F1294" s="15" t="s">
        <v>963</v>
      </c>
      <c r="G1294" s="15" t="s">
        <v>1129</v>
      </c>
      <c r="H1294" s="242" t="s">
        <v>710</v>
      </c>
      <c r="I1294" s="141">
        <v>499</v>
      </c>
      <c r="J1294" s="141">
        <v>7394.3987351534797</v>
      </c>
      <c r="K1294" s="238">
        <f>ROUND(I1294*J1294,0)</f>
        <v>3689805</v>
      </c>
      <c r="L1294" s="14" t="s">
        <v>161</v>
      </c>
      <c r="M1294" s="14" t="s">
        <v>155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>x</v>
      </c>
      <c r="Z1294" s="121"/>
    </row>
    <row r="1295" spans="1:26" ht="15.75" customHeight="1">
      <c r="A1295" s="125" t="str">
        <f>IF(B1295&lt;&gt;"",IF(AND(B1295&gt;=_TM1,B1295&lt;=_TM2,OR(TH!L1295="1111",TH!M1295="1111")),TH!D1295,""),"")</f>
        <v/>
      </c>
      <c r="B1295" s="11">
        <f t="shared" si="93"/>
        <v>7</v>
      </c>
      <c r="C1295" s="288">
        <v>40755</v>
      </c>
      <c r="D1295" s="288" t="s">
        <v>416</v>
      </c>
      <c r="E1295" s="312">
        <v>40755</v>
      </c>
      <c r="F1295" s="289" t="s">
        <v>1078</v>
      </c>
      <c r="G1295" s="290"/>
      <c r="H1295" s="242" t="s">
        <v>340</v>
      </c>
      <c r="I1295" s="220"/>
      <c r="J1295" s="220"/>
      <c r="K1295" s="291">
        <v>13340000</v>
      </c>
      <c r="L1295" s="292" t="s">
        <v>240</v>
      </c>
      <c r="M1295" s="292" t="s">
        <v>44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>x</v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>x</v>
      </c>
      <c r="Z1295" s="121"/>
    </row>
    <row r="1296" spans="1:26" ht="15.75" customHeight="1">
      <c r="A1296" s="125" t="str">
        <f>IF(B1296&lt;&gt;"",IF(AND(B1296&gt;=_TM1,B1296&lt;=_TM2,OR(TH!L1296="1111",TH!M1296="1111")),TH!D1296,""),"")</f>
        <v/>
      </c>
      <c r="B1296" s="11">
        <f t="shared" si="93"/>
        <v>7</v>
      </c>
      <c r="C1296" s="115">
        <v>40755</v>
      </c>
      <c r="D1296" s="288" t="s">
        <v>417</v>
      </c>
      <c r="E1296" s="115">
        <v>40755</v>
      </c>
      <c r="F1296" s="116" t="s">
        <v>1089</v>
      </c>
      <c r="G1296" s="224" t="s">
        <v>1090</v>
      </c>
      <c r="H1296" s="117" t="s">
        <v>1091</v>
      </c>
      <c r="I1296" s="141"/>
      <c r="J1296" s="141"/>
      <c r="K1296" s="13">
        <v>455629</v>
      </c>
      <c r="L1296" s="118" t="s">
        <v>239</v>
      </c>
      <c r="M1296" s="118" t="s">
        <v>44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>x</v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>x</v>
      </c>
      <c r="Z1296" s="121">
        <v>7</v>
      </c>
    </row>
    <row r="1297" spans="1:26" ht="15.75" customHeight="1">
      <c r="A1297" s="125" t="str">
        <f>IF(B1297&lt;&gt;"",IF(AND(B1297&gt;=_TM1,B1297&lt;=_TM2,OR(TH!L1297="1111",TH!M1297="1111")),TH!D1297,""),"")</f>
        <v/>
      </c>
      <c r="B1297" s="11">
        <f t="shared" si="93"/>
        <v>7</v>
      </c>
      <c r="C1297" s="115">
        <v>40755</v>
      </c>
      <c r="D1297" s="288" t="s">
        <v>417</v>
      </c>
      <c r="E1297" s="115">
        <v>40755</v>
      </c>
      <c r="F1297" s="116" t="s">
        <v>1092</v>
      </c>
      <c r="G1297" s="224" t="s">
        <v>1090</v>
      </c>
      <c r="H1297" s="117" t="s">
        <v>1091</v>
      </c>
      <c r="I1297" s="141"/>
      <c r="J1297" s="141"/>
      <c r="K1297" s="13">
        <v>44378</v>
      </c>
      <c r="L1297" s="118" t="s">
        <v>9</v>
      </c>
      <c r="M1297" s="118" t="s">
        <v>44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>x</v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>x</v>
      </c>
      <c r="Z1297" s="121">
        <v>7</v>
      </c>
    </row>
    <row r="1298" spans="1:26" ht="15.75" customHeight="1">
      <c r="A1298" s="125" t="str">
        <f>IF(B1298&lt;&gt;"",IF(AND(B1298&gt;=_TM1,B1298&lt;=_TM2,OR(TH!L1298="1111",TH!M1298="1111")),TH!D1298,""),"")</f>
        <v/>
      </c>
      <c r="B1298" s="11">
        <f t="shared" si="93"/>
        <v>7</v>
      </c>
      <c r="C1298" s="288">
        <v>40755</v>
      </c>
      <c r="D1298" s="288" t="s">
        <v>314</v>
      </c>
      <c r="E1298" s="312">
        <v>40755</v>
      </c>
      <c r="F1298" s="289" t="s">
        <v>895</v>
      </c>
      <c r="G1298" s="290"/>
      <c r="H1298" s="242"/>
      <c r="I1298" s="220"/>
      <c r="J1298" s="220"/>
      <c r="K1298" s="291">
        <v>7070000</v>
      </c>
      <c r="L1298" s="292" t="s">
        <v>73</v>
      </c>
      <c r="M1298" s="292" t="s">
        <v>240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>x</v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>x</v>
      </c>
      <c r="Z1298" s="121"/>
    </row>
    <row r="1299" spans="1:26" ht="15.75" customHeight="1">
      <c r="A1299" s="125" t="str">
        <f>IF(B1299&lt;&gt;"",IF(AND(B1299&gt;=_TM1,B1299&lt;=_TM2,OR(TH!L1299="1111",TH!M1299="1111")),TH!D1299,""),"")</f>
        <v/>
      </c>
      <c r="B1299" s="11">
        <f t="shared" si="93"/>
        <v>7</v>
      </c>
      <c r="C1299" s="288">
        <v>40755</v>
      </c>
      <c r="D1299" s="288" t="s">
        <v>314</v>
      </c>
      <c r="E1299" s="312">
        <v>40755</v>
      </c>
      <c r="F1299" s="289" t="s">
        <v>755</v>
      </c>
      <c r="G1299" s="290"/>
      <c r="H1299" s="242"/>
      <c r="I1299" s="220"/>
      <c r="J1299" s="220"/>
      <c r="K1299" s="238">
        <v>6270000</v>
      </c>
      <c r="L1299" s="292" t="s">
        <v>153</v>
      </c>
      <c r="M1299" s="292" t="s">
        <v>240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>x</v>
      </c>
      <c r="Z1299" s="121"/>
    </row>
    <row r="1300" spans="1:26" ht="15.75" customHeight="1">
      <c r="A1300" s="125" t="str">
        <f>IF(B1300&lt;&gt;"",IF(AND(B1300&gt;=_TM1,B1300&lt;=_TM2,OR(TH!L1300="1111",TH!M1300="1111")),TH!D1300,""),"")</f>
        <v/>
      </c>
      <c r="B1300" s="11">
        <f t="shared" si="93"/>
        <v>8</v>
      </c>
      <c r="C1300" s="12">
        <f>E1300</f>
        <v>40756</v>
      </c>
      <c r="D1300" s="12" t="s">
        <v>1047</v>
      </c>
      <c r="E1300" s="304">
        <v>40756</v>
      </c>
      <c r="F1300" s="15" t="s">
        <v>566</v>
      </c>
      <c r="G1300" s="15"/>
      <c r="H1300" s="242" t="s">
        <v>1037</v>
      </c>
      <c r="I1300" s="141">
        <v>330</v>
      </c>
      <c r="J1300" s="141">
        <v>22961</v>
      </c>
      <c r="K1300" s="238">
        <f>ROUND(I1300*J1300,0)</f>
        <v>7577130</v>
      </c>
      <c r="L1300" s="14" t="s">
        <v>153</v>
      </c>
      <c r="M1300" s="14" t="s">
        <v>147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>x</v>
      </c>
      <c r="Z1300" s="121"/>
    </row>
    <row r="1301" spans="1:26" ht="15.75" customHeight="1">
      <c r="A1301" s="125" t="str">
        <f>IF(B1301&lt;&gt;"",IF(AND(B1301&gt;=_TM1,B1301&lt;=_TM2,OR(TH!L1301="1111",TH!M1301="1111")),TH!D1301,""),"")</f>
        <v/>
      </c>
      <c r="B1301" s="11">
        <f t="shared" si="93"/>
        <v>8</v>
      </c>
      <c r="C1301" s="115">
        <v>40758</v>
      </c>
      <c r="D1301" s="288" t="s">
        <v>418</v>
      </c>
      <c r="E1301" s="305">
        <v>40758</v>
      </c>
      <c r="F1301" s="116" t="s">
        <v>1089</v>
      </c>
      <c r="G1301" s="224" t="s">
        <v>1093</v>
      </c>
      <c r="H1301" s="117" t="s">
        <v>1091</v>
      </c>
      <c r="I1301" s="141"/>
      <c r="J1301" s="141"/>
      <c r="K1301" s="13">
        <v>384545</v>
      </c>
      <c r="L1301" s="118" t="s">
        <v>239</v>
      </c>
      <c r="M1301" s="118" t="s">
        <v>44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>x</v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/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>x</v>
      </c>
      <c r="Z1301" s="121">
        <v>8</v>
      </c>
    </row>
    <row r="1302" spans="1:26" ht="15.75" customHeight="1">
      <c r="A1302" s="125" t="str">
        <f>IF(B1302&lt;&gt;"",IF(AND(B1302&gt;=_TM1,B1302&lt;=_TM2,OR(TH!L1302="1111",TH!M1302="1111")),TH!D1302,""),"")</f>
        <v/>
      </c>
      <c r="B1302" s="11">
        <f t="shared" ref="B1302:B1365" si="100">IF(C1302&lt;&gt;"",MONTH(C1302),"")</f>
        <v>8</v>
      </c>
      <c r="C1302" s="115">
        <v>40758</v>
      </c>
      <c r="D1302" s="288" t="s">
        <v>418</v>
      </c>
      <c r="E1302" s="305">
        <v>40758</v>
      </c>
      <c r="F1302" s="116" t="s">
        <v>1092</v>
      </c>
      <c r="G1302" s="224" t="s">
        <v>1093</v>
      </c>
      <c r="H1302" s="117" t="s">
        <v>1091</v>
      </c>
      <c r="I1302" s="141"/>
      <c r="J1302" s="141"/>
      <c r="K1302" s="13">
        <v>37455</v>
      </c>
      <c r="L1302" s="118" t="s">
        <v>9</v>
      </c>
      <c r="M1302" s="118" t="s">
        <v>44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>x</v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>x</v>
      </c>
      <c r="Z1302" s="121">
        <v>8</v>
      </c>
    </row>
    <row r="1303" spans="1:26" ht="15.75" customHeight="1">
      <c r="A1303" s="125" t="str">
        <f>IF(B1303&lt;&gt;"",IF(AND(B1303&gt;=_TM1,B1303&lt;=_TM2,OR(TH!L1303="1111",TH!M1303="1111")),TH!D1303,""),"")</f>
        <v/>
      </c>
      <c r="B1303" s="11">
        <f t="shared" si="100"/>
        <v>8</v>
      </c>
      <c r="C1303" s="115">
        <v>40758</v>
      </c>
      <c r="D1303" s="288" t="s">
        <v>419</v>
      </c>
      <c r="E1303" s="115">
        <v>40758</v>
      </c>
      <c r="F1303" s="154" t="s">
        <v>349</v>
      </c>
      <c r="G1303" s="224" t="s">
        <v>1094</v>
      </c>
      <c r="H1303" s="4" t="s">
        <v>348</v>
      </c>
      <c r="I1303" s="141">
        <v>40</v>
      </c>
      <c r="J1303" s="141">
        <v>40000</v>
      </c>
      <c r="K1303" s="238">
        <v>1600000</v>
      </c>
      <c r="L1303" s="118" t="s">
        <v>153</v>
      </c>
      <c r="M1303" s="118" t="s">
        <v>44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>x</v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>x</v>
      </c>
      <c r="Z1303" s="121">
        <v>8</v>
      </c>
    </row>
    <row r="1304" spans="1:26" ht="15.75" customHeight="1">
      <c r="A1304" s="125" t="str">
        <f>IF(B1304&lt;&gt;"",IF(AND(B1304&gt;=_TM1,B1304&lt;=_TM2,OR(TH!L1304="1111",TH!M1304="1111")),TH!D1304,""),"")</f>
        <v/>
      </c>
      <c r="B1304" s="11">
        <f t="shared" si="100"/>
        <v>8</v>
      </c>
      <c r="C1304" s="115">
        <v>40758</v>
      </c>
      <c r="D1304" s="288" t="s">
        <v>419</v>
      </c>
      <c r="E1304" s="115">
        <v>40758</v>
      </c>
      <c r="F1304" s="154" t="s">
        <v>1095</v>
      </c>
      <c r="G1304" s="224" t="s">
        <v>1094</v>
      </c>
      <c r="H1304" s="4" t="s">
        <v>348</v>
      </c>
      <c r="I1304" s="141"/>
      <c r="J1304" s="141"/>
      <c r="K1304" s="13">
        <v>160000</v>
      </c>
      <c r="L1304" s="118" t="s">
        <v>9</v>
      </c>
      <c r="M1304" s="118" t="s">
        <v>44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>x</v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>x</v>
      </c>
      <c r="Z1304" s="121">
        <v>8</v>
      </c>
    </row>
    <row r="1305" spans="1:26" ht="15.75" customHeight="1">
      <c r="A1305" s="125" t="str">
        <f>IF(B1305&lt;&gt;"",IF(AND(B1305&gt;=_TM1,B1305&lt;=_TM2,OR(TH!L1305="1111",TH!M1305="1111")),TH!D1305,""),"")</f>
        <v/>
      </c>
      <c r="B1305" s="11">
        <f t="shared" si="100"/>
        <v>8</v>
      </c>
      <c r="C1305" s="110">
        <v>40760</v>
      </c>
      <c r="D1305" s="110" t="s">
        <v>310</v>
      </c>
      <c r="E1305" s="110">
        <v>40760</v>
      </c>
      <c r="F1305" s="114" t="s">
        <v>312</v>
      </c>
      <c r="G1305" s="240" t="s">
        <v>307</v>
      </c>
      <c r="H1305" s="117" t="s">
        <v>709</v>
      </c>
      <c r="I1305" s="141"/>
      <c r="J1305" s="141"/>
      <c r="K1305" s="238">
        <v>72527558</v>
      </c>
      <c r="L1305" s="239" t="s">
        <v>23</v>
      </c>
      <c r="M1305" s="239" t="s">
        <v>237</v>
      </c>
      <c r="N1305" s="25" t="str">
        <f>IF(AND('331-CT'!$E$7=TH!H1305,OR(L1305="331",M1305="331")),"331",IF(AND(OR(L1305="131",M1305="131"),H1305='131-CT'!$E$7),"131",""))</f>
        <v>131</v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>x</v>
      </c>
      <c r="Z1305" s="121"/>
    </row>
    <row r="1306" spans="1:26" ht="15.75" customHeight="1">
      <c r="A1306" s="125" t="str">
        <f>IF(B1306&lt;&gt;"",IF(AND(B1306&gt;=_TM1,B1306&lt;=_TM2,OR(TH!L1306="1111",TH!M1306="1111")),TH!D1306,""),"")</f>
        <v/>
      </c>
      <c r="B1306" s="11">
        <f t="shared" si="100"/>
        <v>8</v>
      </c>
      <c r="C1306" s="12">
        <f t="shared" ref="C1306:C1314" si="101">E1306</f>
        <v>40760</v>
      </c>
      <c r="D1306" s="12" t="s">
        <v>1048</v>
      </c>
      <c r="E1306" s="304">
        <v>40760</v>
      </c>
      <c r="F1306" s="114" t="s">
        <v>521</v>
      </c>
      <c r="G1306" s="15"/>
      <c r="H1306" s="242" t="s">
        <v>1037</v>
      </c>
      <c r="I1306" s="141">
        <v>200</v>
      </c>
      <c r="J1306" s="141">
        <v>26854</v>
      </c>
      <c r="K1306" s="238">
        <f t="shared" ref="K1306:K1314" si="102">ROUND(I1306*J1306,0)</f>
        <v>5370800</v>
      </c>
      <c r="L1306" s="14" t="s">
        <v>153</v>
      </c>
      <c r="M1306" s="14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>x</v>
      </c>
      <c r="Z1306" s="121"/>
    </row>
    <row r="1307" spans="1:26" ht="15.75" customHeight="1">
      <c r="A1307" s="125" t="str">
        <f>IF(B1307&lt;&gt;"",IF(AND(B1307&gt;=_TM1,B1307&lt;=_TM2,OR(TH!L1307="1111",TH!M1307="1111")),TH!D1307,""),"")</f>
        <v/>
      </c>
      <c r="B1307" s="11">
        <f t="shared" si="100"/>
        <v>8</v>
      </c>
      <c r="C1307" s="12">
        <f t="shared" si="101"/>
        <v>40760</v>
      </c>
      <c r="D1307" s="12" t="s">
        <v>1048</v>
      </c>
      <c r="E1307" s="304">
        <v>40760</v>
      </c>
      <c r="F1307" s="15" t="s">
        <v>591</v>
      </c>
      <c r="G1307" s="15"/>
      <c r="H1307" s="242" t="s">
        <v>1037</v>
      </c>
      <c r="I1307" s="141">
        <v>2</v>
      </c>
      <c r="J1307" s="141">
        <v>31360</v>
      </c>
      <c r="K1307" s="238">
        <f t="shared" si="102"/>
        <v>62720</v>
      </c>
      <c r="L1307" s="14" t="s">
        <v>153</v>
      </c>
      <c r="M1307" s="14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>x</v>
      </c>
      <c r="Z1307" s="121"/>
    </row>
    <row r="1308" spans="1:26" ht="15.75" customHeight="1">
      <c r="A1308" s="125" t="str">
        <f>IF(B1308&lt;&gt;"",IF(AND(B1308&gt;=_TM1,B1308&lt;=_TM2,OR(TH!L1308="1111",TH!M1308="1111")),TH!D1308,""),"")</f>
        <v/>
      </c>
      <c r="B1308" s="11">
        <f t="shared" si="100"/>
        <v>8</v>
      </c>
      <c r="C1308" s="12">
        <f t="shared" si="101"/>
        <v>40760</v>
      </c>
      <c r="D1308" s="12" t="s">
        <v>1048</v>
      </c>
      <c r="E1308" s="304">
        <v>40760</v>
      </c>
      <c r="F1308" s="114" t="s">
        <v>364</v>
      </c>
      <c r="G1308" s="15"/>
      <c r="H1308" s="242" t="s">
        <v>1037</v>
      </c>
      <c r="I1308" s="315">
        <v>1</v>
      </c>
      <c r="J1308" s="141">
        <v>4449</v>
      </c>
      <c r="K1308" s="238">
        <f t="shared" si="102"/>
        <v>4449</v>
      </c>
      <c r="L1308" s="14" t="s">
        <v>153</v>
      </c>
      <c r="M1308" s="14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>x</v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>x</v>
      </c>
      <c r="Z1308" s="121"/>
    </row>
    <row r="1309" spans="1:26" ht="15.75" customHeight="1">
      <c r="A1309" s="125" t="str">
        <f>IF(B1309&lt;&gt;"",IF(AND(B1309&gt;=_TM1,B1309&lt;=_TM2,OR(TH!L1309="1111",TH!M1309="1111")),TH!D1309,""),"")</f>
        <v/>
      </c>
      <c r="B1309" s="11">
        <f t="shared" si="100"/>
        <v>8</v>
      </c>
      <c r="C1309" s="12">
        <f t="shared" si="101"/>
        <v>40760</v>
      </c>
      <c r="D1309" s="12" t="s">
        <v>1048</v>
      </c>
      <c r="E1309" s="304">
        <v>40760</v>
      </c>
      <c r="F1309" s="15" t="s">
        <v>576</v>
      </c>
      <c r="G1309" s="15"/>
      <c r="H1309" s="242" t="s">
        <v>1037</v>
      </c>
      <c r="I1309" s="141">
        <v>1</v>
      </c>
      <c r="J1309" s="141">
        <v>26894</v>
      </c>
      <c r="K1309" s="238">
        <f t="shared" si="102"/>
        <v>26894</v>
      </c>
      <c r="L1309" s="14" t="s">
        <v>153</v>
      </c>
      <c r="M1309" s="14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>x</v>
      </c>
      <c r="Z1309" s="121"/>
    </row>
    <row r="1310" spans="1:26" ht="15.75" customHeight="1">
      <c r="A1310" s="125" t="str">
        <f>IF(B1310&lt;&gt;"",IF(AND(B1310&gt;=_TM1,B1310&lt;=_TM2,OR(TH!L1310="1111",TH!M1310="1111")),TH!D1310,""),"")</f>
        <v/>
      </c>
      <c r="B1310" s="11">
        <f t="shared" si="100"/>
        <v>8</v>
      </c>
      <c r="C1310" s="12">
        <f t="shared" si="101"/>
        <v>40760</v>
      </c>
      <c r="D1310" s="12" t="s">
        <v>1048</v>
      </c>
      <c r="E1310" s="304">
        <v>40760</v>
      </c>
      <c r="F1310" s="114" t="s">
        <v>465</v>
      </c>
      <c r="G1310" s="15"/>
      <c r="H1310" s="242" t="s">
        <v>1037</v>
      </c>
      <c r="I1310" s="141">
        <v>1</v>
      </c>
      <c r="J1310" s="141">
        <v>16173</v>
      </c>
      <c r="K1310" s="238">
        <f t="shared" si="102"/>
        <v>16173</v>
      </c>
      <c r="L1310" s="14" t="s">
        <v>153</v>
      </c>
      <c r="M1310" s="14" t="s">
        <v>147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>x</v>
      </c>
      <c r="Z1310" s="121"/>
    </row>
    <row r="1311" spans="1:26" ht="15.75" customHeight="1">
      <c r="A1311" s="125" t="str">
        <f>IF(B1311&lt;&gt;"",IF(AND(B1311&gt;=_TM1,B1311&lt;=_TM2,OR(TH!L1311="1111",TH!M1311="1111")),TH!D1311,""),"")</f>
        <v/>
      </c>
      <c r="B1311" s="11">
        <f t="shared" si="100"/>
        <v>8</v>
      </c>
      <c r="C1311" s="12">
        <f t="shared" si="101"/>
        <v>40760</v>
      </c>
      <c r="D1311" s="12" t="s">
        <v>1048</v>
      </c>
      <c r="E1311" s="304">
        <v>40760</v>
      </c>
      <c r="F1311" s="114" t="s">
        <v>465</v>
      </c>
      <c r="G1311" s="15"/>
      <c r="H1311" s="242" t="s">
        <v>1037</v>
      </c>
      <c r="I1311" s="141">
        <v>0.5</v>
      </c>
      <c r="J1311" s="141">
        <v>16173</v>
      </c>
      <c r="K1311" s="238">
        <f t="shared" si="102"/>
        <v>8087</v>
      </c>
      <c r="L1311" s="14" t="s">
        <v>153</v>
      </c>
      <c r="M1311" s="14" t="s">
        <v>147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>x</v>
      </c>
      <c r="Z1311" s="121"/>
    </row>
    <row r="1312" spans="1:26" ht="15.75" customHeight="1">
      <c r="A1312" s="125" t="str">
        <f>IF(B1312&lt;&gt;"",IF(AND(B1312&gt;=_TM1,B1312&lt;=_TM2,OR(TH!L1312="1111",TH!M1312="1111")),TH!D1312,""),"")</f>
        <v/>
      </c>
      <c r="B1312" s="11">
        <f t="shared" si="100"/>
        <v>8</v>
      </c>
      <c r="C1312" s="12">
        <f t="shared" si="101"/>
        <v>40760</v>
      </c>
      <c r="D1312" s="12" t="s">
        <v>1048</v>
      </c>
      <c r="E1312" s="304">
        <v>40760</v>
      </c>
      <c r="F1312" s="114" t="s">
        <v>500</v>
      </c>
      <c r="G1312" s="15"/>
      <c r="H1312" s="242" t="s">
        <v>1037</v>
      </c>
      <c r="I1312" s="141">
        <v>1</v>
      </c>
      <c r="J1312" s="141">
        <v>7268</v>
      </c>
      <c r="K1312" s="238">
        <f t="shared" si="102"/>
        <v>7268</v>
      </c>
      <c r="L1312" s="14" t="s">
        <v>153</v>
      </c>
      <c r="M1312" s="14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>x</v>
      </c>
      <c r="Z1312" s="121"/>
    </row>
    <row r="1313" spans="1:26" ht="15.75" customHeight="1">
      <c r="A1313" s="125" t="str">
        <f>IF(B1313&lt;&gt;"",IF(AND(B1313&gt;=_TM1,B1313&lt;=_TM2,OR(TH!L1313="1111",TH!M1313="1111")),TH!D1313,""),"")</f>
        <v/>
      </c>
      <c r="B1313" s="11">
        <f t="shared" si="100"/>
        <v>8</v>
      </c>
      <c r="C1313" s="12">
        <f t="shared" si="101"/>
        <v>40760</v>
      </c>
      <c r="D1313" s="12" t="s">
        <v>1048</v>
      </c>
      <c r="E1313" s="304">
        <v>40760</v>
      </c>
      <c r="F1313" s="114" t="s">
        <v>465</v>
      </c>
      <c r="G1313" s="15"/>
      <c r="H1313" s="242" t="s">
        <v>1037</v>
      </c>
      <c r="I1313" s="141">
        <v>1</v>
      </c>
      <c r="J1313" s="141">
        <v>16173</v>
      </c>
      <c r="K1313" s="238">
        <f t="shared" si="102"/>
        <v>16173</v>
      </c>
      <c r="L1313" s="14" t="s">
        <v>153</v>
      </c>
      <c r="M1313" s="14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121"/>
    </row>
    <row r="1314" spans="1:26" ht="15.75" customHeight="1">
      <c r="A1314" s="125" t="str">
        <f>IF(B1314&lt;&gt;"",IF(AND(B1314&gt;=_TM1,B1314&lt;=_TM2,OR(TH!L1314="1111",TH!M1314="1111")),TH!D1314,""),"")</f>
        <v/>
      </c>
      <c r="B1314" s="11">
        <f t="shared" si="100"/>
        <v>8</v>
      </c>
      <c r="C1314" s="12">
        <f t="shared" si="101"/>
        <v>40760</v>
      </c>
      <c r="D1314" s="12" t="s">
        <v>1048</v>
      </c>
      <c r="E1314" s="304">
        <v>40760</v>
      </c>
      <c r="F1314" s="114" t="s">
        <v>608</v>
      </c>
      <c r="G1314" s="15"/>
      <c r="H1314" s="242" t="s">
        <v>1037</v>
      </c>
      <c r="I1314" s="141">
        <v>350</v>
      </c>
      <c r="J1314" s="141">
        <v>21455</v>
      </c>
      <c r="K1314" s="238">
        <f t="shared" si="102"/>
        <v>7509250</v>
      </c>
      <c r="L1314" s="14" t="s">
        <v>153</v>
      </c>
      <c r="M1314" s="14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121"/>
    </row>
    <row r="1315" spans="1:26" ht="15.75" customHeight="1">
      <c r="A1315" s="125" t="str">
        <f>IF(B1315&lt;&gt;"",IF(AND(B1315&gt;=_TM1,B1315&lt;=_TM2,OR(TH!L1315="1111",TH!M1315="1111")),TH!D1315,""),"")</f>
        <v/>
      </c>
      <c r="B1315" s="11">
        <f t="shared" si="100"/>
        <v>8</v>
      </c>
      <c r="C1315" s="115">
        <v>40762</v>
      </c>
      <c r="D1315" s="110" t="s">
        <v>634</v>
      </c>
      <c r="E1315" s="115">
        <v>40762</v>
      </c>
      <c r="F1315" s="116" t="s">
        <v>1089</v>
      </c>
      <c r="G1315" s="224" t="s">
        <v>1096</v>
      </c>
      <c r="H1315" s="117" t="s">
        <v>1091</v>
      </c>
      <c r="I1315" s="141"/>
      <c r="J1315" s="141"/>
      <c r="K1315" s="13">
        <v>455629</v>
      </c>
      <c r="L1315" s="118" t="s">
        <v>239</v>
      </c>
      <c r="M1315" s="118" t="s">
        <v>44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>x</v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121">
        <v>8</v>
      </c>
    </row>
    <row r="1316" spans="1:26" ht="15.75" customHeight="1">
      <c r="A1316" s="125" t="str">
        <f>IF(B1316&lt;&gt;"",IF(AND(B1316&gt;=_TM1,B1316&lt;=_TM2,OR(TH!L1316="1111",TH!M1316="1111")),TH!D1316,""),"")</f>
        <v/>
      </c>
      <c r="B1316" s="11">
        <f t="shared" si="100"/>
        <v>8</v>
      </c>
      <c r="C1316" s="115">
        <v>40762</v>
      </c>
      <c r="D1316" s="110" t="s">
        <v>634</v>
      </c>
      <c r="E1316" s="115">
        <v>40762</v>
      </c>
      <c r="F1316" s="116" t="s">
        <v>1092</v>
      </c>
      <c r="G1316" s="224" t="s">
        <v>1096</v>
      </c>
      <c r="H1316" s="117" t="s">
        <v>1091</v>
      </c>
      <c r="I1316" s="141"/>
      <c r="J1316" s="141"/>
      <c r="K1316" s="13">
        <v>44378</v>
      </c>
      <c r="L1316" s="118" t="s">
        <v>9</v>
      </c>
      <c r="M1316" s="118" t="s">
        <v>44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>x</v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/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121">
        <v>8</v>
      </c>
    </row>
    <row r="1317" spans="1:26" ht="15.75" customHeight="1">
      <c r="A1317" s="125" t="str">
        <f>IF(B1317&lt;&gt;"",IF(AND(B1317&gt;=_TM1,B1317&lt;=_TM2,OR(TH!L1317="1111",TH!M1317="1111")),TH!D1317,""),"")</f>
        <v/>
      </c>
      <c r="B1317" s="11">
        <f t="shared" si="100"/>
        <v>8</v>
      </c>
      <c r="C1317" s="12">
        <f t="shared" ref="C1317:C1324" si="103">E1317</f>
        <v>40763</v>
      </c>
      <c r="D1317" s="12" t="s">
        <v>1049</v>
      </c>
      <c r="E1317" s="304">
        <v>40763</v>
      </c>
      <c r="F1317" s="15" t="s">
        <v>533</v>
      </c>
      <c r="G1317" s="15"/>
      <c r="H1317" s="242" t="s">
        <v>1037</v>
      </c>
      <c r="I1317" s="141">
        <v>33</v>
      </c>
      <c r="J1317" s="141">
        <v>22372</v>
      </c>
      <c r="K1317" s="238">
        <f t="shared" ref="K1317:K1324" si="104">ROUND(I1317*J1317,0)</f>
        <v>738276</v>
      </c>
      <c r="L1317" s="14" t="s">
        <v>153</v>
      </c>
      <c r="M1317" s="14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/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121"/>
    </row>
    <row r="1318" spans="1:26" ht="15.75" customHeight="1">
      <c r="A1318" s="125" t="str">
        <f>IF(B1318&lt;&gt;"",IF(AND(B1318&gt;=_TM1,B1318&lt;=_TM2,OR(TH!L1318="1111",TH!M1318="1111")),TH!D1318,""),"")</f>
        <v/>
      </c>
      <c r="B1318" s="11">
        <f t="shared" si="100"/>
        <v>8</v>
      </c>
      <c r="C1318" s="12">
        <f t="shared" si="103"/>
        <v>40763</v>
      </c>
      <c r="D1318" s="12" t="s">
        <v>1049</v>
      </c>
      <c r="E1318" s="304">
        <v>40763</v>
      </c>
      <c r="F1318" s="114" t="s">
        <v>555</v>
      </c>
      <c r="G1318" s="15"/>
      <c r="H1318" s="242" t="s">
        <v>1037</v>
      </c>
      <c r="I1318" s="141">
        <v>69</v>
      </c>
      <c r="J1318" s="141">
        <v>10344</v>
      </c>
      <c r="K1318" s="238">
        <f t="shared" si="104"/>
        <v>713736</v>
      </c>
      <c r="L1318" s="14" t="s">
        <v>153</v>
      </c>
      <c r="M1318" s="14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121"/>
    </row>
    <row r="1319" spans="1:26" ht="15.75" customHeight="1">
      <c r="A1319" s="125" t="str">
        <f>IF(B1319&lt;&gt;"",IF(AND(B1319&gt;=_TM1,B1319&lt;=_TM2,OR(TH!L1319="1111",TH!M1319="1111")),TH!D1319,""),"")</f>
        <v/>
      </c>
      <c r="B1319" s="11">
        <f t="shared" si="100"/>
        <v>8</v>
      </c>
      <c r="C1319" s="12">
        <f t="shared" si="103"/>
        <v>40763</v>
      </c>
      <c r="D1319" s="12" t="s">
        <v>1049</v>
      </c>
      <c r="E1319" s="304">
        <v>40763</v>
      </c>
      <c r="F1319" s="114" t="s">
        <v>362</v>
      </c>
      <c r="G1319" s="15"/>
      <c r="H1319" s="242" t="s">
        <v>1037</v>
      </c>
      <c r="I1319" s="141">
        <v>279</v>
      </c>
      <c r="J1319" s="141">
        <v>6124</v>
      </c>
      <c r="K1319" s="238">
        <f t="shared" si="104"/>
        <v>1708596</v>
      </c>
      <c r="L1319" s="14" t="s">
        <v>153</v>
      </c>
      <c r="M1319" s="14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/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121"/>
    </row>
    <row r="1320" spans="1:26" ht="15.75" customHeight="1">
      <c r="A1320" s="125" t="str">
        <f>IF(B1320&lt;&gt;"",IF(AND(B1320&gt;=_TM1,B1320&lt;=_TM2,OR(TH!L1320="1111",TH!M1320="1111")),TH!D1320,""),"")</f>
        <v/>
      </c>
      <c r="B1320" s="11">
        <f t="shared" si="100"/>
        <v>8</v>
      </c>
      <c r="C1320" s="12">
        <f t="shared" si="103"/>
        <v>40763</v>
      </c>
      <c r="D1320" s="12" t="s">
        <v>1049</v>
      </c>
      <c r="E1320" s="304">
        <v>40763</v>
      </c>
      <c r="F1320" s="114" t="s">
        <v>528</v>
      </c>
      <c r="G1320" s="15"/>
      <c r="H1320" s="242" t="s">
        <v>1037</v>
      </c>
      <c r="I1320" s="141">
        <v>20</v>
      </c>
      <c r="J1320" s="141">
        <v>16973</v>
      </c>
      <c r="K1320" s="238">
        <f t="shared" si="104"/>
        <v>339460</v>
      </c>
      <c r="L1320" s="14" t="s">
        <v>153</v>
      </c>
      <c r="M1320" s="14" t="s">
        <v>147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/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121"/>
    </row>
    <row r="1321" spans="1:26" ht="15.75" customHeight="1">
      <c r="A1321" s="125" t="str">
        <f>IF(B1321&lt;&gt;"",IF(AND(B1321&gt;=_TM1,B1321&lt;=_TM2,OR(TH!L1321="1111",TH!M1321="1111")),TH!D1321,""),"")</f>
        <v/>
      </c>
      <c r="B1321" s="11">
        <f t="shared" si="100"/>
        <v>8</v>
      </c>
      <c r="C1321" s="12">
        <f t="shared" si="103"/>
        <v>40763</v>
      </c>
      <c r="D1321" s="12" t="s">
        <v>1049</v>
      </c>
      <c r="E1321" s="304">
        <v>40763</v>
      </c>
      <c r="F1321" s="114" t="s">
        <v>561</v>
      </c>
      <c r="G1321" s="15"/>
      <c r="H1321" s="242" t="s">
        <v>1037</v>
      </c>
      <c r="I1321" s="141">
        <v>40</v>
      </c>
      <c r="J1321" s="141">
        <v>32686</v>
      </c>
      <c r="K1321" s="238">
        <f t="shared" si="104"/>
        <v>1307440</v>
      </c>
      <c r="L1321" s="14" t="s">
        <v>153</v>
      </c>
      <c r="M1321" s="14" t="s">
        <v>147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121"/>
    </row>
    <row r="1322" spans="1:26" ht="15.75" customHeight="1">
      <c r="A1322" s="125" t="str">
        <f>IF(B1322&lt;&gt;"",IF(AND(B1322&gt;=_TM1,B1322&lt;=_TM2,OR(TH!L1322="1111",TH!M1322="1111")),TH!D1322,""),"")</f>
        <v/>
      </c>
      <c r="B1322" s="11">
        <f t="shared" si="100"/>
        <v>8</v>
      </c>
      <c r="C1322" s="12">
        <f t="shared" si="103"/>
        <v>40763</v>
      </c>
      <c r="D1322" s="12" t="s">
        <v>1049</v>
      </c>
      <c r="E1322" s="304">
        <v>40763</v>
      </c>
      <c r="F1322" s="114" t="s">
        <v>546</v>
      </c>
      <c r="G1322" s="15"/>
      <c r="H1322" s="242" t="s">
        <v>1037</v>
      </c>
      <c r="I1322" s="141">
        <v>104</v>
      </c>
      <c r="J1322" s="141">
        <v>25524</v>
      </c>
      <c r="K1322" s="238">
        <f t="shared" si="104"/>
        <v>2654496</v>
      </c>
      <c r="L1322" s="14" t="s">
        <v>153</v>
      </c>
      <c r="M1322" s="14" t="s">
        <v>147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121"/>
    </row>
    <row r="1323" spans="1:26" ht="15.75" customHeight="1">
      <c r="A1323" s="125" t="str">
        <f>IF(B1323&lt;&gt;"",IF(AND(B1323&gt;=_TM1,B1323&lt;=_TM2,OR(TH!L1323="1111",TH!M1323="1111")),TH!D1323,""),"")</f>
        <v/>
      </c>
      <c r="B1323" s="11">
        <f t="shared" si="100"/>
        <v>8</v>
      </c>
      <c r="C1323" s="12">
        <f t="shared" si="103"/>
        <v>40763</v>
      </c>
      <c r="D1323" s="12" t="s">
        <v>1049</v>
      </c>
      <c r="E1323" s="304">
        <v>40763</v>
      </c>
      <c r="F1323" s="114" t="s">
        <v>608</v>
      </c>
      <c r="G1323" s="15"/>
      <c r="H1323" s="242" t="s">
        <v>1037</v>
      </c>
      <c r="I1323" s="141">
        <v>82</v>
      </c>
      <c r="J1323" s="141">
        <v>21455</v>
      </c>
      <c r="K1323" s="238">
        <f t="shared" si="104"/>
        <v>1759310</v>
      </c>
      <c r="L1323" s="14" t="s">
        <v>153</v>
      </c>
      <c r="M1323" s="14" t="s">
        <v>147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121"/>
    </row>
    <row r="1324" spans="1:26" ht="15.75" customHeight="1">
      <c r="A1324" s="125" t="str">
        <f>IF(B1324&lt;&gt;"",IF(AND(B1324&gt;=_TM1,B1324&lt;=_TM2,OR(TH!L1324="1111",TH!M1324="1111")),TH!D1324,""),"")</f>
        <v/>
      </c>
      <c r="B1324" s="11">
        <f t="shared" si="100"/>
        <v>8</v>
      </c>
      <c r="C1324" s="12">
        <f t="shared" si="103"/>
        <v>40763</v>
      </c>
      <c r="D1324" s="12" t="s">
        <v>1049</v>
      </c>
      <c r="E1324" s="304">
        <v>40763</v>
      </c>
      <c r="F1324" s="114" t="s">
        <v>364</v>
      </c>
      <c r="G1324" s="15"/>
      <c r="H1324" s="242" t="s">
        <v>1037</v>
      </c>
      <c r="I1324" s="315">
        <v>22.5</v>
      </c>
      <c r="J1324" s="141">
        <v>4449</v>
      </c>
      <c r="K1324" s="238">
        <f t="shared" si="104"/>
        <v>100103</v>
      </c>
      <c r="L1324" s="14" t="s">
        <v>153</v>
      </c>
      <c r="M1324" s="14" t="s">
        <v>147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>x</v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121"/>
    </row>
    <row r="1325" spans="1:26" ht="15.75" customHeight="1">
      <c r="A1325" s="125" t="str">
        <f>IF(B1325&lt;&gt;"",IF(AND(B1325&gt;=_TM1,B1325&lt;=_TM2,OR(TH!L1325="1111",TH!M1325="1111")),TH!D1325,""),"")</f>
        <v/>
      </c>
      <c r="B1325" s="11">
        <f t="shared" si="100"/>
        <v>8</v>
      </c>
      <c r="C1325" s="115">
        <v>40764</v>
      </c>
      <c r="D1325" s="115" t="s">
        <v>410</v>
      </c>
      <c r="E1325" s="115">
        <v>40764</v>
      </c>
      <c r="F1325" s="116" t="s">
        <v>964</v>
      </c>
      <c r="G1325" s="224" t="s">
        <v>1130</v>
      </c>
      <c r="H1325" s="117" t="s">
        <v>736</v>
      </c>
      <c r="I1325" s="141"/>
      <c r="J1325" s="141"/>
      <c r="K1325" s="238">
        <v>11858000</v>
      </c>
      <c r="L1325" s="118" t="s">
        <v>44</v>
      </c>
      <c r="M1325" s="118" t="s">
        <v>237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>x</v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121"/>
    </row>
    <row r="1326" spans="1:26" ht="15.75" customHeight="1">
      <c r="A1326" s="125" t="str">
        <f>IF(B1326&lt;&gt;"",IF(AND(B1326&gt;=_TM1,B1326&lt;=_TM2,OR(TH!L1326="1111",TH!M1326="1111")),TH!D1326,""),"")</f>
        <v/>
      </c>
      <c r="B1326" s="11">
        <f t="shared" si="100"/>
        <v>8</v>
      </c>
      <c r="C1326" s="115">
        <v>40764</v>
      </c>
      <c r="D1326" s="115" t="s">
        <v>917</v>
      </c>
      <c r="E1326" s="115">
        <v>40764</v>
      </c>
      <c r="F1326" s="116" t="s">
        <v>964</v>
      </c>
      <c r="G1326" s="224" t="s">
        <v>1130</v>
      </c>
      <c r="H1326" s="117" t="s">
        <v>736</v>
      </c>
      <c r="I1326" s="141">
        <v>980</v>
      </c>
      <c r="J1326" s="141">
        <v>11000</v>
      </c>
      <c r="K1326" s="238">
        <v>10780000</v>
      </c>
      <c r="L1326" s="118" t="s">
        <v>237</v>
      </c>
      <c r="M1326" s="118" t="s">
        <v>163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121"/>
    </row>
    <row r="1327" spans="1:26" ht="15.75" customHeight="1">
      <c r="A1327" s="125" t="str">
        <f>IF(B1327&lt;&gt;"",IF(AND(B1327&gt;=_TM1,B1327&lt;=_TM2,OR(TH!L1327="1111",TH!M1327="1111")),TH!D1327,""),"")</f>
        <v/>
      </c>
      <c r="B1327" s="11">
        <f t="shared" si="100"/>
        <v>8</v>
      </c>
      <c r="C1327" s="115">
        <v>40764</v>
      </c>
      <c r="D1327" s="115" t="s">
        <v>917</v>
      </c>
      <c r="E1327" s="115">
        <v>40764</v>
      </c>
      <c r="F1327" s="116" t="s">
        <v>1121</v>
      </c>
      <c r="G1327" s="224" t="s">
        <v>1130</v>
      </c>
      <c r="H1327" s="117" t="s">
        <v>736</v>
      </c>
      <c r="I1327" s="141"/>
      <c r="J1327" s="141"/>
      <c r="K1327" s="238">
        <v>1078000</v>
      </c>
      <c r="L1327" s="118" t="s">
        <v>237</v>
      </c>
      <c r="M1327" s="118" t="s">
        <v>707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121"/>
    </row>
    <row r="1328" spans="1:26" ht="15.75" customHeight="1">
      <c r="A1328" s="125" t="str">
        <f>IF(B1328&lt;&gt;"",IF(AND(B1328&gt;=_TM1,B1328&lt;=_TM2,OR(TH!L1328="1111",TH!M1328="1111")),TH!D1328,""),"")</f>
        <v/>
      </c>
      <c r="B1328" s="11">
        <f t="shared" si="100"/>
        <v>8</v>
      </c>
      <c r="C1328" s="12">
        <f>E1328</f>
        <v>40764</v>
      </c>
      <c r="D1328" s="12" t="s">
        <v>1067</v>
      </c>
      <c r="E1328" s="12">
        <v>40764</v>
      </c>
      <c r="F1328" s="15" t="s">
        <v>964</v>
      </c>
      <c r="G1328" s="15"/>
      <c r="H1328" s="242" t="s">
        <v>1037</v>
      </c>
      <c r="I1328" s="141">
        <v>980</v>
      </c>
      <c r="J1328" s="141">
        <v>9954.164041275928</v>
      </c>
      <c r="K1328" s="238">
        <f>ROUND(I1328*J1328,0)</f>
        <v>9755081</v>
      </c>
      <c r="L1328" s="14" t="s">
        <v>155</v>
      </c>
      <c r="M1328" s="14" t="s">
        <v>153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121"/>
    </row>
    <row r="1329" spans="1:26" ht="15.75" customHeight="1">
      <c r="A1329" s="125" t="str">
        <f>IF(B1329&lt;&gt;"",IF(AND(B1329&gt;=_TM1,B1329&lt;=_TM2,OR(TH!L1329="1111",TH!M1329="1111")),TH!D1329,""),"")</f>
        <v/>
      </c>
      <c r="B1329" s="11">
        <f t="shared" si="100"/>
        <v>8</v>
      </c>
      <c r="C1329" s="12">
        <f>E1329</f>
        <v>40764</v>
      </c>
      <c r="D1329" s="12" t="s">
        <v>917</v>
      </c>
      <c r="E1329" s="12">
        <v>40764</v>
      </c>
      <c r="F1329" s="15" t="s">
        <v>964</v>
      </c>
      <c r="G1329" s="15" t="s">
        <v>1130</v>
      </c>
      <c r="H1329" s="242" t="s">
        <v>736</v>
      </c>
      <c r="I1329" s="141">
        <v>980</v>
      </c>
      <c r="J1329" s="141">
        <v>9954.164041275928</v>
      </c>
      <c r="K1329" s="238">
        <f>ROUND(I1329*J1329,0)</f>
        <v>9755081</v>
      </c>
      <c r="L1329" s="14" t="s">
        <v>161</v>
      </c>
      <c r="M1329" s="14" t="s">
        <v>155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121"/>
    </row>
    <row r="1330" spans="1:26" ht="15.75" customHeight="1">
      <c r="A1330" s="125" t="str">
        <f>IF(B1330&lt;&gt;"",IF(AND(B1330&gt;=_TM1,B1330&lt;=_TM2,OR(TH!L1330="1111",TH!M1330="1111")),TH!D1330,""),"")</f>
        <v/>
      </c>
      <c r="B1330" s="11">
        <f t="shared" si="100"/>
        <v>8</v>
      </c>
      <c r="C1330" s="110">
        <v>40766</v>
      </c>
      <c r="D1330" s="110" t="s">
        <v>311</v>
      </c>
      <c r="E1330" s="110">
        <v>40766</v>
      </c>
      <c r="F1330" s="114" t="s">
        <v>344</v>
      </c>
      <c r="G1330" s="240" t="s">
        <v>307</v>
      </c>
      <c r="H1330" s="4" t="s">
        <v>536</v>
      </c>
      <c r="I1330" s="141"/>
      <c r="J1330" s="141"/>
      <c r="K1330" s="238">
        <v>10000000</v>
      </c>
      <c r="L1330" s="239" t="s">
        <v>8</v>
      </c>
      <c r="M1330" s="239" t="s">
        <v>23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121"/>
    </row>
    <row r="1331" spans="1:26" ht="15.75" customHeight="1">
      <c r="A1331" s="125" t="str">
        <f>IF(B1331&lt;&gt;"",IF(AND(B1331&gt;=_TM1,B1331&lt;=_TM2,OR(TH!L1331="1111",TH!M1331="1111")),TH!D1331,""),"")</f>
        <v/>
      </c>
      <c r="B1331" s="11">
        <f t="shared" si="100"/>
        <v>8</v>
      </c>
      <c r="C1331" s="110">
        <v>40766</v>
      </c>
      <c r="D1331" s="110" t="s">
        <v>311</v>
      </c>
      <c r="E1331" s="110">
        <v>40766</v>
      </c>
      <c r="F1331" s="114" t="s">
        <v>344</v>
      </c>
      <c r="G1331" s="240" t="s">
        <v>307</v>
      </c>
      <c r="H1331" s="4" t="s">
        <v>525</v>
      </c>
      <c r="I1331" s="141"/>
      <c r="J1331" s="141"/>
      <c r="K1331" s="238">
        <v>23410000</v>
      </c>
      <c r="L1331" s="239" t="s">
        <v>8</v>
      </c>
      <c r="M1331" s="239" t="s">
        <v>23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/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121"/>
    </row>
    <row r="1332" spans="1:26" ht="15.75" customHeight="1">
      <c r="A1332" s="125" t="str">
        <f>IF(B1332&lt;&gt;"",IF(AND(B1332&gt;=_TM1,B1332&lt;=_TM2,OR(TH!L1332="1111",TH!M1332="1111")),TH!D1332,""),"")</f>
        <v/>
      </c>
      <c r="B1332" s="11">
        <f t="shared" si="100"/>
        <v>8</v>
      </c>
      <c r="C1332" s="110">
        <v>40766</v>
      </c>
      <c r="D1332" s="110" t="s">
        <v>311</v>
      </c>
      <c r="E1332" s="110">
        <v>40766</v>
      </c>
      <c r="F1332" s="114" t="s">
        <v>313</v>
      </c>
      <c r="G1332" s="240" t="s">
        <v>307</v>
      </c>
      <c r="H1332" s="4"/>
      <c r="I1332" s="141"/>
      <c r="J1332" s="141"/>
      <c r="K1332" s="238">
        <v>9091</v>
      </c>
      <c r="L1332" s="239" t="s">
        <v>73</v>
      </c>
      <c r="M1332" s="239" t="s">
        <v>23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>x</v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/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121">
        <v>8</v>
      </c>
    </row>
    <row r="1333" spans="1:26" ht="15.75" customHeight="1">
      <c r="A1333" s="125" t="str">
        <f>IF(B1333&lt;&gt;"",IF(AND(B1333&gt;=_TM1,B1333&lt;=_TM2,OR(TH!L1333="1111",TH!M1333="1111")),TH!D1333,""),"")</f>
        <v/>
      </c>
      <c r="B1333" s="11">
        <f t="shared" si="100"/>
        <v>8</v>
      </c>
      <c r="C1333" s="110">
        <v>40766</v>
      </c>
      <c r="D1333" s="110" t="s">
        <v>311</v>
      </c>
      <c r="E1333" s="110">
        <v>40766</v>
      </c>
      <c r="F1333" s="114" t="s">
        <v>313</v>
      </c>
      <c r="G1333" s="240" t="s">
        <v>307</v>
      </c>
      <c r="H1333" s="4"/>
      <c r="I1333" s="141"/>
      <c r="J1333" s="141"/>
      <c r="K1333" s="238">
        <v>909</v>
      </c>
      <c r="L1333" s="239" t="s">
        <v>9</v>
      </c>
      <c r="M1333" s="239" t="s">
        <v>23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121">
        <v>8</v>
      </c>
    </row>
    <row r="1334" spans="1:26" ht="15.75" customHeight="1">
      <c r="A1334" s="125" t="str">
        <f>IF(B1334&lt;&gt;"",IF(AND(B1334&gt;=_TM1,B1334&lt;=_TM2,OR(TH!L1334="1111",TH!M1334="1111")),TH!D1334,""),"")</f>
        <v/>
      </c>
      <c r="B1334" s="11">
        <f t="shared" si="100"/>
        <v>8</v>
      </c>
      <c r="C1334" s="110">
        <v>40766</v>
      </c>
      <c r="D1334" s="110" t="s">
        <v>637</v>
      </c>
      <c r="E1334" s="110">
        <v>40766</v>
      </c>
      <c r="F1334" s="114" t="s">
        <v>343</v>
      </c>
      <c r="G1334" s="240" t="s">
        <v>307</v>
      </c>
      <c r="H1334" s="117" t="s">
        <v>340</v>
      </c>
      <c r="I1334" s="141"/>
      <c r="J1334" s="141"/>
      <c r="K1334" s="238">
        <v>35000000</v>
      </c>
      <c r="L1334" s="239" t="s">
        <v>44</v>
      </c>
      <c r="M1334" s="239" t="s">
        <v>23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>x</v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/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121"/>
    </row>
    <row r="1335" spans="1:26" ht="15.75" customHeight="1">
      <c r="A1335" s="125" t="str">
        <f>IF(B1335&lt;&gt;"",IF(AND(B1335&gt;=_TM1,B1335&lt;=_TM2,OR(TH!L1335="1111",TH!M1335="1111")),TH!D1335,""),"")</f>
        <v/>
      </c>
      <c r="B1335" s="11">
        <f t="shared" si="100"/>
        <v>8</v>
      </c>
      <c r="C1335" s="12">
        <f t="shared" ref="C1335:C1350" si="105">E1335</f>
        <v>40768</v>
      </c>
      <c r="D1335" s="12" t="s">
        <v>1050</v>
      </c>
      <c r="E1335" s="304">
        <v>40768</v>
      </c>
      <c r="F1335" s="114" t="s">
        <v>362</v>
      </c>
      <c r="G1335" s="15"/>
      <c r="H1335" s="242" t="s">
        <v>1037</v>
      </c>
      <c r="I1335" s="141">
        <v>989</v>
      </c>
      <c r="J1335" s="141">
        <v>6124</v>
      </c>
      <c r="K1335" s="238">
        <f t="shared" ref="K1335:K1350" si="106">ROUND(I1335*J1335,0)</f>
        <v>6056636</v>
      </c>
      <c r="L1335" s="14" t="s">
        <v>153</v>
      </c>
      <c r="M1335" s="14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121"/>
    </row>
    <row r="1336" spans="1:26" ht="15.75" customHeight="1">
      <c r="A1336" s="125" t="str">
        <f>IF(B1336&lt;&gt;"",IF(AND(B1336&gt;=_TM1,B1336&lt;=_TM2,OR(TH!L1336="1111",TH!M1336="1111")),TH!D1336,""),"")</f>
        <v/>
      </c>
      <c r="B1336" s="11">
        <f t="shared" si="100"/>
        <v>8</v>
      </c>
      <c r="C1336" s="12">
        <f t="shared" si="105"/>
        <v>40768</v>
      </c>
      <c r="D1336" s="12" t="s">
        <v>1050</v>
      </c>
      <c r="E1336" s="304">
        <v>40768</v>
      </c>
      <c r="F1336" s="114" t="s">
        <v>496</v>
      </c>
      <c r="G1336" s="15"/>
      <c r="H1336" s="242" t="s">
        <v>1037</v>
      </c>
      <c r="I1336" s="141">
        <v>97</v>
      </c>
      <c r="J1336" s="141">
        <v>10603</v>
      </c>
      <c r="K1336" s="238">
        <f t="shared" si="106"/>
        <v>1028491</v>
      </c>
      <c r="L1336" s="14" t="s">
        <v>153</v>
      </c>
      <c r="M1336" s="14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121"/>
    </row>
    <row r="1337" spans="1:26" ht="15.75" customHeight="1">
      <c r="A1337" s="125" t="str">
        <f>IF(B1337&lt;&gt;"",IF(AND(B1337&gt;=_TM1,B1337&lt;=_TM2,OR(TH!L1337="1111",TH!M1337="1111")),TH!D1337,""),"")</f>
        <v/>
      </c>
      <c r="B1337" s="11">
        <f t="shared" si="100"/>
        <v>8</v>
      </c>
      <c r="C1337" s="12">
        <f t="shared" si="105"/>
        <v>40768</v>
      </c>
      <c r="D1337" s="12" t="s">
        <v>1050</v>
      </c>
      <c r="E1337" s="304">
        <v>40768</v>
      </c>
      <c r="F1337" s="114" t="s">
        <v>555</v>
      </c>
      <c r="G1337" s="15"/>
      <c r="H1337" s="242" t="s">
        <v>1037</v>
      </c>
      <c r="I1337" s="141">
        <v>53</v>
      </c>
      <c r="J1337" s="141">
        <v>10344</v>
      </c>
      <c r="K1337" s="238">
        <f t="shared" si="106"/>
        <v>548232</v>
      </c>
      <c r="L1337" s="14" t="s">
        <v>153</v>
      </c>
      <c r="M1337" s="14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121"/>
    </row>
    <row r="1338" spans="1:26" ht="15.75" customHeight="1">
      <c r="A1338" s="125" t="str">
        <f>IF(B1338&lt;&gt;"",IF(AND(B1338&gt;=_TM1,B1338&lt;=_TM2,OR(TH!L1338="1111",TH!M1338="1111")),TH!D1338,""),"")</f>
        <v/>
      </c>
      <c r="B1338" s="11">
        <f t="shared" si="100"/>
        <v>8</v>
      </c>
      <c r="C1338" s="12">
        <f t="shared" si="105"/>
        <v>40768</v>
      </c>
      <c r="D1338" s="12" t="s">
        <v>1050</v>
      </c>
      <c r="E1338" s="304">
        <v>40768</v>
      </c>
      <c r="F1338" s="114" t="s">
        <v>364</v>
      </c>
      <c r="G1338" s="15"/>
      <c r="H1338" s="242" t="s">
        <v>1037</v>
      </c>
      <c r="I1338" s="315">
        <v>75</v>
      </c>
      <c r="J1338" s="141">
        <v>4449</v>
      </c>
      <c r="K1338" s="238">
        <f t="shared" si="106"/>
        <v>333675</v>
      </c>
      <c r="L1338" s="14" t="s">
        <v>153</v>
      </c>
      <c r="M1338" s="14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>x</v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121"/>
    </row>
    <row r="1339" spans="1:26" ht="15.75" customHeight="1">
      <c r="A1339" s="125" t="str">
        <f>IF(B1339&lt;&gt;"",IF(AND(B1339&gt;=_TM1,B1339&lt;=_TM2,OR(TH!L1339="1111",TH!M1339="1111")),TH!D1339,""),"")</f>
        <v/>
      </c>
      <c r="B1339" s="11">
        <f t="shared" si="100"/>
        <v>8</v>
      </c>
      <c r="C1339" s="12">
        <f t="shared" si="105"/>
        <v>40768</v>
      </c>
      <c r="D1339" s="12" t="s">
        <v>1050</v>
      </c>
      <c r="E1339" s="304">
        <v>40768</v>
      </c>
      <c r="F1339" s="114" t="s">
        <v>364</v>
      </c>
      <c r="G1339" s="15"/>
      <c r="H1339" s="242" t="s">
        <v>1037</v>
      </c>
      <c r="I1339" s="315">
        <v>0.5</v>
      </c>
      <c r="J1339" s="141">
        <v>4449</v>
      </c>
      <c r="K1339" s="238">
        <f t="shared" si="106"/>
        <v>2225</v>
      </c>
      <c r="L1339" s="14" t="s">
        <v>153</v>
      </c>
      <c r="M1339" s="14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>x</v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121"/>
    </row>
    <row r="1340" spans="1:26" ht="15.75" customHeight="1">
      <c r="A1340" s="125" t="str">
        <f>IF(B1340&lt;&gt;"",IF(AND(B1340&gt;=_TM1,B1340&lt;=_TM2,OR(TH!L1340="1111",TH!M1340="1111")),TH!D1340,""),"")</f>
        <v/>
      </c>
      <c r="B1340" s="11">
        <f t="shared" si="100"/>
        <v>8</v>
      </c>
      <c r="C1340" s="12">
        <f t="shared" si="105"/>
        <v>40768</v>
      </c>
      <c r="D1340" s="12" t="s">
        <v>1050</v>
      </c>
      <c r="E1340" s="304">
        <v>40768</v>
      </c>
      <c r="F1340" s="114" t="s">
        <v>555</v>
      </c>
      <c r="G1340" s="15"/>
      <c r="H1340" s="242" t="s">
        <v>1037</v>
      </c>
      <c r="I1340" s="141">
        <v>66.5</v>
      </c>
      <c r="J1340" s="141">
        <v>10344</v>
      </c>
      <c r="K1340" s="238">
        <f t="shared" si="106"/>
        <v>687876</v>
      </c>
      <c r="L1340" s="14" t="s">
        <v>153</v>
      </c>
      <c r="M1340" s="14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121"/>
    </row>
    <row r="1341" spans="1:26" ht="15.75" customHeight="1">
      <c r="A1341" s="125" t="str">
        <f>IF(B1341&lt;&gt;"",IF(AND(B1341&gt;=_TM1,B1341&lt;=_TM2,OR(TH!L1341="1111",TH!M1341="1111")),TH!D1341,""),"")</f>
        <v/>
      </c>
      <c r="B1341" s="11">
        <f t="shared" si="100"/>
        <v>8</v>
      </c>
      <c r="C1341" s="12">
        <f t="shared" si="105"/>
        <v>40768</v>
      </c>
      <c r="D1341" s="12" t="s">
        <v>1050</v>
      </c>
      <c r="E1341" s="304">
        <v>40768</v>
      </c>
      <c r="F1341" s="114" t="s">
        <v>362</v>
      </c>
      <c r="G1341" s="15"/>
      <c r="H1341" s="242" t="s">
        <v>1037</v>
      </c>
      <c r="I1341" s="141">
        <v>141</v>
      </c>
      <c r="J1341" s="141">
        <v>6124</v>
      </c>
      <c r="K1341" s="238">
        <f t="shared" si="106"/>
        <v>863484</v>
      </c>
      <c r="L1341" s="14" t="s">
        <v>153</v>
      </c>
      <c r="M1341" s="14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121"/>
    </row>
    <row r="1342" spans="1:26" ht="15.75" customHeight="1">
      <c r="A1342" s="125" t="str">
        <f>IF(B1342&lt;&gt;"",IF(AND(B1342&gt;=_TM1,B1342&lt;=_TM2,OR(TH!L1342="1111",TH!M1342="1111")),TH!D1342,""),"")</f>
        <v/>
      </c>
      <c r="B1342" s="11">
        <f t="shared" si="100"/>
        <v>8</v>
      </c>
      <c r="C1342" s="12">
        <f t="shared" si="105"/>
        <v>40768</v>
      </c>
      <c r="D1342" s="12" t="s">
        <v>1050</v>
      </c>
      <c r="E1342" s="304">
        <v>40768</v>
      </c>
      <c r="F1342" s="154" t="s">
        <v>456</v>
      </c>
      <c r="G1342" s="15"/>
      <c r="H1342" s="242" t="s">
        <v>1037</v>
      </c>
      <c r="I1342" s="141">
        <v>291</v>
      </c>
      <c r="J1342" s="141">
        <v>6026</v>
      </c>
      <c r="K1342" s="238">
        <f t="shared" si="106"/>
        <v>1753566</v>
      </c>
      <c r="L1342" s="14" t="s">
        <v>153</v>
      </c>
      <c r="M1342" s="14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121"/>
    </row>
    <row r="1343" spans="1:26" ht="15.75" customHeight="1">
      <c r="A1343" s="125" t="str">
        <f>IF(B1343&lt;&gt;"",IF(AND(B1343&gt;=_TM1,B1343&lt;=_TM2,OR(TH!L1343="1111",TH!M1343="1111")),TH!D1343,""),"")</f>
        <v/>
      </c>
      <c r="B1343" s="11">
        <f t="shared" si="100"/>
        <v>8</v>
      </c>
      <c r="C1343" s="12">
        <f t="shared" si="105"/>
        <v>40768</v>
      </c>
      <c r="D1343" s="12" t="s">
        <v>1050</v>
      </c>
      <c r="E1343" s="304">
        <v>40768</v>
      </c>
      <c r="F1343" s="15" t="s">
        <v>578</v>
      </c>
      <c r="G1343" s="15"/>
      <c r="H1343" s="242" t="s">
        <v>1037</v>
      </c>
      <c r="I1343" s="141">
        <v>0.5</v>
      </c>
      <c r="J1343" s="141">
        <v>16303</v>
      </c>
      <c r="K1343" s="238">
        <f t="shared" si="106"/>
        <v>8152</v>
      </c>
      <c r="L1343" s="14" t="s">
        <v>153</v>
      </c>
      <c r="M1343" s="14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121"/>
    </row>
    <row r="1344" spans="1:26" ht="15.75" customHeight="1">
      <c r="A1344" s="125" t="str">
        <f>IF(B1344&lt;&gt;"",IF(AND(B1344&gt;=_TM1,B1344&lt;=_TM2,OR(TH!L1344="1111",TH!M1344="1111")),TH!D1344,""),"")</f>
        <v/>
      </c>
      <c r="B1344" s="11">
        <f t="shared" si="100"/>
        <v>8</v>
      </c>
      <c r="C1344" s="12">
        <f t="shared" si="105"/>
        <v>40771</v>
      </c>
      <c r="D1344" s="12" t="s">
        <v>1051</v>
      </c>
      <c r="E1344" s="304">
        <v>40771</v>
      </c>
      <c r="F1344" s="114" t="s">
        <v>500</v>
      </c>
      <c r="G1344" s="15"/>
      <c r="H1344" s="242" t="s">
        <v>1037</v>
      </c>
      <c r="I1344" s="141">
        <v>1</v>
      </c>
      <c r="J1344" s="141">
        <v>7268</v>
      </c>
      <c r="K1344" s="238">
        <f t="shared" si="106"/>
        <v>7268</v>
      </c>
      <c r="L1344" s="14" t="s">
        <v>153</v>
      </c>
      <c r="M1344" s="14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121"/>
    </row>
    <row r="1345" spans="1:26" ht="15.75" customHeight="1">
      <c r="A1345" s="125" t="str">
        <f>IF(B1345&lt;&gt;"",IF(AND(B1345&gt;=_TM1,B1345&lt;=_TM2,OR(TH!L1345="1111",TH!M1345="1111")),TH!D1345,""),"")</f>
        <v/>
      </c>
      <c r="B1345" s="11">
        <f t="shared" si="100"/>
        <v>8</v>
      </c>
      <c r="C1345" s="12">
        <f t="shared" si="105"/>
        <v>40771</v>
      </c>
      <c r="D1345" s="12" t="s">
        <v>1051</v>
      </c>
      <c r="E1345" s="304">
        <v>40771</v>
      </c>
      <c r="F1345" s="114" t="s">
        <v>465</v>
      </c>
      <c r="G1345" s="15"/>
      <c r="H1345" s="242" t="s">
        <v>1037</v>
      </c>
      <c r="I1345" s="141">
        <v>0.5</v>
      </c>
      <c r="J1345" s="141">
        <v>16173</v>
      </c>
      <c r="K1345" s="238">
        <f t="shared" si="106"/>
        <v>8087</v>
      </c>
      <c r="L1345" s="14" t="s">
        <v>153</v>
      </c>
      <c r="M1345" s="14" t="s">
        <v>147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121"/>
    </row>
    <row r="1346" spans="1:26" ht="15.75" customHeight="1">
      <c r="A1346" s="125" t="str">
        <f>IF(B1346&lt;&gt;"",IF(AND(B1346&gt;=_TM1,B1346&lt;=_TM2,OR(TH!L1346="1111",TH!M1346="1111")),TH!D1346,""),"")</f>
        <v/>
      </c>
      <c r="B1346" s="11">
        <f t="shared" si="100"/>
        <v>8</v>
      </c>
      <c r="C1346" s="12">
        <f t="shared" si="105"/>
        <v>40771</v>
      </c>
      <c r="D1346" s="12" t="s">
        <v>1051</v>
      </c>
      <c r="E1346" s="304">
        <v>40771</v>
      </c>
      <c r="F1346" s="114" t="s">
        <v>608</v>
      </c>
      <c r="G1346" s="15"/>
      <c r="H1346" s="242" t="s">
        <v>1037</v>
      </c>
      <c r="I1346" s="141">
        <v>412</v>
      </c>
      <c r="J1346" s="141">
        <v>21455</v>
      </c>
      <c r="K1346" s="238">
        <f t="shared" si="106"/>
        <v>8839460</v>
      </c>
      <c r="L1346" s="14" t="s">
        <v>153</v>
      </c>
      <c r="M1346" s="14" t="s">
        <v>147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121"/>
    </row>
    <row r="1347" spans="1:26" ht="15.75" customHeight="1">
      <c r="A1347" s="125" t="str">
        <f>IF(B1347&lt;&gt;"",IF(AND(B1347&gt;=_TM1,B1347&lt;=_TM2,OR(TH!L1347="1111",TH!M1347="1111")),TH!D1347,""),"")</f>
        <v/>
      </c>
      <c r="B1347" s="11">
        <f t="shared" si="100"/>
        <v>8</v>
      </c>
      <c r="C1347" s="12">
        <f t="shared" si="105"/>
        <v>40771</v>
      </c>
      <c r="D1347" s="12" t="s">
        <v>1051</v>
      </c>
      <c r="E1347" s="304">
        <v>40771</v>
      </c>
      <c r="F1347" s="114" t="s">
        <v>362</v>
      </c>
      <c r="G1347" s="15"/>
      <c r="H1347" s="242" t="s">
        <v>1037</v>
      </c>
      <c r="I1347" s="141">
        <v>2</v>
      </c>
      <c r="J1347" s="141">
        <v>6124</v>
      </c>
      <c r="K1347" s="238">
        <f t="shared" si="106"/>
        <v>12248</v>
      </c>
      <c r="L1347" s="14" t="s">
        <v>153</v>
      </c>
      <c r="M1347" s="14" t="s">
        <v>147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121"/>
    </row>
    <row r="1348" spans="1:26" ht="15.75" customHeight="1">
      <c r="A1348" s="125" t="str">
        <f>IF(B1348&lt;&gt;"",IF(AND(B1348&gt;=_TM1,B1348&lt;=_TM2,OR(TH!L1348="1111",TH!M1348="1111")),TH!D1348,""),"")</f>
        <v/>
      </c>
      <c r="B1348" s="11">
        <f t="shared" si="100"/>
        <v>8</v>
      </c>
      <c r="C1348" s="12">
        <f t="shared" si="105"/>
        <v>40771</v>
      </c>
      <c r="D1348" s="12" t="s">
        <v>1051</v>
      </c>
      <c r="E1348" s="304">
        <v>40771</v>
      </c>
      <c r="F1348" s="15" t="s">
        <v>578</v>
      </c>
      <c r="G1348" s="15"/>
      <c r="H1348" s="242" t="s">
        <v>1037</v>
      </c>
      <c r="I1348" s="141">
        <v>0.5</v>
      </c>
      <c r="J1348" s="141">
        <v>16303</v>
      </c>
      <c r="K1348" s="238">
        <f t="shared" si="106"/>
        <v>8152</v>
      </c>
      <c r="L1348" s="14" t="s">
        <v>153</v>
      </c>
      <c r="M1348" s="14" t="s">
        <v>147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121"/>
    </row>
    <row r="1349" spans="1:26" ht="15.75" customHeight="1">
      <c r="A1349" s="125" t="str">
        <f>IF(B1349&lt;&gt;"",IF(AND(B1349&gt;=_TM1,B1349&lt;=_TM2,OR(TH!L1349="1111",TH!M1349="1111")),TH!D1349,""),"")</f>
        <v/>
      </c>
      <c r="B1349" s="11">
        <f t="shared" si="100"/>
        <v>8</v>
      </c>
      <c r="C1349" s="12">
        <f t="shared" si="105"/>
        <v>40771</v>
      </c>
      <c r="D1349" s="12" t="s">
        <v>1051</v>
      </c>
      <c r="E1349" s="304">
        <v>40771</v>
      </c>
      <c r="F1349" s="15" t="s">
        <v>590</v>
      </c>
      <c r="G1349" s="15"/>
      <c r="H1349" s="242" t="s">
        <v>1037</v>
      </c>
      <c r="I1349" s="141">
        <v>375</v>
      </c>
      <c r="J1349" s="141">
        <v>19180</v>
      </c>
      <c r="K1349" s="238">
        <f t="shared" si="106"/>
        <v>7192500</v>
      </c>
      <c r="L1349" s="14" t="s">
        <v>153</v>
      </c>
      <c r="M1349" s="14" t="s">
        <v>147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121"/>
    </row>
    <row r="1350" spans="1:26" ht="15.75" customHeight="1">
      <c r="A1350" s="125" t="str">
        <f>IF(B1350&lt;&gt;"",IF(AND(B1350&gt;=_TM1,B1350&lt;=_TM2,OR(TH!L1350="1111",TH!M1350="1111")),TH!D1350,""),"")</f>
        <v/>
      </c>
      <c r="B1350" s="11">
        <f t="shared" si="100"/>
        <v>8</v>
      </c>
      <c r="C1350" s="12">
        <f t="shared" si="105"/>
        <v>40771</v>
      </c>
      <c r="D1350" s="12" t="s">
        <v>1051</v>
      </c>
      <c r="E1350" s="304">
        <v>40771</v>
      </c>
      <c r="F1350" s="114" t="s">
        <v>470</v>
      </c>
      <c r="G1350" s="15"/>
      <c r="H1350" s="242" t="s">
        <v>1037</v>
      </c>
      <c r="I1350" s="141">
        <v>35</v>
      </c>
      <c r="J1350" s="141">
        <v>22806</v>
      </c>
      <c r="K1350" s="238">
        <f t="shared" si="106"/>
        <v>798210</v>
      </c>
      <c r="L1350" s="14" t="s">
        <v>153</v>
      </c>
      <c r="M1350" s="14" t="s">
        <v>147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121"/>
    </row>
    <row r="1351" spans="1:26" ht="15.75" customHeight="1">
      <c r="A1351" s="125" t="str">
        <f>IF(B1351&lt;&gt;"",IF(AND(B1351&gt;=_TM1,B1351&lt;=_TM2,OR(TH!L1351="1111",TH!M1351="1111")),TH!D1351,""),"")</f>
        <v/>
      </c>
      <c r="B1351" s="11">
        <f t="shared" si="100"/>
        <v>8</v>
      </c>
      <c r="C1351" s="115">
        <v>40772</v>
      </c>
      <c r="D1351" s="110" t="s">
        <v>635</v>
      </c>
      <c r="E1351" s="115">
        <v>40772</v>
      </c>
      <c r="F1351" s="116" t="s">
        <v>481</v>
      </c>
      <c r="G1351" s="224" t="s">
        <v>1097</v>
      </c>
      <c r="H1351" s="4" t="s">
        <v>348</v>
      </c>
      <c r="I1351" s="141">
        <v>20</v>
      </c>
      <c r="J1351" s="141">
        <v>68000</v>
      </c>
      <c r="K1351" s="238">
        <v>1360000</v>
      </c>
      <c r="L1351" s="118" t="s">
        <v>153</v>
      </c>
      <c r="M1351" s="118" t="s">
        <v>44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>x</v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121">
        <v>8</v>
      </c>
    </row>
    <row r="1352" spans="1:26" ht="15.75" customHeight="1">
      <c r="A1352" s="125" t="str">
        <f>IF(B1352&lt;&gt;"",IF(AND(B1352&gt;=_TM1,B1352&lt;=_TM2,OR(TH!L1352="1111",TH!M1352="1111")),TH!D1352,""),"")</f>
        <v/>
      </c>
      <c r="B1352" s="11">
        <f t="shared" si="100"/>
        <v>8</v>
      </c>
      <c r="C1352" s="115">
        <v>40772</v>
      </c>
      <c r="D1352" s="110" t="s">
        <v>635</v>
      </c>
      <c r="E1352" s="115">
        <v>40772</v>
      </c>
      <c r="F1352" s="116" t="s">
        <v>1098</v>
      </c>
      <c r="G1352" s="224" t="s">
        <v>1097</v>
      </c>
      <c r="H1352" s="4" t="s">
        <v>348</v>
      </c>
      <c r="I1352" s="141"/>
      <c r="J1352" s="141"/>
      <c r="K1352" s="13">
        <v>136000</v>
      </c>
      <c r="L1352" s="118" t="s">
        <v>9</v>
      </c>
      <c r="M1352" s="118" t="s">
        <v>44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>x</v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121">
        <v>8</v>
      </c>
    </row>
    <row r="1353" spans="1:26" ht="15.75" customHeight="1">
      <c r="A1353" s="125" t="str">
        <f>IF(B1353&lt;&gt;"",IF(AND(B1353&gt;=_TM1,B1353&lt;=_TM2,OR(TH!L1353="1111",TH!M1353="1111")),TH!D1353,""),"")</f>
        <v/>
      </c>
      <c r="B1353" s="11">
        <f t="shared" si="100"/>
        <v>8</v>
      </c>
      <c r="C1353" s="110">
        <v>40772</v>
      </c>
      <c r="D1353" s="110" t="s">
        <v>310</v>
      </c>
      <c r="E1353" s="110">
        <v>40772</v>
      </c>
      <c r="F1353" s="114" t="s">
        <v>312</v>
      </c>
      <c r="G1353" s="240" t="s">
        <v>307</v>
      </c>
      <c r="H1353" s="117" t="s">
        <v>710</v>
      </c>
      <c r="I1353" s="141"/>
      <c r="J1353" s="141"/>
      <c r="K1353" s="238">
        <v>9976043</v>
      </c>
      <c r="L1353" s="239" t="s">
        <v>23</v>
      </c>
      <c r="M1353" s="239" t="s">
        <v>237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121"/>
    </row>
    <row r="1354" spans="1:26" ht="15.75" customHeight="1">
      <c r="A1354" s="125" t="str">
        <f>IF(B1354&lt;&gt;"",IF(AND(B1354&gt;=_TM1,B1354&lt;=_TM2,OR(TH!L1354="1111",TH!M1354="1111")),TH!D1354,""),"")</f>
        <v/>
      </c>
      <c r="B1354" s="11">
        <f t="shared" si="100"/>
        <v>8</v>
      </c>
      <c r="C1354" s="115">
        <v>40772</v>
      </c>
      <c r="D1354" s="115" t="s">
        <v>643</v>
      </c>
      <c r="E1354" s="115">
        <v>40772</v>
      </c>
      <c r="F1354" s="116" t="s">
        <v>312</v>
      </c>
      <c r="G1354" s="224" t="s">
        <v>1131</v>
      </c>
      <c r="H1354" s="117" t="s">
        <v>736</v>
      </c>
      <c r="I1354" s="141"/>
      <c r="J1354" s="141"/>
      <c r="K1354" s="238">
        <v>12100000</v>
      </c>
      <c r="L1354" s="118" t="s">
        <v>44</v>
      </c>
      <c r="M1354" s="118" t="s">
        <v>237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>x</v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121"/>
    </row>
    <row r="1355" spans="1:26" ht="15.75" customHeight="1">
      <c r="A1355" s="125" t="str">
        <f>IF(B1355&lt;&gt;"",IF(AND(B1355&gt;=_TM1,B1355&lt;=_TM2,OR(TH!L1355="1111",TH!M1355="1111")),TH!D1355,""),"")</f>
        <v/>
      </c>
      <c r="B1355" s="11">
        <f t="shared" si="100"/>
        <v>8</v>
      </c>
      <c r="C1355" s="115">
        <v>40772</v>
      </c>
      <c r="D1355" s="115" t="s">
        <v>918</v>
      </c>
      <c r="E1355" s="115">
        <v>40772</v>
      </c>
      <c r="F1355" s="116" t="s">
        <v>965</v>
      </c>
      <c r="G1355" s="224" t="s">
        <v>1131</v>
      </c>
      <c r="H1355" s="117" t="s">
        <v>736</v>
      </c>
      <c r="I1355" s="141">
        <v>1000</v>
      </c>
      <c r="J1355" s="141">
        <v>11000</v>
      </c>
      <c r="K1355" s="238">
        <v>11000000</v>
      </c>
      <c r="L1355" s="118" t="s">
        <v>237</v>
      </c>
      <c r="M1355" s="118" t="s">
        <v>163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121"/>
    </row>
    <row r="1356" spans="1:26" ht="15.75" customHeight="1">
      <c r="A1356" s="125" t="str">
        <f>IF(B1356&lt;&gt;"",IF(AND(B1356&gt;=_TM1,B1356&lt;=_TM2,OR(TH!L1356="1111",TH!M1356="1111")),TH!D1356,""),"")</f>
        <v/>
      </c>
      <c r="B1356" s="11">
        <f t="shared" si="100"/>
        <v>8</v>
      </c>
      <c r="C1356" s="115">
        <v>40772</v>
      </c>
      <c r="D1356" s="115" t="s">
        <v>918</v>
      </c>
      <c r="E1356" s="115">
        <v>40772</v>
      </c>
      <c r="F1356" s="116" t="s">
        <v>1121</v>
      </c>
      <c r="G1356" s="224" t="s">
        <v>1131</v>
      </c>
      <c r="H1356" s="117" t="s">
        <v>736</v>
      </c>
      <c r="I1356" s="141"/>
      <c r="J1356" s="141"/>
      <c r="K1356" s="238">
        <v>1100000</v>
      </c>
      <c r="L1356" s="118" t="s">
        <v>237</v>
      </c>
      <c r="M1356" s="118" t="s">
        <v>707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121"/>
    </row>
    <row r="1357" spans="1:26" ht="15.75" customHeight="1">
      <c r="A1357" s="125" t="str">
        <f>IF(B1357&lt;&gt;"",IF(AND(B1357&gt;=_TM1,B1357&lt;=_TM2,OR(TH!L1357="1111",TH!M1357="1111")),TH!D1357,""),"")</f>
        <v/>
      </c>
      <c r="B1357" s="11">
        <f t="shared" si="100"/>
        <v>8</v>
      </c>
      <c r="C1357" s="115">
        <v>40772</v>
      </c>
      <c r="D1357" s="115" t="s">
        <v>919</v>
      </c>
      <c r="E1357" s="115">
        <v>40772</v>
      </c>
      <c r="F1357" s="116" t="s">
        <v>988</v>
      </c>
      <c r="G1357" s="224" t="s">
        <v>1132</v>
      </c>
      <c r="H1357" s="4" t="s">
        <v>709</v>
      </c>
      <c r="I1357" s="141">
        <v>4</v>
      </c>
      <c r="J1357" s="141">
        <v>17837</v>
      </c>
      <c r="K1357" s="238">
        <v>71348</v>
      </c>
      <c r="L1357" s="118" t="s">
        <v>237</v>
      </c>
      <c r="M1357" s="118" t="s">
        <v>163</v>
      </c>
      <c r="N1357" s="25" t="str">
        <f>IF(AND('331-CT'!$E$7=TH!H1357,OR(L1357="331",M1357="331")),"331",IF(AND(OR(L1357="131",M1357="131"),H1357='131-CT'!$E$7),"131",""))</f>
        <v>131</v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121"/>
    </row>
    <row r="1358" spans="1:26" ht="15.75" customHeight="1">
      <c r="A1358" s="125" t="str">
        <f>IF(B1358&lt;&gt;"",IF(AND(B1358&gt;=_TM1,B1358&lt;=_TM2,OR(TH!L1358="1111",TH!M1358="1111")),TH!D1358,""),"")</f>
        <v/>
      </c>
      <c r="B1358" s="11">
        <f t="shared" si="100"/>
        <v>8</v>
      </c>
      <c r="C1358" s="115">
        <v>40772</v>
      </c>
      <c r="D1358" s="115" t="s">
        <v>919</v>
      </c>
      <c r="E1358" s="115">
        <v>40772</v>
      </c>
      <c r="F1358" s="116" t="s">
        <v>989</v>
      </c>
      <c r="G1358" s="224" t="s">
        <v>1132</v>
      </c>
      <c r="H1358" s="4" t="s">
        <v>709</v>
      </c>
      <c r="I1358" s="141">
        <v>1</v>
      </c>
      <c r="J1358" s="141">
        <v>7093</v>
      </c>
      <c r="K1358" s="238">
        <v>7093</v>
      </c>
      <c r="L1358" s="118" t="s">
        <v>237</v>
      </c>
      <c r="M1358" s="118" t="s">
        <v>163</v>
      </c>
      <c r="N1358" s="25" t="str">
        <f>IF(AND('331-CT'!$E$7=TH!H1358,OR(L1358="331",M1358="331")),"331",IF(AND(OR(L1358="131",M1358="131"),H1358='131-CT'!$E$7),"131",""))</f>
        <v>131</v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121"/>
    </row>
    <row r="1359" spans="1:26" ht="15.75" customHeight="1">
      <c r="A1359" s="125" t="str">
        <f>IF(B1359&lt;&gt;"",IF(AND(B1359&gt;=_TM1,B1359&lt;=_TM2,OR(TH!L1359="1111",TH!M1359="1111")),TH!D1359,""),"")</f>
        <v/>
      </c>
      <c r="B1359" s="11">
        <f t="shared" si="100"/>
        <v>8</v>
      </c>
      <c r="C1359" s="115">
        <v>40772</v>
      </c>
      <c r="D1359" s="115" t="s">
        <v>919</v>
      </c>
      <c r="E1359" s="115">
        <v>40772</v>
      </c>
      <c r="F1359" s="116" t="s">
        <v>990</v>
      </c>
      <c r="G1359" s="224" t="s">
        <v>1132</v>
      </c>
      <c r="H1359" s="4" t="s">
        <v>709</v>
      </c>
      <c r="I1359" s="141">
        <v>3</v>
      </c>
      <c r="J1359" s="141">
        <v>10253</v>
      </c>
      <c r="K1359" s="238">
        <v>30759</v>
      </c>
      <c r="L1359" s="118" t="s">
        <v>237</v>
      </c>
      <c r="M1359" s="118" t="s">
        <v>163</v>
      </c>
      <c r="N1359" s="25" t="str">
        <f>IF(AND('331-CT'!$E$7=TH!H1359,OR(L1359="331",M1359="331")),"331",IF(AND(OR(L1359="131",M1359="131"),H1359='131-CT'!$E$7),"131",""))</f>
        <v>131</v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121"/>
    </row>
    <row r="1360" spans="1:26" ht="15.75" customHeight="1">
      <c r="A1360" s="125" t="str">
        <f>IF(B1360&lt;&gt;"",IF(AND(B1360&gt;=_TM1,B1360&lt;=_TM2,OR(TH!L1360="1111",TH!M1360="1111")),TH!D1360,""),"")</f>
        <v/>
      </c>
      <c r="B1360" s="11">
        <f t="shared" si="100"/>
        <v>8</v>
      </c>
      <c r="C1360" s="115">
        <v>40772</v>
      </c>
      <c r="D1360" s="115" t="s">
        <v>919</v>
      </c>
      <c r="E1360" s="115">
        <v>40772</v>
      </c>
      <c r="F1360" s="116" t="s">
        <v>991</v>
      </c>
      <c r="G1360" s="224" t="s">
        <v>1132</v>
      </c>
      <c r="H1360" s="4" t="s">
        <v>709</v>
      </c>
      <c r="I1360" s="141">
        <v>2</v>
      </c>
      <c r="J1360" s="141">
        <v>14881</v>
      </c>
      <c r="K1360" s="238">
        <v>29762</v>
      </c>
      <c r="L1360" s="118" t="s">
        <v>237</v>
      </c>
      <c r="M1360" s="118" t="s">
        <v>163</v>
      </c>
      <c r="N1360" s="25" t="str">
        <f>IF(AND('331-CT'!$E$7=TH!H1360,OR(L1360="331",M1360="331")),"331",IF(AND(OR(L1360="131",M1360="131"),H1360='131-CT'!$E$7),"131",""))</f>
        <v>131</v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121"/>
    </row>
    <row r="1361" spans="1:26" ht="15.75" customHeight="1">
      <c r="A1361" s="125" t="str">
        <f>IF(B1361&lt;&gt;"",IF(AND(B1361&gt;=_TM1,B1361&lt;=_TM2,OR(TH!L1361="1111",TH!M1361="1111")),TH!D1361,""),"")</f>
        <v/>
      </c>
      <c r="B1361" s="11">
        <f t="shared" si="100"/>
        <v>8</v>
      </c>
      <c r="C1361" s="115">
        <v>40772</v>
      </c>
      <c r="D1361" s="115" t="s">
        <v>919</v>
      </c>
      <c r="E1361" s="115">
        <v>40772</v>
      </c>
      <c r="F1361" s="116" t="s">
        <v>992</v>
      </c>
      <c r="G1361" s="224" t="s">
        <v>1132</v>
      </c>
      <c r="H1361" s="4" t="s">
        <v>709</v>
      </c>
      <c r="I1361" s="143">
        <v>1</v>
      </c>
      <c r="J1361" s="143">
        <v>12207</v>
      </c>
      <c r="K1361" s="238">
        <v>12207</v>
      </c>
      <c r="L1361" s="118" t="s">
        <v>237</v>
      </c>
      <c r="M1361" s="118" t="s">
        <v>163</v>
      </c>
      <c r="N1361" s="25" t="str">
        <f>IF(AND('331-CT'!$E$7=TH!H1361,OR(L1361="331",M1361="331")),"331",IF(AND(OR(L1361="131",M1361="131"),H1361='131-CT'!$E$7),"131",""))</f>
        <v>131</v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121"/>
    </row>
    <row r="1362" spans="1:26" ht="15.75" customHeight="1">
      <c r="A1362" s="125" t="str">
        <f>IF(B1362&lt;&gt;"",IF(AND(B1362&gt;=_TM1,B1362&lt;=_TM2,OR(TH!L1362="1111",TH!M1362="1111")),TH!D1362,""),"")</f>
        <v/>
      </c>
      <c r="B1362" s="11">
        <f t="shared" si="100"/>
        <v>8</v>
      </c>
      <c r="C1362" s="115">
        <v>40772</v>
      </c>
      <c r="D1362" s="115" t="s">
        <v>919</v>
      </c>
      <c r="E1362" s="115">
        <v>40772</v>
      </c>
      <c r="F1362" s="116" t="s">
        <v>993</v>
      </c>
      <c r="G1362" s="224" t="s">
        <v>1132</v>
      </c>
      <c r="H1362" s="4" t="s">
        <v>709</v>
      </c>
      <c r="I1362" s="141">
        <v>1</v>
      </c>
      <c r="J1362" s="141">
        <v>10110</v>
      </c>
      <c r="K1362" s="238">
        <v>10110</v>
      </c>
      <c r="L1362" s="118" t="s">
        <v>237</v>
      </c>
      <c r="M1362" s="118" t="s">
        <v>163</v>
      </c>
      <c r="N1362" s="25" t="str">
        <f>IF(AND('331-CT'!$E$7=TH!H1362,OR(L1362="331",M1362="331")),"331",IF(AND(OR(L1362="131",M1362="131"),H1362='131-CT'!$E$7),"131",""))</f>
        <v>131</v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121"/>
    </row>
    <row r="1363" spans="1:26" ht="15.75" customHeight="1">
      <c r="A1363" s="125" t="str">
        <f>IF(B1363&lt;&gt;"",IF(AND(B1363&gt;=_TM1,B1363&lt;=_TM2,OR(TH!L1363="1111",TH!M1363="1111")),TH!D1363,""),"")</f>
        <v/>
      </c>
      <c r="B1363" s="11">
        <f t="shared" si="100"/>
        <v>8</v>
      </c>
      <c r="C1363" s="115">
        <v>40772</v>
      </c>
      <c r="D1363" s="115" t="s">
        <v>919</v>
      </c>
      <c r="E1363" s="115">
        <v>40772</v>
      </c>
      <c r="F1363" s="116" t="s">
        <v>994</v>
      </c>
      <c r="G1363" s="224" t="s">
        <v>1132</v>
      </c>
      <c r="H1363" s="4" t="s">
        <v>709</v>
      </c>
      <c r="I1363" s="141">
        <v>2</v>
      </c>
      <c r="J1363" s="141">
        <v>15053</v>
      </c>
      <c r="K1363" s="238">
        <v>30106</v>
      </c>
      <c r="L1363" s="118" t="s">
        <v>237</v>
      </c>
      <c r="M1363" s="118" t="s">
        <v>163</v>
      </c>
      <c r="N1363" s="25" t="str">
        <f>IF(AND('331-CT'!$E$7=TH!H1363,OR(L1363="331",M1363="331")),"331",IF(AND(OR(L1363="131",M1363="131"),H1363='131-CT'!$E$7),"131",""))</f>
        <v>131</v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/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121"/>
    </row>
    <row r="1364" spans="1:26" ht="15.75" customHeight="1">
      <c r="A1364" s="125" t="str">
        <f>IF(B1364&lt;&gt;"",IF(AND(B1364&gt;=_TM1,B1364&lt;=_TM2,OR(TH!L1364="1111",TH!M1364="1111")),TH!D1364,""),"")</f>
        <v/>
      </c>
      <c r="B1364" s="11">
        <f t="shared" si="100"/>
        <v>8</v>
      </c>
      <c r="C1364" s="115">
        <v>40772</v>
      </c>
      <c r="D1364" s="115" t="s">
        <v>919</v>
      </c>
      <c r="E1364" s="115">
        <v>40772</v>
      </c>
      <c r="F1364" s="116" t="s">
        <v>995</v>
      </c>
      <c r="G1364" s="224" t="s">
        <v>1132</v>
      </c>
      <c r="H1364" s="4" t="s">
        <v>709</v>
      </c>
      <c r="I1364" s="141">
        <v>700</v>
      </c>
      <c r="J1364" s="141">
        <v>14438</v>
      </c>
      <c r="K1364" s="238">
        <v>10106600</v>
      </c>
      <c r="L1364" s="118" t="s">
        <v>237</v>
      </c>
      <c r="M1364" s="118" t="s">
        <v>163</v>
      </c>
      <c r="N1364" s="25" t="str">
        <f>IF(AND('331-CT'!$E$7=TH!H1364,OR(L1364="331",M1364="331")),"331",IF(AND(OR(L1364="131",M1364="131"),H1364='131-CT'!$E$7),"131",""))</f>
        <v>131</v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121"/>
    </row>
    <row r="1365" spans="1:26" ht="15.75" customHeight="1">
      <c r="A1365" s="125" t="str">
        <f>IF(B1365&lt;&gt;"",IF(AND(B1365&gt;=_TM1,B1365&lt;=_TM2,OR(TH!L1365="1111",TH!M1365="1111")),TH!D1365,""),"")</f>
        <v/>
      </c>
      <c r="B1365" s="11">
        <f t="shared" si="100"/>
        <v>8</v>
      </c>
      <c r="C1365" s="115">
        <v>40772</v>
      </c>
      <c r="D1365" s="115" t="s">
        <v>919</v>
      </c>
      <c r="E1365" s="115">
        <v>40772</v>
      </c>
      <c r="F1365" s="116" t="s">
        <v>783</v>
      </c>
      <c r="G1365" s="224" t="s">
        <v>1132</v>
      </c>
      <c r="H1365" s="4" t="s">
        <v>709</v>
      </c>
      <c r="I1365" s="141"/>
      <c r="J1365" s="141"/>
      <c r="K1365" s="13">
        <v>1029799</v>
      </c>
      <c r="L1365" s="118" t="s">
        <v>237</v>
      </c>
      <c r="M1365" s="118" t="s">
        <v>707</v>
      </c>
      <c r="N1365" s="25" t="str">
        <f>IF(AND('331-CT'!$E$7=TH!H1365,OR(L1365="331",M1365="331")),"331",IF(AND(OR(L1365="131",M1365="131"),H1365='131-CT'!$E$7),"131",""))</f>
        <v>131</v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/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121"/>
    </row>
    <row r="1366" spans="1:26" ht="15.75" customHeight="1">
      <c r="A1366" s="125" t="str">
        <f>IF(B1366&lt;&gt;"",IF(AND(B1366&gt;=_TM1,B1366&lt;=_TM2,OR(TH!L1366="1111",TH!M1366="1111")),TH!D1366,""),"")</f>
        <v/>
      </c>
      <c r="B1366" s="11">
        <f t="shared" ref="B1366:B1429" si="107">IF(C1366&lt;&gt;"",MONTH(C1366),"")</f>
        <v>8</v>
      </c>
      <c r="C1366" s="12">
        <f t="shared" ref="C1366:C1383" si="108">E1366</f>
        <v>40772</v>
      </c>
      <c r="D1366" s="12" t="s">
        <v>1068</v>
      </c>
      <c r="E1366" s="12">
        <v>40772</v>
      </c>
      <c r="F1366" s="15" t="s">
        <v>965</v>
      </c>
      <c r="G1366" s="15"/>
      <c r="H1366" s="242" t="s">
        <v>1037</v>
      </c>
      <c r="I1366" s="141">
        <v>1000</v>
      </c>
      <c r="J1366" s="141">
        <v>7593.1987351534799</v>
      </c>
      <c r="K1366" s="238">
        <f t="shared" ref="K1366:K1383" si="109">ROUND(I1366*J1366,0)</f>
        <v>7593199</v>
      </c>
      <c r="L1366" s="14" t="s">
        <v>155</v>
      </c>
      <c r="M1366" s="14" t="s">
        <v>153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/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121"/>
    </row>
    <row r="1367" spans="1:26" ht="15.75" customHeight="1">
      <c r="A1367" s="125" t="str">
        <f>IF(B1367&lt;&gt;"",IF(AND(B1367&gt;=_TM1,B1367&lt;=_TM2,OR(TH!L1367="1111",TH!M1367="1111")),TH!D1367,""),"")</f>
        <v/>
      </c>
      <c r="B1367" s="11">
        <f t="shared" si="107"/>
        <v>8</v>
      </c>
      <c r="C1367" s="12">
        <f t="shared" si="108"/>
        <v>40772</v>
      </c>
      <c r="D1367" s="12" t="s">
        <v>1068</v>
      </c>
      <c r="E1367" s="12">
        <v>40772</v>
      </c>
      <c r="F1367" s="15" t="s">
        <v>988</v>
      </c>
      <c r="G1367" s="15"/>
      <c r="H1367" s="242" t="s">
        <v>1037</v>
      </c>
      <c r="I1367" s="141">
        <v>4</v>
      </c>
      <c r="J1367" s="141">
        <v>17902.398735153478</v>
      </c>
      <c r="K1367" s="238">
        <f t="shared" si="109"/>
        <v>71610</v>
      </c>
      <c r="L1367" s="14" t="s">
        <v>155</v>
      </c>
      <c r="M1367" s="14" t="s">
        <v>153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121"/>
    </row>
    <row r="1368" spans="1:26" ht="15.75" customHeight="1">
      <c r="A1368" s="125" t="str">
        <f>IF(B1368&lt;&gt;"",IF(AND(B1368&gt;=_TM1,B1368&lt;=_TM2,OR(TH!L1368="1111",TH!M1368="1111")),TH!D1368,""),"")</f>
        <v/>
      </c>
      <c r="B1368" s="11">
        <f t="shared" si="107"/>
        <v>8</v>
      </c>
      <c r="C1368" s="12">
        <f t="shared" si="108"/>
        <v>40772</v>
      </c>
      <c r="D1368" s="12" t="s">
        <v>1068</v>
      </c>
      <c r="E1368" s="12">
        <v>40772</v>
      </c>
      <c r="F1368" s="15" t="s">
        <v>989</v>
      </c>
      <c r="G1368" s="15"/>
      <c r="H1368" s="242" t="s">
        <v>1037</v>
      </c>
      <c r="I1368" s="141">
        <v>1</v>
      </c>
      <c r="J1368" s="141">
        <v>6671.3987351534788</v>
      </c>
      <c r="K1368" s="238">
        <f t="shared" si="109"/>
        <v>6671</v>
      </c>
      <c r="L1368" s="14" t="s">
        <v>155</v>
      </c>
      <c r="M1368" s="14" t="s">
        <v>153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121"/>
    </row>
    <row r="1369" spans="1:26" ht="15.75" customHeight="1">
      <c r="A1369" s="125" t="str">
        <f>IF(B1369&lt;&gt;"",IF(AND(B1369&gt;=_TM1,B1369&lt;=_TM2,OR(TH!L1369="1111",TH!M1369="1111")),TH!D1369,""),"")</f>
        <v/>
      </c>
      <c r="B1369" s="11">
        <f t="shared" si="107"/>
        <v>8</v>
      </c>
      <c r="C1369" s="12">
        <f t="shared" si="108"/>
        <v>40772</v>
      </c>
      <c r="D1369" s="12" t="s">
        <v>1068</v>
      </c>
      <c r="E1369" s="12">
        <v>40772</v>
      </c>
      <c r="F1369" s="15" t="s">
        <v>990</v>
      </c>
      <c r="G1369" s="15"/>
      <c r="H1369" s="242" t="s">
        <v>1037</v>
      </c>
      <c r="I1369" s="141">
        <v>3</v>
      </c>
      <c r="J1369" s="141">
        <v>11187.065401820146</v>
      </c>
      <c r="K1369" s="238">
        <f t="shared" si="109"/>
        <v>33561</v>
      </c>
      <c r="L1369" s="14" t="s">
        <v>155</v>
      </c>
      <c r="M1369" s="14" t="s">
        <v>153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/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121"/>
    </row>
    <row r="1370" spans="1:26" ht="15.75" customHeight="1">
      <c r="A1370" s="125" t="str">
        <f>IF(B1370&lt;&gt;"",IF(AND(B1370&gt;=_TM1,B1370&lt;=_TM2,OR(TH!L1370="1111",TH!M1370="1111")),TH!D1370,""),"")</f>
        <v/>
      </c>
      <c r="B1370" s="11">
        <f t="shared" si="107"/>
        <v>8</v>
      </c>
      <c r="C1370" s="12">
        <f t="shared" si="108"/>
        <v>40772</v>
      </c>
      <c r="D1370" s="12" t="s">
        <v>1068</v>
      </c>
      <c r="E1370" s="12">
        <v>40772</v>
      </c>
      <c r="F1370" s="15" t="s">
        <v>991</v>
      </c>
      <c r="G1370" s="15"/>
      <c r="H1370" s="242" t="s">
        <v>1037</v>
      </c>
      <c r="I1370" s="141">
        <v>2</v>
      </c>
      <c r="J1370" s="141">
        <v>10308.898735153478</v>
      </c>
      <c r="K1370" s="238">
        <f t="shared" si="109"/>
        <v>20618</v>
      </c>
      <c r="L1370" s="14" t="s">
        <v>155</v>
      </c>
      <c r="M1370" s="14" t="s">
        <v>153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121"/>
    </row>
    <row r="1371" spans="1:26" ht="15.75" customHeight="1">
      <c r="A1371" s="125" t="str">
        <f>IF(B1371&lt;&gt;"",IF(AND(B1371&gt;=_TM1,B1371&lt;=_TM2,OR(TH!L1371="1111",TH!M1371="1111")),TH!D1371,""),"")</f>
        <v/>
      </c>
      <c r="B1371" s="11">
        <f t="shared" si="107"/>
        <v>8</v>
      </c>
      <c r="C1371" s="12">
        <f t="shared" si="108"/>
        <v>40772</v>
      </c>
      <c r="D1371" s="12" t="s">
        <v>1068</v>
      </c>
      <c r="E1371" s="12">
        <v>40772</v>
      </c>
      <c r="F1371" s="15" t="s">
        <v>992</v>
      </c>
      <c r="G1371" s="15"/>
      <c r="H1371" s="242" t="s">
        <v>1037</v>
      </c>
      <c r="I1371" s="141">
        <v>1</v>
      </c>
      <c r="J1371" s="141">
        <v>10309.398735153478</v>
      </c>
      <c r="K1371" s="238">
        <f t="shared" si="109"/>
        <v>10309</v>
      </c>
      <c r="L1371" s="14" t="s">
        <v>155</v>
      </c>
      <c r="M1371" s="14" t="s">
        <v>153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121"/>
    </row>
    <row r="1372" spans="1:26" ht="15.75" customHeight="1">
      <c r="A1372" s="125" t="str">
        <f>IF(B1372&lt;&gt;"",IF(AND(B1372&gt;=_TM1,B1372&lt;=_TM2,OR(TH!L1372="1111",TH!M1372="1111")),TH!D1372,""),"")</f>
        <v/>
      </c>
      <c r="B1372" s="11">
        <f t="shared" si="107"/>
        <v>8</v>
      </c>
      <c r="C1372" s="12">
        <f t="shared" si="108"/>
        <v>40772</v>
      </c>
      <c r="D1372" s="12" t="s">
        <v>1068</v>
      </c>
      <c r="E1372" s="12">
        <v>40772</v>
      </c>
      <c r="F1372" s="15" t="s">
        <v>993</v>
      </c>
      <c r="G1372" s="15"/>
      <c r="H1372" s="242" t="s">
        <v>1037</v>
      </c>
      <c r="I1372" s="141">
        <v>1</v>
      </c>
      <c r="J1372" s="141">
        <v>9490.3987351534779</v>
      </c>
      <c r="K1372" s="238">
        <f t="shared" si="109"/>
        <v>9490</v>
      </c>
      <c r="L1372" s="14" t="s">
        <v>155</v>
      </c>
      <c r="M1372" s="14" t="s">
        <v>153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121"/>
    </row>
    <row r="1373" spans="1:26" ht="15.75" customHeight="1">
      <c r="A1373" s="125" t="str">
        <f>IF(B1373&lt;&gt;"",IF(AND(B1373&gt;=_TM1,B1373&lt;=_TM2,OR(TH!L1373="1111",TH!M1373="1111")),TH!D1373,""),"")</f>
        <v/>
      </c>
      <c r="B1373" s="11">
        <f t="shared" si="107"/>
        <v>8</v>
      </c>
      <c r="C1373" s="12">
        <f t="shared" si="108"/>
        <v>40772</v>
      </c>
      <c r="D1373" s="12" t="s">
        <v>1068</v>
      </c>
      <c r="E1373" s="12">
        <v>40772</v>
      </c>
      <c r="F1373" s="15" t="s">
        <v>994</v>
      </c>
      <c r="G1373" s="15"/>
      <c r="H1373" s="242" t="s">
        <v>1037</v>
      </c>
      <c r="I1373" s="141">
        <v>2</v>
      </c>
      <c r="J1373" s="141">
        <v>10308.898735153478</v>
      </c>
      <c r="K1373" s="238">
        <f t="shared" si="109"/>
        <v>20618</v>
      </c>
      <c r="L1373" s="14" t="s">
        <v>155</v>
      </c>
      <c r="M1373" s="14" t="s">
        <v>153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121"/>
    </row>
    <row r="1374" spans="1:26" ht="15.75" customHeight="1">
      <c r="A1374" s="125" t="str">
        <f>IF(B1374&lt;&gt;"",IF(AND(B1374&gt;=_TM1,B1374&lt;=_TM2,OR(TH!L1374="1111",TH!M1374="1111")),TH!D1374,""),"")</f>
        <v/>
      </c>
      <c r="B1374" s="11">
        <f t="shared" si="107"/>
        <v>8</v>
      </c>
      <c r="C1374" s="12">
        <f t="shared" si="108"/>
        <v>40772</v>
      </c>
      <c r="D1374" s="12" t="s">
        <v>1068</v>
      </c>
      <c r="E1374" s="12">
        <v>40772</v>
      </c>
      <c r="F1374" s="15" t="s">
        <v>995</v>
      </c>
      <c r="G1374" s="15"/>
      <c r="H1374" s="242" t="s">
        <v>1037</v>
      </c>
      <c r="I1374" s="141">
        <v>700</v>
      </c>
      <c r="J1374" s="141">
        <v>12949.898735153478</v>
      </c>
      <c r="K1374" s="238">
        <f t="shared" si="109"/>
        <v>9064929</v>
      </c>
      <c r="L1374" s="14" t="s">
        <v>155</v>
      </c>
      <c r="M1374" s="14" t="s">
        <v>153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121"/>
    </row>
    <row r="1375" spans="1:26" ht="15.75" customHeight="1">
      <c r="A1375" s="125" t="str">
        <f>IF(B1375&lt;&gt;"",IF(AND(B1375&gt;=_TM1,B1375&lt;=_TM2,OR(TH!L1375="1111",TH!M1375="1111")),TH!D1375,""),"")</f>
        <v/>
      </c>
      <c r="B1375" s="11">
        <f t="shared" si="107"/>
        <v>8</v>
      </c>
      <c r="C1375" s="12">
        <f t="shared" si="108"/>
        <v>40772</v>
      </c>
      <c r="D1375" s="12" t="s">
        <v>918</v>
      </c>
      <c r="E1375" s="12">
        <v>40772</v>
      </c>
      <c r="F1375" s="15" t="s">
        <v>965</v>
      </c>
      <c r="G1375" s="15" t="s">
        <v>1131</v>
      </c>
      <c r="H1375" s="242" t="s">
        <v>736</v>
      </c>
      <c r="I1375" s="141">
        <v>1000</v>
      </c>
      <c r="J1375" s="141">
        <v>7593.1987351534799</v>
      </c>
      <c r="K1375" s="238">
        <f t="shared" si="109"/>
        <v>7593199</v>
      </c>
      <c r="L1375" s="14" t="s">
        <v>161</v>
      </c>
      <c r="M1375" s="14" t="s">
        <v>155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121"/>
    </row>
    <row r="1376" spans="1:26" ht="15.75" customHeight="1">
      <c r="A1376" s="125" t="str">
        <f>IF(B1376&lt;&gt;"",IF(AND(B1376&gt;=_TM1,B1376&lt;=_TM2,OR(TH!L1376="1111",TH!M1376="1111")),TH!D1376,""),"")</f>
        <v/>
      </c>
      <c r="B1376" s="11">
        <f t="shared" si="107"/>
        <v>8</v>
      </c>
      <c r="C1376" s="12">
        <f t="shared" si="108"/>
        <v>40772</v>
      </c>
      <c r="D1376" s="12" t="s">
        <v>919</v>
      </c>
      <c r="E1376" s="12">
        <v>40772</v>
      </c>
      <c r="F1376" s="15" t="s">
        <v>988</v>
      </c>
      <c r="G1376" s="15" t="s">
        <v>1132</v>
      </c>
      <c r="H1376" s="242" t="s">
        <v>709</v>
      </c>
      <c r="I1376" s="141">
        <v>4</v>
      </c>
      <c r="J1376" s="141">
        <v>17902.398735153478</v>
      </c>
      <c r="K1376" s="238">
        <f t="shared" si="109"/>
        <v>71610</v>
      </c>
      <c r="L1376" s="14" t="s">
        <v>161</v>
      </c>
      <c r="M1376" s="14" t="s">
        <v>155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121"/>
    </row>
    <row r="1377" spans="1:26" ht="15.75" customHeight="1">
      <c r="A1377" s="125" t="str">
        <f>IF(B1377&lt;&gt;"",IF(AND(B1377&gt;=_TM1,B1377&lt;=_TM2,OR(TH!L1377="1111",TH!M1377="1111")),TH!D1377,""),"")</f>
        <v/>
      </c>
      <c r="B1377" s="11">
        <f t="shared" si="107"/>
        <v>8</v>
      </c>
      <c r="C1377" s="12">
        <f t="shared" si="108"/>
        <v>40772</v>
      </c>
      <c r="D1377" s="12" t="s">
        <v>919</v>
      </c>
      <c r="E1377" s="12">
        <v>40772</v>
      </c>
      <c r="F1377" s="15" t="s">
        <v>989</v>
      </c>
      <c r="G1377" s="15" t="s">
        <v>1132</v>
      </c>
      <c r="H1377" s="242" t="s">
        <v>709</v>
      </c>
      <c r="I1377" s="141">
        <v>1</v>
      </c>
      <c r="J1377" s="141">
        <v>6671.3987351534788</v>
      </c>
      <c r="K1377" s="238">
        <f t="shared" si="109"/>
        <v>6671</v>
      </c>
      <c r="L1377" s="14" t="s">
        <v>161</v>
      </c>
      <c r="M1377" s="14" t="s">
        <v>155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121"/>
    </row>
    <row r="1378" spans="1:26" ht="15.75" customHeight="1">
      <c r="A1378" s="125" t="str">
        <f>IF(B1378&lt;&gt;"",IF(AND(B1378&gt;=_TM1,B1378&lt;=_TM2,OR(TH!L1378="1111",TH!M1378="1111")),TH!D1378,""),"")</f>
        <v/>
      </c>
      <c r="B1378" s="11">
        <f t="shared" si="107"/>
        <v>8</v>
      </c>
      <c r="C1378" s="12">
        <f t="shared" si="108"/>
        <v>40772</v>
      </c>
      <c r="D1378" s="12" t="s">
        <v>919</v>
      </c>
      <c r="E1378" s="12">
        <v>40772</v>
      </c>
      <c r="F1378" s="15" t="s">
        <v>990</v>
      </c>
      <c r="G1378" s="15" t="s">
        <v>1132</v>
      </c>
      <c r="H1378" s="242" t="s">
        <v>709</v>
      </c>
      <c r="I1378" s="141">
        <v>3</v>
      </c>
      <c r="J1378" s="141">
        <v>11187.065401820146</v>
      </c>
      <c r="K1378" s="238">
        <f t="shared" si="109"/>
        <v>33561</v>
      </c>
      <c r="L1378" s="14" t="s">
        <v>161</v>
      </c>
      <c r="M1378" s="14" t="s">
        <v>155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121"/>
    </row>
    <row r="1379" spans="1:26" ht="15.75" customHeight="1">
      <c r="A1379" s="125" t="str">
        <f>IF(B1379&lt;&gt;"",IF(AND(B1379&gt;=_TM1,B1379&lt;=_TM2,OR(TH!L1379="1111",TH!M1379="1111")),TH!D1379,""),"")</f>
        <v/>
      </c>
      <c r="B1379" s="11">
        <f t="shared" si="107"/>
        <v>8</v>
      </c>
      <c r="C1379" s="12">
        <f t="shared" si="108"/>
        <v>40772</v>
      </c>
      <c r="D1379" s="12" t="s">
        <v>919</v>
      </c>
      <c r="E1379" s="12">
        <v>40772</v>
      </c>
      <c r="F1379" s="15" t="s">
        <v>991</v>
      </c>
      <c r="G1379" s="15" t="s">
        <v>1132</v>
      </c>
      <c r="H1379" s="242" t="s">
        <v>709</v>
      </c>
      <c r="I1379" s="141">
        <v>2</v>
      </c>
      <c r="J1379" s="141">
        <v>10308.898735153478</v>
      </c>
      <c r="K1379" s="238">
        <f t="shared" si="109"/>
        <v>20618</v>
      </c>
      <c r="L1379" s="14" t="s">
        <v>161</v>
      </c>
      <c r="M1379" s="14" t="s">
        <v>155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121"/>
    </row>
    <row r="1380" spans="1:26" ht="15.75" customHeight="1">
      <c r="A1380" s="125" t="str">
        <f>IF(B1380&lt;&gt;"",IF(AND(B1380&gt;=_TM1,B1380&lt;=_TM2,OR(TH!L1380="1111",TH!M1380="1111")),TH!D1380,""),"")</f>
        <v/>
      </c>
      <c r="B1380" s="11">
        <f t="shared" si="107"/>
        <v>8</v>
      </c>
      <c r="C1380" s="12">
        <f t="shared" si="108"/>
        <v>40772</v>
      </c>
      <c r="D1380" s="12" t="s">
        <v>919</v>
      </c>
      <c r="E1380" s="12">
        <v>40772</v>
      </c>
      <c r="F1380" s="15" t="s">
        <v>992</v>
      </c>
      <c r="G1380" s="15" t="s">
        <v>1132</v>
      </c>
      <c r="H1380" s="242" t="s">
        <v>709</v>
      </c>
      <c r="I1380" s="141">
        <v>1</v>
      </c>
      <c r="J1380" s="141">
        <v>10309.398735153478</v>
      </c>
      <c r="K1380" s="238">
        <f t="shared" si="109"/>
        <v>10309</v>
      </c>
      <c r="L1380" s="14" t="s">
        <v>161</v>
      </c>
      <c r="M1380" s="14" t="s">
        <v>155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121"/>
    </row>
    <row r="1381" spans="1:26" ht="15.75" customHeight="1">
      <c r="A1381" s="125" t="str">
        <f>IF(B1381&lt;&gt;"",IF(AND(B1381&gt;=_TM1,B1381&lt;=_TM2,OR(TH!L1381="1111",TH!M1381="1111")),TH!D1381,""),"")</f>
        <v/>
      </c>
      <c r="B1381" s="11">
        <f t="shared" si="107"/>
        <v>8</v>
      </c>
      <c r="C1381" s="12">
        <f t="shared" si="108"/>
        <v>40772</v>
      </c>
      <c r="D1381" s="12" t="s">
        <v>919</v>
      </c>
      <c r="E1381" s="12">
        <v>40772</v>
      </c>
      <c r="F1381" s="15" t="s">
        <v>993</v>
      </c>
      <c r="G1381" s="15" t="s">
        <v>1132</v>
      </c>
      <c r="H1381" s="242" t="s">
        <v>709</v>
      </c>
      <c r="I1381" s="141">
        <v>1</v>
      </c>
      <c r="J1381" s="141">
        <v>9490.3987351534779</v>
      </c>
      <c r="K1381" s="238">
        <f t="shared" si="109"/>
        <v>9490</v>
      </c>
      <c r="L1381" s="14" t="s">
        <v>161</v>
      </c>
      <c r="M1381" s="14" t="s">
        <v>155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/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121"/>
    </row>
    <row r="1382" spans="1:26" ht="15.75" customHeight="1">
      <c r="A1382" s="125" t="str">
        <f>IF(B1382&lt;&gt;"",IF(AND(B1382&gt;=_TM1,B1382&lt;=_TM2,OR(TH!L1382="1111",TH!M1382="1111")),TH!D1382,""),"")</f>
        <v/>
      </c>
      <c r="B1382" s="11">
        <f t="shared" si="107"/>
        <v>8</v>
      </c>
      <c r="C1382" s="12">
        <f t="shared" si="108"/>
        <v>40772</v>
      </c>
      <c r="D1382" s="12" t="s">
        <v>919</v>
      </c>
      <c r="E1382" s="12">
        <v>40772</v>
      </c>
      <c r="F1382" s="15" t="s">
        <v>994</v>
      </c>
      <c r="G1382" s="15" t="s">
        <v>1132</v>
      </c>
      <c r="H1382" s="242" t="s">
        <v>709</v>
      </c>
      <c r="I1382" s="141">
        <v>2</v>
      </c>
      <c r="J1382" s="141">
        <v>10308.898735153478</v>
      </c>
      <c r="K1382" s="238">
        <f t="shared" si="109"/>
        <v>20618</v>
      </c>
      <c r="L1382" s="14" t="s">
        <v>161</v>
      </c>
      <c r="M1382" s="14" t="s">
        <v>155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121"/>
    </row>
    <row r="1383" spans="1:26" ht="15.75" customHeight="1">
      <c r="A1383" s="125" t="str">
        <f>IF(B1383&lt;&gt;"",IF(AND(B1383&gt;=_TM1,B1383&lt;=_TM2,OR(TH!L1383="1111",TH!M1383="1111")),TH!D1383,""),"")</f>
        <v/>
      </c>
      <c r="B1383" s="11">
        <f t="shared" si="107"/>
        <v>8</v>
      </c>
      <c r="C1383" s="12">
        <f t="shared" si="108"/>
        <v>40772</v>
      </c>
      <c r="D1383" s="12" t="s">
        <v>919</v>
      </c>
      <c r="E1383" s="12">
        <v>40772</v>
      </c>
      <c r="F1383" s="15" t="s">
        <v>995</v>
      </c>
      <c r="G1383" s="15" t="s">
        <v>1132</v>
      </c>
      <c r="H1383" s="242" t="s">
        <v>709</v>
      </c>
      <c r="I1383" s="141">
        <v>700</v>
      </c>
      <c r="J1383" s="141">
        <v>12949.898735153478</v>
      </c>
      <c r="K1383" s="238">
        <f t="shared" si="109"/>
        <v>9064929</v>
      </c>
      <c r="L1383" s="14" t="s">
        <v>161</v>
      </c>
      <c r="M1383" s="14" t="s">
        <v>155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121"/>
    </row>
    <row r="1384" spans="1:26" ht="15.75" customHeight="1">
      <c r="A1384" s="125" t="str">
        <f>IF(B1384&lt;&gt;"",IF(AND(B1384&gt;=_TM1,B1384&lt;=_TM2,OR(TH!L1384="1111",TH!M1384="1111")),TH!D1384,""),"")</f>
        <v/>
      </c>
      <c r="B1384" s="11">
        <f t="shared" si="107"/>
        <v>8</v>
      </c>
      <c r="C1384" s="115">
        <v>40774</v>
      </c>
      <c r="D1384" s="115" t="s">
        <v>920</v>
      </c>
      <c r="E1384" s="115">
        <v>40774</v>
      </c>
      <c r="F1384" s="116" t="s">
        <v>996</v>
      </c>
      <c r="G1384" s="224" t="s">
        <v>1133</v>
      </c>
      <c r="H1384" s="4" t="s">
        <v>709</v>
      </c>
      <c r="I1384" s="141">
        <v>63</v>
      </c>
      <c r="J1384" s="141">
        <v>16713</v>
      </c>
      <c r="K1384" s="238">
        <v>1052919</v>
      </c>
      <c r="L1384" s="118" t="s">
        <v>237</v>
      </c>
      <c r="M1384" s="118" t="s">
        <v>163</v>
      </c>
      <c r="N1384" s="25" t="str">
        <f>IF(AND('331-CT'!$E$7=TH!H1384,OR(L1384="331",M1384="331")),"331",IF(AND(OR(L1384="131",M1384="131"),H1384='131-CT'!$E$7),"131",""))</f>
        <v>131</v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121"/>
    </row>
    <row r="1385" spans="1:26" ht="15.75" customHeight="1">
      <c r="A1385" s="125" t="str">
        <f>IF(B1385&lt;&gt;"",IF(AND(B1385&gt;=_TM1,B1385&lt;=_TM2,OR(TH!L1385="1111",TH!M1385="1111")),TH!D1385,""),"")</f>
        <v/>
      </c>
      <c r="B1385" s="11">
        <f t="shared" si="107"/>
        <v>8</v>
      </c>
      <c r="C1385" s="115">
        <v>40774</v>
      </c>
      <c r="D1385" s="115" t="s">
        <v>920</v>
      </c>
      <c r="E1385" s="115">
        <v>40774</v>
      </c>
      <c r="F1385" s="116" t="s">
        <v>997</v>
      </c>
      <c r="G1385" s="224" t="s">
        <v>1133</v>
      </c>
      <c r="H1385" s="4" t="s">
        <v>709</v>
      </c>
      <c r="I1385" s="141">
        <v>138</v>
      </c>
      <c r="J1385" s="141">
        <v>8450</v>
      </c>
      <c r="K1385" s="238">
        <v>1166100</v>
      </c>
      <c r="L1385" s="118" t="s">
        <v>237</v>
      </c>
      <c r="M1385" s="118" t="s">
        <v>163</v>
      </c>
      <c r="N1385" s="25" t="str">
        <f>IF(AND('331-CT'!$E$7=TH!H1385,OR(L1385="331",M1385="331")),"331",IF(AND(OR(L1385="131",M1385="131"),H1385='131-CT'!$E$7),"131",""))</f>
        <v>131</v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121"/>
    </row>
    <row r="1386" spans="1:26" ht="15.75" customHeight="1">
      <c r="A1386" s="125" t="str">
        <f>IF(B1386&lt;&gt;"",IF(AND(B1386&gt;=_TM1,B1386&lt;=_TM2,OR(TH!L1386="1111",TH!M1386="1111")),TH!D1386,""),"")</f>
        <v/>
      </c>
      <c r="B1386" s="11">
        <f t="shared" si="107"/>
        <v>8</v>
      </c>
      <c r="C1386" s="115">
        <v>40774</v>
      </c>
      <c r="D1386" s="115" t="s">
        <v>920</v>
      </c>
      <c r="E1386" s="115">
        <v>40774</v>
      </c>
      <c r="F1386" s="116" t="s">
        <v>998</v>
      </c>
      <c r="G1386" s="224" t="s">
        <v>1133</v>
      </c>
      <c r="H1386" s="4" t="s">
        <v>709</v>
      </c>
      <c r="I1386" s="141">
        <v>279</v>
      </c>
      <c r="J1386" s="141">
        <v>9594</v>
      </c>
      <c r="K1386" s="238">
        <v>2676726</v>
      </c>
      <c r="L1386" s="118" t="s">
        <v>237</v>
      </c>
      <c r="M1386" s="118" t="s">
        <v>163</v>
      </c>
      <c r="N1386" s="25" t="str">
        <f>IF(AND('331-CT'!$E$7=TH!H1386,OR(L1386="331",M1386="331")),"331",IF(AND(OR(L1386="131",M1386="131"),H1386='131-CT'!$E$7),"131",""))</f>
        <v>131</v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121"/>
    </row>
    <row r="1387" spans="1:26" ht="15.75" customHeight="1">
      <c r="A1387" s="125" t="str">
        <f>IF(B1387&lt;&gt;"",IF(AND(B1387&gt;=_TM1,B1387&lt;=_TM2,OR(TH!L1387="1111",TH!M1387="1111")),TH!D1387,""),"")</f>
        <v/>
      </c>
      <c r="B1387" s="11">
        <f t="shared" si="107"/>
        <v>8</v>
      </c>
      <c r="C1387" s="115">
        <v>40774</v>
      </c>
      <c r="D1387" s="115" t="s">
        <v>920</v>
      </c>
      <c r="E1387" s="115">
        <v>40774</v>
      </c>
      <c r="F1387" s="116" t="s">
        <v>999</v>
      </c>
      <c r="G1387" s="224" t="s">
        <v>1133</v>
      </c>
      <c r="H1387" s="4" t="s">
        <v>709</v>
      </c>
      <c r="I1387" s="141">
        <v>41</v>
      </c>
      <c r="J1387" s="141">
        <v>11992</v>
      </c>
      <c r="K1387" s="238">
        <v>491672</v>
      </c>
      <c r="L1387" s="118" t="s">
        <v>237</v>
      </c>
      <c r="M1387" s="118" t="s">
        <v>163</v>
      </c>
      <c r="N1387" s="25" t="str">
        <f>IF(AND('331-CT'!$E$7=TH!H1387,OR(L1387="331",M1387="331")),"331",IF(AND(OR(L1387="131",M1387="131"),H1387='131-CT'!$E$7),"131",""))</f>
        <v>131</v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121"/>
    </row>
    <row r="1388" spans="1:26" ht="15.75" customHeight="1">
      <c r="A1388" s="125" t="str">
        <f>IF(B1388&lt;&gt;"",IF(AND(B1388&gt;=_TM1,B1388&lt;=_TM2,OR(TH!L1388="1111",TH!M1388="1111")),TH!D1388,""),"")</f>
        <v/>
      </c>
      <c r="B1388" s="11">
        <f t="shared" si="107"/>
        <v>8</v>
      </c>
      <c r="C1388" s="115">
        <v>40774</v>
      </c>
      <c r="D1388" s="115" t="s">
        <v>920</v>
      </c>
      <c r="E1388" s="115">
        <v>40774</v>
      </c>
      <c r="F1388" s="116" t="s">
        <v>1000</v>
      </c>
      <c r="G1388" s="224" t="s">
        <v>1133</v>
      </c>
      <c r="H1388" s="4" t="s">
        <v>709</v>
      </c>
      <c r="I1388" s="141">
        <v>151</v>
      </c>
      <c r="J1388" s="141">
        <v>11067</v>
      </c>
      <c r="K1388" s="238">
        <v>1671117</v>
      </c>
      <c r="L1388" s="118" t="s">
        <v>237</v>
      </c>
      <c r="M1388" s="118" t="s">
        <v>163</v>
      </c>
      <c r="N1388" s="25" t="str">
        <f>IF(AND('331-CT'!$E$7=TH!H1388,OR(L1388="331",M1388="331")),"331",IF(AND(OR(L1388="131",M1388="131"),H1388='131-CT'!$E$7),"131",""))</f>
        <v>131</v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121"/>
    </row>
    <row r="1389" spans="1:26" ht="15.75" customHeight="1">
      <c r="A1389" s="125" t="str">
        <f>IF(B1389&lt;&gt;"",IF(AND(B1389&gt;=_TM1,B1389&lt;=_TM2,OR(TH!L1389="1111",TH!M1389="1111")),TH!D1389,""),"")</f>
        <v/>
      </c>
      <c r="B1389" s="11">
        <f t="shared" si="107"/>
        <v>8</v>
      </c>
      <c r="C1389" s="115">
        <v>40774</v>
      </c>
      <c r="D1389" s="115" t="s">
        <v>920</v>
      </c>
      <c r="E1389" s="115">
        <v>40774</v>
      </c>
      <c r="F1389" s="116" t="s">
        <v>1001</v>
      </c>
      <c r="G1389" s="224" t="s">
        <v>1133</v>
      </c>
      <c r="H1389" s="4" t="s">
        <v>709</v>
      </c>
      <c r="I1389" s="141">
        <v>463</v>
      </c>
      <c r="J1389" s="141">
        <v>10594</v>
      </c>
      <c r="K1389" s="238">
        <v>4905022</v>
      </c>
      <c r="L1389" s="118" t="s">
        <v>237</v>
      </c>
      <c r="M1389" s="118" t="s">
        <v>163</v>
      </c>
      <c r="N1389" s="25" t="str">
        <f>IF(AND('331-CT'!$E$7=TH!H1389,OR(L1389="331",M1389="331")),"331",IF(AND(OR(L1389="131",M1389="131"),H1389='131-CT'!$E$7),"131",""))</f>
        <v>131</v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121"/>
    </row>
    <row r="1390" spans="1:26" ht="15.75" customHeight="1">
      <c r="A1390" s="125" t="str">
        <f>IF(B1390&lt;&gt;"",IF(AND(B1390&gt;=_TM1,B1390&lt;=_TM2,OR(TH!L1390="1111",TH!M1390="1111")),TH!D1390,""),"")</f>
        <v/>
      </c>
      <c r="B1390" s="11">
        <f t="shared" si="107"/>
        <v>8</v>
      </c>
      <c r="C1390" s="115">
        <v>40774</v>
      </c>
      <c r="D1390" s="115" t="s">
        <v>920</v>
      </c>
      <c r="E1390" s="115">
        <v>40774</v>
      </c>
      <c r="F1390" s="116" t="s">
        <v>1002</v>
      </c>
      <c r="G1390" s="224" t="s">
        <v>1133</v>
      </c>
      <c r="H1390" s="4" t="s">
        <v>709</v>
      </c>
      <c r="I1390" s="141">
        <v>163</v>
      </c>
      <c r="J1390" s="141">
        <v>14010</v>
      </c>
      <c r="K1390" s="238">
        <v>2283630</v>
      </c>
      <c r="L1390" s="118" t="s">
        <v>237</v>
      </c>
      <c r="M1390" s="118" t="s">
        <v>163</v>
      </c>
      <c r="N1390" s="25" t="str">
        <f>IF(AND('331-CT'!$E$7=TH!H1390,OR(L1390="331",M1390="331")),"331",IF(AND(OR(L1390="131",M1390="131"),H1390='131-CT'!$E$7),"131",""))</f>
        <v>131</v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121"/>
    </row>
    <row r="1391" spans="1:26" ht="15.75" customHeight="1">
      <c r="A1391" s="125" t="str">
        <f>IF(B1391&lt;&gt;"",IF(AND(B1391&gt;=_TM1,B1391&lt;=_TM2,OR(TH!L1391="1111",TH!M1391="1111")),TH!D1391,""),"")</f>
        <v/>
      </c>
      <c r="B1391" s="11">
        <f t="shared" si="107"/>
        <v>8</v>
      </c>
      <c r="C1391" s="115">
        <v>40774</v>
      </c>
      <c r="D1391" s="115" t="s">
        <v>920</v>
      </c>
      <c r="E1391" s="115">
        <v>40774</v>
      </c>
      <c r="F1391" s="114" t="s">
        <v>732</v>
      </c>
      <c r="G1391" s="224" t="s">
        <v>1133</v>
      </c>
      <c r="H1391" s="4" t="s">
        <v>709</v>
      </c>
      <c r="I1391" s="141">
        <v>45</v>
      </c>
      <c r="J1391" s="141">
        <v>4321</v>
      </c>
      <c r="K1391" s="238">
        <v>194445</v>
      </c>
      <c r="L1391" s="118" t="s">
        <v>237</v>
      </c>
      <c r="M1391" s="118" t="s">
        <v>163</v>
      </c>
      <c r="N1391" s="25" t="str">
        <f>IF(AND('331-CT'!$E$7=TH!H1391,OR(L1391="331",M1391="331")),"331",IF(AND(OR(L1391="131",M1391="131"),H1391='131-CT'!$E$7),"131",""))</f>
        <v>131</v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121"/>
    </row>
    <row r="1392" spans="1:26" ht="15.75" customHeight="1">
      <c r="A1392" s="125" t="str">
        <f>IF(B1392&lt;&gt;"",IF(AND(B1392&gt;=_TM1,B1392&lt;=_TM2,OR(TH!L1392="1111",TH!M1392="1111")),TH!D1392,""),"")</f>
        <v/>
      </c>
      <c r="B1392" s="11">
        <f t="shared" si="107"/>
        <v>8</v>
      </c>
      <c r="C1392" s="115">
        <v>40774</v>
      </c>
      <c r="D1392" s="115" t="s">
        <v>920</v>
      </c>
      <c r="E1392" s="115">
        <v>40774</v>
      </c>
      <c r="F1392" s="116" t="s">
        <v>783</v>
      </c>
      <c r="G1392" s="224" t="s">
        <v>1133</v>
      </c>
      <c r="H1392" s="4" t="s">
        <v>709</v>
      </c>
      <c r="I1392" s="141"/>
      <c r="J1392" s="141"/>
      <c r="K1392" s="13">
        <v>1444163</v>
      </c>
      <c r="L1392" s="118" t="s">
        <v>237</v>
      </c>
      <c r="M1392" s="118" t="s">
        <v>707</v>
      </c>
      <c r="N1392" s="25" t="str">
        <f>IF(AND('331-CT'!$E$7=TH!H1392,OR(L1392="331",M1392="331")),"331",IF(AND(OR(L1392="131",M1392="131"),H1392='131-CT'!$E$7),"131",""))</f>
        <v>131</v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121"/>
    </row>
    <row r="1393" spans="1:26" ht="15.75" customHeight="1">
      <c r="A1393" s="125" t="str">
        <f>IF(B1393&lt;&gt;"",IF(AND(B1393&gt;=_TM1,B1393&lt;=_TM2,OR(TH!L1393="1111",TH!M1393="1111")),TH!D1393,""),"")</f>
        <v/>
      </c>
      <c r="B1393" s="11">
        <f t="shared" si="107"/>
        <v>8</v>
      </c>
      <c r="C1393" s="12">
        <f t="shared" ref="C1393:C1408" si="110">E1393</f>
        <v>40774</v>
      </c>
      <c r="D1393" s="12" t="s">
        <v>1069</v>
      </c>
      <c r="E1393" s="12">
        <v>40774</v>
      </c>
      <c r="F1393" s="15" t="s">
        <v>996</v>
      </c>
      <c r="G1393" s="15"/>
      <c r="H1393" s="242" t="s">
        <v>1037</v>
      </c>
      <c r="I1393" s="141">
        <v>63</v>
      </c>
      <c r="J1393" s="141">
        <v>13941.065401820146</v>
      </c>
      <c r="K1393" s="238">
        <f t="shared" ref="K1393:K1408" si="111">ROUND(I1393*J1393,0)</f>
        <v>878287</v>
      </c>
      <c r="L1393" s="14" t="s">
        <v>155</v>
      </c>
      <c r="M1393" s="14" t="s">
        <v>153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121"/>
    </row>
    <row r="1394" spans="1:26" ht="15.75" customHeight="1">
      <c r="A1394" s="125" t="str">
        <f>IF(B1394&lt;&gt;"",IF(AND(B1394&gt;=_TM1,B1394&lt;=_TM2,OR(TH!L1394="1111",TH!M1394="1111")),TH!D1394,""),"")</f>
        <v/>
      </c>
      <c r="B1394" s="11">
        <f t="shared" si="107"/>
        <v>8</v>
      </c>
      <c r="C1394" s="12">
        <f t="shared" si="110"/>
        <v>40774</v>
      </c>
      <c r="D1394" s="12" t="s">
        <v>1069</v>
      </c>
      <c r="E1394" s="12">
        <v>40774</v>
      </c>
      <c r="F1394" s="15" t="s">
        <v>997</v>
      </c>
      <c r="G1394" s="15"/>
      <c r="H1394" s="242" t="s">
        <v>1037</v>
      </c>
      <c r="I1394" s="141">
        <v>138</v>
      </c>
      <c r="J1394" s="141">
        <v>7394.3987351534779</v>
      </c>
      <c r="K1394" s="238">
        <f t="shared" si="111"/>
        <v>1020427</v>
      </c>
      <c r="L1394" s="14" t="s">
        <v>155</v>
      </c>
      <c r="M1394" s="14" t="s">
        <v>153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121"/>
    </row>
    <row r="1395" spans="1:26" ht="15.75" customHeight="1">
      <c r="A1395" s="125" t="str">
        <f>IF(B1395&lt;&gt;"",IF(AND(B1395&gt;=_TM1,B1395&lt;=_TM2,OR(TH!L1395="1111",TH!M1395="1111")),TH!D1395,""),"")</f>
        <v/>
      </c>
      <c r="B1395" s="11">
        <f t="shared" si="107"/>
        <v>8</v>
      </c>
      <c r="C1395" s="12">
        <f t="shared" si="110"/>
        <v>40774</v>
      </c>
      <c r="D1395" s="12" t="s">
        <v>1069</v>
      </c>
      <c r="E1395" s="12">
        <v>40774</v>
      </c>
      <c r="F1395" s="15" t="s">
        <v>998</v>
      </c>
      <c r="G1395" s="15"/>
      <c r="H1395" s="242" t="s">
        <v>1037</v>
      </c>
      <c r="I1395" s="141">
        <v>279</v>
      </c>
      <c r="J1395" s="141">
        <v>8346.3987351534779</v>
      </c>
      <c r="K1395" s="238">
        <f t="shared" si="111"/>
        <v>2328645</v>
      </c>
      <c r="L1395" s="14" t="s">
        <v>155</v>
      </c>
      <c r="M1395" s="14" t="s">
        <v>153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/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121"/>
    </row>
    <row r="1396" spans="1:26" ht="15.75" customHeight="1">
      <c r="A1396" s="125" t="str">
        <f>IF(B1396&lt;&gt;"",IF(AND(B1396&gt;=_TM1,B1396&lt;=_TM2,OR(TH!L1396="1111",TH!M1396="1111")),TH!D1396,""),"")</f>
        <v/>
      </c>
      <c r="B1396" s="11">
        <f t="shared" si="107"/>
        <v>8</v>
      </c>
      <c r="C1396" s="12">
        <f t="shared" si="110"/>
        <v>40774</v>
      </c>
      <c r="D1396" s="12" t="s">
        <v>1069</v>
      </c>
      <c r="E1396" s="12">
        <v>40774</v>
      </c>
      <c r="F1396" s="15" t="s">
        <v>999</v>
      </c>
      <c r="G1396" s="15"/>
      <c r="H1396" s="242" t="s">
        <v>1037</v>
      </c>
      <c r="I1396" s="141">
        <v>41</v>
      </c>
      <c r="J1396" s="141">
        <v>10501.91093027543</v>
      </c>
      <c r="K1396" s="238">
        <f t="shared" si="111"/>
        <v>430578</v>
      </c>
      <c r="L1396" s="14" t="s">
        <v>155</v>
      </c>
      <c r="M1396" s="14" t="s">
        <v>153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121"/>
    </row>
    <row r="1397" spans="1:26" ht="15.75" customHeight="1">
      <c r="A1397" s="125" t="str">
        <f>IF(B1397&lt;&gt;"",IF(AND(B1397&gt;=_TM1,B1397&lt;=_TM2,OR(TH!L1397="1111",TH!M1397="1111")),TH!D1397,""),"")</f>
        <v/>
      </c>
      <c r="B1397" s="11">
        <f t="shared" si="107"/>
        <v>8</v>
      </c>
      <c r="C1397" s="12">
        <f t="shared" si="110"/>
        <v>40774</v>
      </c>
      <c r="D1397" s="12" t="s">
        <v>1069</v>
      </c>
      <c r="E1397" s="12">
        <v>40774</v>
      </c>
      <c r="F1397" s="15" t="s">
        <v>1000</v>
      </c>
      <c r="G1397" s="15"/>
      <c r="H1397" s="242" t="s">
        <v>1037</v>
      </c>
      <c r="I1397" s="141">
        <v>151</v>
      </c>
      <c r="J1397" s="141">
        <v>10880.941781511094</v>
      </c>
      <c r="K1397" s="238">
        <f t="shared" si="111"/>
        <v>1643022</v>
      </c>
      <c r="L1397" s="14" t="s">
        <v>155</v>
      </c>
      <c r="M1397" s="14" t="s">
        <v>153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121"/>
    </row>
    <row r="1398" spans="1:26" ht="15.75" customHeight="1">
      <c r="A1398" s="125" t="str">
        <f>IF(B1398&lt;&gt;"",IF(AND(B1398&gt;=_TM1,B1398&lt;=_TM2,OR(TH!L1398="1111",TH!M1398="1111")),TH!D1398,""),"")</f>
        <v/>
      </c>
      <c r="B1398" s="11">
        <f t="shared" si="107"/>
        <v>8</v>
      </c>
      <c r="C1398" s="12">
        <f t="shared" si="110"/>
        <v>40774</v>
      </c>
      <c r="D1398" s="12" t="s">
        <v>1069</v>
      </c>
      <c r="E1398" s="12">
        <v>40774</v>
      </c>
      <c r="F1398" s="15" t="s">
        <v>1001</v>
      </c>
      <c r="G1398" s="15"/>
      <c r="H1398" s="242" t="s">
        <v>1037</v>
      </c>
      <c r="I1398" s="141">
        <v>463</v>
      </c>
      <c r="J1398" s="141">
        <v>7955.6514349374957</v>
      </c>
      <c r="K1398" s="238">
        <f t="shared" si="111"/>
        <v>3683467</v>
      </c>
      <c r="L1398" s="14" t="s">
        <v>155</v>
      </c>
      <c r="M1398" s="14" t="s">
        <v>153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121"/>
    </row>
    <row r="1399" spans="1:26" ht="15.75" customHeight="1">
      <c r="A1399" s="125" t="str">
        <f>IF(B1399&lt;&gt;"",IF(AND(B1399&gt;=_TM1,B1399&lt;=_TM2,OR(TH!L1399="1111",TH!M1399="1111")),TH!D1399,""),"")</f>
        <v/>
      </c>
      <c r="B1399" s="11">
        <f t="shared" si="107"/>
        <v>8</v>
      </c>
      <c r="C1399" s="12">
        <f t="shared" si="110"/>
        <v>40774</v>
      </c>
      <c r="D1399" s="12" t="s">
        <v>1069</v>
      </c>
      <c r="E1399" s="12">
        <v>40774</v>
      </c>
      <c r="F1399" s="15" t="s">
        <v>1002</v>
      </c>
      <c r="G1399" s="15"/>
      <c r="H1399" s="242" t="s">
        <v>1037</v>
      </c>
      <c r="I1399" s="141">
        <v>163</v>
      </c>
      <c r="J1399" s="141">
        <v>13015.711618589061</v>
      </c>
      <c r="K1399" s="238">
        <f t="shared" si="111"/>
        <v>2121561</v>
      </c>
      <c r="L1399" s="14" t="s">
        <v>155</v>
      </c>
      <c r="M1399" s="14" t="s">
        <v>153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/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121"/>
    </row>
    <row r="1400" spans="1:26" ht="15.75" customHeight="1">
      <c r="A1400" s="125" t="str">
        <f>IF(B1400&lt;&gt;"",IF(AND(B1400&gt;=_TM1,B1400&lt;=_TM2,OR(TH!L1400="1111",TH!M1400="1111")),TH!D1400,""),"")</f>
        <v/>
      </c>
      <c r="B1400" s="11">
        <f t="shared" si="107"/>
        <v>8</v>
      </c>
      <c r="C1400" s="12">
        <f t="shared" si="110"/>
        <v>40774</v>
      </c>
      <c r="D1400" s="12" t="s">
        <v>1069</v>
      </c>
      <c r="E1400" s="12">
        <v>40774</v>
      </c>
      <c r="F1400" s="116" t="s">
        <v>732</v>
      </c>
      <c r="G1400" s="15"/>
      <c r="H1400" s="242" t="s">
        <v>1037</v>
      </c>
      <c r="I1400" s="141">
        <v>45</v>
      </c>
      <c r="J1400" s="141">
        <v>4446.9098462645898</v>
      </c>
      <c r="K1400" s="238">
        <f t="shared" si="111"/>
        <v>200111</v>
      </c>
      <c r="L1400" s="14" t="s">
        <v>155</v>
      </c>
      <c r="M1400" s="14" t="s">
        <v>153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/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121"/>
    </row>
    <row r="1401" spans="1:26" ht="15.75" customHeight="1">
      <c r="A1401" s="125" t="str">
        <f>IF(B1401&lt;&gt;"",IF(AND(B1401&gt;=_TM1,B1401&lt;=_TM2,OR(TH!L1401="1111",TH!M1401="1111")),TH!D1401,""),"")</f>
        <v/>
      </c>
      <c r="B1401" s="11">
        <f t="shared" si="107"/>
        <v>8</v>
      </c>
      <c r="C1401" s="12">
        <f t="shared" si="110"/>
        <v>40774</v>
      </c>
      <c r="D1401" s="12" t="s">
        <v>920</v>
      </c>
      <c r="E1401" s="12">
        <v>40774</v>
      </c>
      <c r="F1401" s="15" t="s">
        <v>996</v>
      </c>
      <c r="G1401" s="15" t="s">
        <v>1133</v>
      </c>
      <c r="H1401" s="242" t="s">
        <v>709</v>
      </c>
      <c r="I1401" s="141">
        <v>63</v>
      </c>
      <c r="J1401" s="141">
        <v>13941.065401820146</v>
      </c>
      <c r="K1401" s="238">
        <f t="shared" si="111"/>
        <v>878287</v>
      </c>
      <c r="L1401" s="14" t="s">
        <v>161</v>
      </c>
      <c r="M1401" s="14" t="s">
        <v>155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121"/>
    </row>
    <row r="1402" spans="1:26" ht="15.75" customHeight="1">
      <c r="A1402" s="125" t="str">
        <f>IF(B1402&lt;&gt;"",IF(AND(B1402&gt;=_TM1,B1402&lt;=_TM2,OR(TH!L1402="1111",TH!M1402="1111")),TH!D1402,""),"")</f>
        <v/>
      </c>
      <c r="B1402" s="11">
        <f t="shared" si="107"/>
        <v>8</v>
      </c>
      <c r="C1402" s="12">
        <f t="shared" si="110"/>
        <v>40774</v>
      </c>
      <c r="D1402" s="12" t="s">
        <v>920</v>
      </c>
      <c r="E1402" s="12">
        <v>40774</v>
      </c>
      <c r="F1402" s="15" t="s">
        <v>997</v>
      </c>
      <c r="G1402" s="15" t="s">
        <v>1133</v>
      </c>
      <c r="H1402" s="242" t="s">
        <v>709</v>
      </c>
      <c r="I1402" s="141">
        <v>138</v>
      </c>
      <c r="J1402" s="141">
        <v>7394.3987351534779</v>
      </c>
      <c r="K1402" s="238">
        <f t="shared" si="111"/>
        <v>1020427</v>
      </c>
      <c r="L1402" s="14" t="s">
        <v>161</v>
      </c>
      <c r="M1402" s="14" t="s">
        <v>155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121"/>
    </row>
    <row r="1403" spans="1:26" ht="15.75" customHeight="1">
      <c r="A1403" s="125" t="str">
        <f>IF(B1403&lt;&gt;"",IF(AND(B1403&gt;=_TM1,B1403&lt;=_TM2,OR(TH!L1403="1111",TH!M1403="1111")),TH!D1403,""),"")</f>
        <v/>
      </c>
      <c r="B1403" s="11">
        <f t="shared" si="107"/>
        <v>8</v>
      </c>
      <c r="C1403" s="12">
        <f t="shared" si="110"/>
        <v>40774</v>
      </c>
      <c r="D1403" s="12" t="s">
        <v>920</v>
      </c>
      <c r="E1403" s="12">
        <v>40774</v>
      </c>
      <c r="F1403" s="15" t="s">
        <v>998</v>
      </c>
      <c r="G1403" s="15" t="s">
        <v>1133</v>
      </c>
      <c r="H1403" s="242" t="s">
        <v>709</v>
      </c>
      <c r="I1403" s="141">
        <v>279</v>
      </c>
      <c r="J1403" s="141">
        <v>8346.3987351534779</v>
      </c>
      <c r="K1403" s="238">
        <f t="shared" si="111"/>
        <v>2328645</v>
      </c>
      <c r="L1403" s="14" t="s">
        <v>161</v>
      </c>
      <c r="M1403" s="14" t="s">
        <v>155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121"/>
    </row>
    <row r="1404" spans="1:26" ht="15.75" customHeight="1">
      <c r="A1404" s="125" t="str">
        <f>IF(B1404&lt;&gt;"",IF(AND(B1404&gt;=_TM1,B1404&lt;=_TM2,OR(TH!L1404="1111",TH!M1404="1111")),TH!D1404,""),"")</f>
        <v/>
      </c>
      <c r="B1404" s="11">
        <f t="shared" si="107"/>
        <v>8</v>
      </c>
      <c r="C1404" s="12">
        <f t="shared" si="110"/>
        <v>40774</v>
      </c>
      <c r="D1404" s="12" t="s">
        <v>920</v>
      </c>
      <c r="E1404" s="12">
        <v>40774</v>
      </c>
      <c r="F1404" s="15" t="s">
        <v>999</v>
      </c>
      <c r="G1404" s="15" t="s">
        <v>1133</v>
      </c>
      <c r="H1404" s="242" t="s">
        <v>709</v>
      </c>
      <c r="I1404" s="141">
        <v>41</v>
      </c>
      <c r="J1404" s="141">
        <v>10501.91093027543</v>
      </c>
      <c r="K1404" s="238">
        <f t="shared" si="111"/>
        <v>430578</v>
      </c>
      <c r="L1404" s="14" t="s">
        <v>161</v>
      </c>
      <c r="M1404" s="14" t="s">
        <v>155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121"/>
    </row>
    <row r="1405" spans="1:26" ht="15.75" customHeight="1">
      <c r="A1405" s="125" t="str">
        <f>IF(B1405&lt;&gt;"",IF(AND(B1405&gt;=_TM1,B1405&lt;=_TM2,OR(TH!L1405="1111",TH!M1405="1111")),TH!D1405,""),"")</f>
        <v/>
      </c>
      <c r="B1405" s="11">
        <f t="shared" si="107"/>
        <v>8</v>
      </c>
      <c r="C1405" s="12">
        <f t="shared" si="110"/>
        <v>40774</v>
      </c>
      <c r="D1405" s="12" t="s">
        <v>920</v>
      </c>
      <c r="E1405" s="12">
        <v>40774</v>
      </c>
      <c r="F1405" s="15" t="s">
        <v>1000</v>
      </c>
      <c r="G1405" s="15" t="s">
        <v>1133</v>
      </c>
      <c r="H1405" s="242" t="s">
        <v>709</v>
      </c>
      <c r="I1405" s="141">
        <v>151</v>
      </c>
      <c r="J1405" s="141">
        <v>10880.941781511094</v>
      </c>
      <c r="K1405" s="238">
        <f t="shared" si="111"/>
        <v>1643022</v>
      </c>
      <c r="L1405" s="14" t="s">
        <v>161</v>
      </c>
      <c r="M1405" s="14" t="s">
        <v>155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121"/>
    </row>
    <row r="1406" spans="1:26" ht="15.75" customHeight="1">
      <c r="A1406" s="125" t="str">
        <f>IF(B1406&lt;&gt;"",IF(AND(B1406&gt;=_TM1,B1406&lt;=_TM2,OR(TH!L1406="1111",TH!M1406="1111")),TH!D1406,""),"")</f>
        <v/>
      </c>
      <c r="B1406" s="11">
        <f t="shared" si="107"/>
        <v>8</v>
      </c>
      <c r="C1406" s="12">
        <f t="shared" si="110"/>
        <v>40774</v>
      </c>
      <c r="D1406" s="12" t="s">
        <v>920</v>
      </c>
      <c r="E1406" s="12">
        <v>40774</v>
      </c>
      <c r="F1406" s="15" t="s">
        <v>1001</v>
      </c>
      <c r="G1406" s="15" t="s">
        <v>1133</v>
      </c>
      <c r="H1406" s="242" t="s">
        <v>709</v>
      </c>
      <c r="I1406" s="141">
        <v>463</v>
      </c>
      <c r="J1406" s="141">
        <v>7955.6514349374957</v>
      </c>
      <c r="K1406" s="238">
        <f t="shared" si="111"/>
        <v>3683467</v>
      </c>
      <c r="L1406" s="14" t="s">
        <v>161</v>
      </c>
      <c r="M1406" s="14" t="s">
        <v>155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121"/>
    </row>
    <row r="1407" spans="1:26" ht="15.75" customHeight="1">
      <c r="A1407" s="125" t="str">
        <f>IF(B1407&lt;&gt;"",IF(AND(B1407&gt;=_TM1,B1407&lt;=_TM2,OR(TH!L1407="1111",TH!M1407="1111")),TH!D1407,""),"")</f>
        <v/>
      </c>
      <c r="B1407" s="11">
        <f t="shared" si="107"/>
        <v>8</v>
      </c>
      <c r="C1407" s="12">
        <f t="shared" si="110"/>
        <v>40774</v>
      </c>
      <c r="D1407" s="12" t="s">
        <v>920</v>
      </c>
      <c r="E1407" s="12">
        <v>40774</v>
      </c>
      <c r="F1407" s="15" t="s">
        <v>1002</v>
      </c>
      <c r="G1407" s="15" t="s">
        <v>1133</v>
      </c>
      <c r="H1407" s="242" t="s">
        <v>709</v>
      </c>
      <c r="I1407" s="141">
        <v>163</v>
      </c>
      <c r="J1407" s="141">
        <v>13015.711618589061</v>
      </c>
      <c r="K1407" s="238">
        <f t="shared" si="111"/>
        <v>2121561</v>
      </c>
      <c r="L1407" s="14" t="s">
        <v>161</v>
      </c>
      <c r="M1407" s="14" t="s">
        <v>155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121"/>
    </row>
    <row r="1408" spans="1:26" ht="15.75" customHeight="1">
      <c r="A1408" s="125" t="str">
        <f>IF(B1408&lt;&gt;"",IF(AND(B1408&gt;=_TM1,B1408&lt;=_TM2,OR(TH!L1408="1111",TH!M1408="1111")),TH!D1408,""),"")</f>
        <v/>
      </c>
      <c r="B1408" s="11">
        <f t="shared" si="107"/>
        <v>8</v>
      </c>
      <c r="C1408" s="12">
        <f t="shared" si="110"/>
        <v>40774</v>
      </c>
      <c r="D1408" s="12" t="s">
        <v>920</v>
      </c>
      <c r="E1408" s="12">
        <v>40774</v>
      </c>
      <c r="F1408" s="116" t="s">
        <v>732</v>
      </c>
      <c r="G1408" s="15" t="s">
        <v>1133</v>
      </c>
      <c r="H1408" s="242" t="s">
        <v>709</v>
      </c>
      <c r="I1408" s="141">
        <v>45</v>
      </c>
      <c r="J1408" s="141">
        <v>4446.9098462645898</v>
      </c>
      <c r="K1408" s="238">
        <f t="shared" si="111"/>
        <v>200111</v>
      </c>
      <c r="L1408" s="14" t="s">
        <v>161</v>
      </c>
      <c r="M1408" s="14" t="s">
        <v>155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121"/>
    </row>
    <row r="1409" spans="1:26" ht="15.75" customHeight="1">
      <c r="A1409" s="125" t="str">
        <f>IF(B1409&lt;&gt;"",IF(AND(B1409&gt;=_TM1,B1409&lt;=_TM2,OR(TH!L1409="1111",TH!M1409="1111")),TH!D1409,""),"")</f>
        <v/>
      </c>
      <c r="B1409" s="11">
        <f t="shared" si="107"/>
        <v>8</v>
      </c>
      <c r="C1409" s="115">
        <v>40775</v>
      </c>
      <c r="D1409" s="110" t="s">
        <v>636</v>
      </c>
      <c r="E1409" s="115">
        <v>40775</v>
      </c>
      <c r="F1409" s="116" t="s">
        <v>425</v>
      </c>
      <c r="G1409" s="224" t="s">
        <v>1099</v>
      </c>
      <c r="H1409" s="20" t="s">
        <v>428</v>
      </c>
      <c r="I1409" s="141"/>
      <c r="J1409" s="141"/>
      <c r="K1409" s="238">
        <v>569500</v>
      </c>
      <c r="L1409" s="118" t="s">
        <v>153</v>
      </c>
      <c r="M1409" s="118" t="s">
        <v>44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>x</v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121">
        <v>8</v>
      </c>
    </row>
    <row r="1410" spans="1:26" ht="15.75" customHeight="1">
      <c r="A1410" s="125" t="str">
        <f>IF(B1410&lt;&gt;"",IF(AND(B1410&gt;=_TM1,B1410&lt;=_TM2,OR(TH!L1410="1111",TH!M1410="1111")),TH!D1410,""),"")</f>
        <v/>
      </c>
      <c r="B1410" s="11">
        <f t="shared" si="107"/>
        <v>8</v>
      </c>
      <c r="C1410" s="115">
        <v>40775</v>
      </c>
      <c r="D1410" s="110" t="s">
        <v>636</v>
      </c>
      <c r="E1410" s="115">
        <v>40775</v>
      </c>
      <c r="F1410" s="116" t="s">
        <v>426</v>
      </c>
      <c r="G1410" s="224" t="s">
        <v>1099</v>
      </c>
      <c r="H1410" s="20" t="s">
        <v>428</v>
      </c>
      <c r="I1410" s="141"/>
      <c r="J1410" s="141"/>
      <c r="K1410" s="13">
        <v>56950</v>
      </c>
      <c r="L1410" s="118" t="s">
        <v>9</v>
      </c>
      <c r="M1410" s="118" t="s">
        <v>44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>x</v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121">
        <v>8</v>
      </c>
    </row>
    <row r="1411" spans="1:26" ht="15.75" customHeight="1">
      <c r="A1411" s="125" t="str">
        <f>IF(B1411&lt;&gt;"",IF(AND(B1411&gt;=_TM1,B1411&lt;=_TM2,OR(TH!L1411="1111",TH!M1411="1111")),TH!D1411,""),"")</f>
        <v/>
      </c>
      <c r="B1411" s="11">
        <f t="shared" si="107"/>
        <v>8</v>
      </c>
      <c r="C1411" s="115">
        <v>40775</v>
      </c>
      <c r="D1411" s="110" t="s">
        <v>638</v>
      </c>
      <c r="E1411" s="115">
        <v>40775</v>
      </c>
      <c r="F1411" s="116" t="s">
        <v>445</v>
      </c>
      <c r="G1411" s="221" t="s">
        <v>1100</v>
      </c>
      <c r="H1411" s="20" t="s">
        <v>449</v>
      </c>
      <c r="I1411" s="143"/>
      <c r="J1411" s="141"/>
      <c r="K1411" s="13">
        <v>752211</v>
      </c>
      <c r="L1411" s="118" t="s">
        <v>73</v>
      </c>
      <c r="M1411" s="239" t="s">
        <v>44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>x</v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>x</v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121">
        <v>8</v>
      </c>
    </row>
    <row r="1412" spans="1:26" ht="15.75" customHeight="1">
      <c r="A1412" s="125" t="str">
        <f>IF(B1412&lt;&gt;"",IF(AND(B1412&gt;=_TM1,B1412&lt;=_TM2,OR(TH!L1412="1111",TH!M1412="1111")),TH!D1412,""),"")</f>
        <v/>
      </c>
      <c r="B1412" s="11">
        <f t="shared" si="107"/>
        <v>8</v>
      </c>
      <c r="C1412" s="115">
        <v>40775</v>
      </c>
      <c r="D1412" s="110" t="s">
        <v>638</v>
      </c>
      <c r="E1412" s="115">
        <v>40775</v>
      </c>
      <c r="F1412" s="116" t="s">
        <v>448</v>
      </c>
      <c r="G1412" s="221" t="s">
        <v>1100</v>
      </c>
      <c r="H1412" s="20" t="s">
        <v>449</v>
      </c>
      <c r="I1412" s="143"/>
      <c r="J1412" s="141"/>
      <c r="K1412" s="13">
        <v>75221</v>
      </c>
      <c r="L1412" s="118" t="s">
        <v>9</v>
      </c>
      <c r="M1412" s="239" t="s">
        <v>44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>x</v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121">
        <v>8</v>
      </c>
    </row>
    <row r="1413" spans="1:26" ht="15.75" customHeight="1">
      <c r="A1413" s="125" t="str">
        <f>IF(B1413&lt;&gt;"",IF(AND(B1413&gt;=_TM1,B1413&lt;=_TM2,OR(TH!L1413="1111",TH!M1413="1111")),TH!D1413,""),"")</f>
        <v/>
      </c>
      <c r="B1413" s="11">
        <f t="shared" si="107"/>
        <v>8</v>
      </c>
      <c r="C1413" s="12">
        <f t="shared" ref="C1413:C1419" si="112">E1413</f>
        <v>40775</v>
      </c>
      <c r="D1413" s="12" t="s">
        <v>1052</v>
      </c>
      <c r="E1413" s="304">
        <v>40775</v>
      </c>
      <c r="F1413" s="15" t="s">
        <v>574</v>
      </c>
      <c r="G1413" s="15"/>
      <c r="H1413" s="242" t="s">
        <v>1037</v>
      </c>
      <c r="I1413" s="141">
        <v>64</v>
      </c>
      <c r="J1413" s="141">
        <v>25942</v>
      </c>
      <c r="K1413" s="238">
        <f t="shared" ref="K1413:K1419" si="113">ROUND(I1413*J1413,0)</f>
        <v>1660288</v>
      </c>
      <c r="L1413" s="14" t="s">
        <v>153</v>
      </c>
      <c r="M1413" s="14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121"/>
    </row>
    <row r="1414" spans="1:26" ht="15.75" customHeight="1">
      <c r="A1414" s="125" t="str">
        <f>IF(B1414&lt;&gt;"",IF(AND(B1414&gt;=_TM1,B1414&lt;=_TM2,OR(TH!L1414="1111",TH!M1414="1111")),TH!D1414,""),"")</f>
        <v/>
      </c>
      <c r="B1414" s="11">
        <f t="shared" si="107"/>
        <v>8</v>
      </c>
      <c r="C1414" s="12">
        <f t="shared" si="112"/>
        <v>40775</v>
      </c>
      <c r="D1414" s="12" t="s">
        <v>1052</v>
      </c>
      <c r="E1414" s="304">
        <v>40775</v>
      </c>
      <c r="F1414" s="114" t="s">
        <v>545</v>
      </c>
      <c r="G1414" s="15"/>
      <c r="H1414" s="242" t="s">
        <v>1037</v>
      </c>
      <c r="I1414" s="141">
        <v>83</v>
      </c>
      <c r="J1414" s="141">
        <v>24030</v>
      </c>
      <c r="K1414" s="238">
        <f t="shared" si="113"/>
        <v>1994490</v>
      </c>
      <c r="L1414" s="14" t="s">
        <v>153</v>
      </c>
      <c r="M1414" s="14" t="s">
        <v>147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121"/>
    </row>
    <row r="1415" spans="1:26" ht="15.75" customHeight="1">
      <c r="A1415" s="125" t="str">
        <f>IF(B1415&lt;&gt;"",IF(AND(B1415&gt;=_TM1,B1415&lt;=_TM2,OR(TH!L1415="1111",TH!M1415="1111")),TH!D1415,""),"")</f>
        <v/>
      </c>
      <c r="B1415" s="11">
        <f t="shared" si="107"/>
        <v>8</v>
      </c>
      <c r="C1415" s="12">
        <f t="shared" si="112"/>
        <v>40775</v>
      </c>
      <c r="D1415" s="12" t="s">
        <v>1052</v>
      </c>
      <c r="E1415" s="304">
        <v>40775</v>
      </c>
      <c r="F1415" s="114" t="s">
        <v>496</v>
      </c>
      <c r="G1415" s="15"/>
      <c r="H1415" s="242" t="s">
        <v>1037</v>
      </c>
      <c r="I1415" s="141">
        <v>9</v>
      </c>
      <c r="J1415" s="141">
        <v>10603</v>
      </c>
      <c r="K1415" s="238">
        <f t="shared" si="113"/>
        <v>95427</v>
      </c>
      <c r="L1415" s="14" t="s">
        <v>153</v>
      </c>
      <c r="M1415" s="14" t="s">
        <v>147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121"/>
    </row>
    <row r="1416" spans="1:26" ht="15.75" customHeight="1">
      <c r="A1416" s="125" t="str">
        <f>IF(B1416&lt;&gt;"",IF(AND(B1416&gt;=_TM1,B1416&lt;=_TM2,OR(TH!L1416="1111",TH!M1416="1111")),TH!D1416,""),"")</f>
        <v/>
      </c>
      <c r="B1416" s="11">
        <f t="shared" si="107"/>
        <v>8</v>
      </c>
      <c r="C1416" s="12">
        <f t="shared" si="112"/>
        <v>40775</v>
      </c>
      <c r="D1416" s="12" t="s">
        <v>1052</v>
      </c>
      <c r="E1416" s="304">
        <v>40775</v>
      </c>
      <c r="F1416" s="114" t="s">
        <v>496</v>
      </c>
      <c r="G1416" s="15"/>
      <c r="H1416" s="242" t="s">
        <v>1037</v>
      </c>
      <c r="I1416" s="141">
        <v>120</v>
      </c>
      <c r="J1416" s="141">
        <v>10603</v>
      </c>
      <c r="K1416" s="238">
        <f t="shared" si="113"/>
        <v>1272360</v>
      </c>
      <c r="L1416" s="14" t="s">
        <v>153</v>
      </c>
      <c r="M1416" s="14" t="s">
        <v>147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/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121"/>
    </row>
    <row r="1417" spans="1:26" ht="15.75" customHeight="1">
      <c r="A1417" s="125" t="str">
        <f>IF(B1417&lt;&gt;"",IF(AND(B1417&gt;=_TM1,B1417&lt;=_TM2,OR(TH!L1417="1111",TH!M1417="1111")),TH!D1417,""),"")</f>
        <v/>
      </c>
      <c r="B1417" s="11">
        <f t="shared" si="107"/>
        <v>8</v>
      </c>
      <c r="C1417" s="12">
        <f t="shared" si="112"/>
        <v>40775</v>
      </c>
      <c r="D1417" s="12" t="s">
        <v>1052</v>
      </c>
      <c r="E1417" s="304">
        <v>40775</v>
      </c>
      <c r="F1417" s="114" t="s">
        <v>364</v>
      </c>
      <c r="G1417" s="15"/>
      <c r="H1417" s="242" t="s">
        <v>1037</v>
      </c>
      <c r="I1417" s="315">
        <v>86</v>
      </c>
      <c r="J1417" s="141">
        <v>4449</v>
      </c>
      <c r="K1417" s="238">
        <f t="shared" si="113"/>
        <v>382614</v>
      </c>
      <c r="L1417" s="14" t="s">
        <v>153</v>
      </c>
      <c r="M1417" s="14" t="s">
        <v>147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>x</v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121"/>
    </row>
    <row r="1418" spans="1:26" ht="15.75" customHeight="1">
      <c r="A1418" s="125" t="str">
        <f>IF(B1418&lt;&gt;"",IF(AND(B1418&gt;=_TM1,B1418&lt;=_TM2,OR(TH!L1418="1111",TH!M1418="1111")),TH!D1418,""),"")</f>
        <v/>
      </c>
      <c r="B1418" s="11">
        <f t="shared" si="107"/>
        <v>8</v>
      </c>
      <c r="C1418" s="12">
        <f t="shared" si="112"/>
        <v>40775</v>
      </c>
      <c r="D1418" s="12" t="s">
        <v>1052</v>
      </c>
      <c r="E1418" s="304">
        <v>40775</v>
      </c>
      <c r="F1418" s="154" t="s">
        <v>455</v>
      </c>
      <c r="G1418" s="15"/>
      <c r="H1418" s="242" t="s">
        <v>1037</v>
      </c>
      <c r="I1418" s="141">
        <v>24</v>
      </c>
      <c r="J1418" s="141">
        <v>4592</v>
      </c>
      <c r="K1418" s="238">
        <f t="shared" si="113"/>
        <v>110208</v>
      </c>
      <c r="L1418" s="14" t="s">
        <v>153</v>
      </c>
      <c r="M1418" s="14" t="s">
        <v>147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121"/>
    </row>
    <row r="1419" spans="1:26" ht="15.75" customHeight="1">
      <c r="A1419" s="125" t="str">
        <f>IF(B1419&lt;&gt;"",IF(AND(B1419&gt;=_TM1,B1419&lt;=_TM2,OR(TH!L1419="1111",TH!M1419="1111")),TH!D1419,""),"")</f>
        <v/>
      </c>
      <c r="B1419" s="11">
        <f t="shared" si="107"/>
        <v>8</v>
      </c>
      <c r="C1419" s="12">
        <f t="shared" si="112"/>
        <v>40775</v>
      </c>
      <c r="D1419" s="12" t="s">
        <v>1052</v>
      </c>
      <c r="E1419" s="304">
        <v>40775</v>
      </c>
      <c r="F1419" s="154" t="s">
        <v>455</v>
      </c>
      <c r="G1419" s="15"/>
      <c r="H1419" s="242" t="s">
        <v>1037</v>
      </c>
      <c r="I1419" s="141">
        <v>9</v>
      </c>
      <c r="J1419" s="141">
        <v>4592</v>
      </c>
      <c r="K1419" s="238">
        <f t="shared" si="113"/>
        <v>41328</v>
      </c>
      <c r="L1419" s="14" t="s">
        <v>153</v>
      </c>
      <c r="M1419" s="14" t="s">
        <v>147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121"/>
    </row>
    <row r="1420" spans="1:26" ht="15.75" customHeight="1">
      <c r="A1420" s="125" t="str">
        <f>IF(B1420&lt;&gt;"",IF(AND(B1420&gt;=_TM1,B1420&lt;=_TM2,OR(TH!L1420="1111",TH!M1420="1111")),TH!D1420,""),"")</f>
        <v/>
      </c>
      <c r="B1420" s="11">
        <f t="shared" si="107"/>
        <v>8</v>
      </c>
      <c r="C1420" s="110">
        <v>40780</v>
      </c>
      <c r="D1420" s="110" t="s">
        <v>310</v>
      </c>
      <c r="E1420" s="110">
        <v>40780</v>
      </c>
      <c r="F1420" s="114" t="s">
        <v>341</v>
      </c>
      <c r="G1420" s="240" t="s">
        <v>307</v>
      </c>
      <c r="H1420" s="4"/>
      <c r="I1420" s="141"/>
      <c r="J1420" s="141"/>
      <c r="K1420" s="238">
        <v>49637</v>
      </c>
      <c r="L1420" s="239" t="s">
        <v>23</v>
      </c>
      <c r="M1420" s="239" t="s">
        <v>37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121"/>
    </row>
    <row r="1421" spans="1:26" ht="15.75" customHeight="1">
      <c r="A1421" s="125" t="str">
        <f>IF(B1421&lt;&gt;"",IF(AND(B1421&gt;=_TM1,B1421&lt;=_TM2,OR(TH!L1421="1111",TH!M1421="1111")),TH!D1421,""),"")</f>
        <v/>
      </c>
      <c r="B1421" s="11">
        <f t="shared" si="107"/>
        <v>8</v>
      </c>
      <c r="C1421" s="115">
        <v>40780</v>
      </c>
      <c r="D1421" s="115" t="s">
        <v>762</v>
      </c>
      <c r="E1421" s="115">
        <v>40780</v>
      </c>
      <c r="F1421" s="116" t="s">
        <v>312</v>
      </c>
      <c r="G1421" s="224" t="s">
        <v>1134</v>
      </c>
      <c r="H1421" s="117" t="s">
        <v>736</v>
      </c>
      <c r="I1421" s="141"/>
      <c r="J1421" s="141"/>
      <c r="K1421" s="238">
        <v>9791100</v>
      </c>
      <c r="L1421" s="118" t="s">
        <v>44</v>
      </c>
      <c r="M1421" s="118" t="s">
        <v>237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>x</v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121"/>
    </row>
    <row r="1422" spans="1:26" ht="15.75" customHeight="1">
      <c r="A1422" s="125" t="str">
        <f>IF(B1422&lt;&gt;"",IF(AND(B1422&gt;=_TM1,B1422&lt;=_TM2,OR(TH!L1422="1111",TH!M1422="1111")),TH!D1422,""),"")</f>
        <v/>
      </c>
      <c r="B1422" s="11">
        <f t="shared" si="107"/>
        <v>8</v>
      </c>
      <c r="C1422" s="115">
        <v>40780</v>
      </c>
      <c r="D1422" s="115" t="s">
        <v>921</v>
      </c>
      <c r="E1422" s="115">
        <v>40780</v>
      </c>
      <c r="F1422" s="116" t="s">
        <v>966</v>
      </c>
      <c r="G1422" s="224" t="s">
        <v>1134</v>
      </c>
      <c r="H1422" s="117" t="s">
        <v>736</v>
      </c>
      <c r="I1422" s="141">
        <v>989</v>
      </c>
      <c r="J1422" s="141">
        <v>9000</v>
      </c>
      <c r="K1422" s="238">
        <v>8901000</v>
      </c>
      <c r="L1422" s="118" t="s">
        <v>237</v>
      </c>
      <c r="M1422" s="118" t="s">
        <v>163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121"/>
    </row>
    <row r="1423" spans="1:26" ht="15.75" customHeight="1">
      <c r="A1423" s="125" t="str">
        <f>IF(B1423&lt;&gt;"",IF(AND(B1423&gt;=_TM1,B1423&lt;=_TM2,OR(TH!L1423="1111",TH!M1423="1111")),TH!D1423,""),"")</f>
        <v/>
      </c>
      <c r="B1423" s="11">
        <f t="shared" si="107"/>
        <v>8</v>
      </c>
      <c r="C1423" s="115">
        <v>40780</v>
      </c>
      <c r="D1423" s="115" t="s">
        <v>921</v>
      </c>
      <c r="E1423" s="115">
        <v>40780</v>
      </c>
      <c r="F1423" s="116" t="s">
        <v>1121</v>
      </c>
      <c r="G1423" s="224" t="s">
        <v>1134</v>
      </c>
      <c r="H1423" s="117" t="s">
        <v>736</v>
      </c>
      <c r="I1423" s="143"/>
      <c r="J1423" s="143"/>
      <c r="K1423" s="238">
        <v>890100</v>
      </c>
      <c r="L1423" s="118" t="s">
        <v>237</v>
      </c>
      <c r="M1423" s="118" t="s">
        <v>707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121"/>
    </row>
    <row r="1424" spans="1:26" ht="15.75" customHeight="1">
      <c r="A1424" s="125" t="str">
        <f>IF(B1424&lt;&gt;"",IF(AND(B1424&gt;=_TM1,B1424&lt;=_TM2,OR(TH!L1424="1111",TH!M1424="1111")),TH!D1424,""),"")</f>
        <v/>
      </c>
      <c r="B1424" s="11">
        <f t="shared" si="107"/>
        <v>8</v>
      </c>
      <c r="C1424" s="12">
        <f>E1424</f>
        <v>40780</v>
      </c>
      <c r="D1424" s="12" t="s">
        <v>1070</v>
      </c>
      <c r="E1424" s="12">
        <v>40780</v>
      </c>
      <c r="F1424" s="15" t="s">
        <v>966</v>
      </c>
      <c r="G1424" s="15"/>
      <c r="H1424" s="242" t="s">
        <v>1037</v>
      </c>
      <c r="I1424" s="141">
        <v>989</v>
      </c>
      <c r="J1424" s="141">
        <v>8346.3987351534779</v>
      </c>
      <c r="K1424" s="238">
        <f>ROUND(I1424*J1424,0)</f>
        <v>8254588</v>
      </c>
      <c r="L1424" s="14" t="s">
        <v>155</v>
      </c>
      <c r="M1424" s="14" t="s">
        <v>153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/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121"/>
    </row>
    <row r="1425" spans="1:26" ht="15.75" customHeight="1">
      <c r="A1425" s="125" t="str">
        <f>IF(B1425&lt;&gt;"",IF(AND(B1425&gt;=_TM1,B1425&lt;=_TM2,OR(TH!L1425="1111",TH!M1425="1111")),TH!D1425,""),"")</f>
        <v/>
      </c>
      <c r="B1425" s="11">
        <f t="shared" si="107"/>
        <v>8</v>
      </c>
      <c r="C1425" s="12">
        <f>E1425</f>
        <v>40780</v>
      </c>
      <c r="D1425" s="12" t="s">
        <v>921</v>
      </c>
      <c r="E1425" s="12">
        <v>40780</v>
      </c>
      <c r="F1425" s="15" t="s">
        <v>966</v>
      </c>
      <c r="G1425" s="15" t="s">
        <v>1134</v>
      </c>
      <c r="H1425" s="242" t="s">
        <v>736</v>
      </c>
      <c r="I1425" s="141">
        <v>989</v>
      </c>
      <c r="J1425" s="141">
        <v>8346.3987351534779</v>
      </c>
      <c r="K1425" s="238">
        <f>ROUND(I1425*J1425,0)</f>
        <v>8254588</v>
      </c>
      <c r="L1425" s="14" t="s">
        <v>161</v>
      </c>
      <c r="M1425" s="14" t="s">
        <v>155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121"/>
    </row>
    <row r="1426" spans="1:26" ht="15.75" customHeight="1">
      <c r="A1426" s="125" t="str">
        <f>IF(B1426&lt;&gt;"",IF(AND(B1426&gt;=_TM1,B1426&lt;=_TM2,OR(TH!L1426="1111",TH!M1426="1111")),TH!D1426,""),"")</f>
        <v/>
      </c>
      <c r="B1426" s="11">
        <f t="shared" si="107"/>
        <v>8</v>
      </c>
      <c r="C1426" s="115">
        <v>40781</v>
      </c>
      <c r="D1426" s="115" t="s">
        <v>922</v>
      </c>
      <c r="E1426" s="115">
        <v>40781</v>
      </c>
      <c r="F1426" s="116" t="s">
        <v>1003</v>
      </c>
      <c r="G1426" s="224" t="s">
        <v>1135</v>
      </c>
      <c r="H1426" s="4" t="s">
        <v>709</v>
      </c>
      <c r="I1426" s="141">
        <v>194</v>
      </c>
      <c r="J1426" s="141">
        <v>9793</v>
      </c>
      <c r="K1426" s="238">
        <v>1899842</v>
      </c>
      <c r="L1426" s="118" t="s">
        <v>237</v>
      </c>
      <c r="M1426" s="118" t="s">
        <v>163</v>
      </c>
      <c r="N1426" s="25" t="str">
        <f>IF(AND('331-CT'!$E$7=TH!H1426,OR(L1426="331",M1426="331")),"331",IF(AND(OR(L1426="131",M1426="131"),H1426='131-CT'!$E$7),"131",""))</f>
        <v>131</v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121"/>
    </row>
    <row r="1427" spans="1:26" ht="15.75" customHeight="1">
      <c r="A1427" s="125" t="str">
        <f>IF(B1427&lt;&gt;"",IF(AND(B1427&gt;=_TM1,B1427&lt;=_TM2,OR(TH!L1427="1111",TH!M1427="1111")),TH!D1427,""),"")</f>
        <v/>
      </c>
      <c r="B1427" s="11">
        <f t="shared" si="107"/>
        <v>8</v>
      </c>
      <c r="C1427" s="115">
        <v>40781</v>
      </c>
      <c r="D1427" s="115" t="s">
        <v>922</v>
      </c>
      <c r="E1427" s="115">
        <v>40781</v>
      </c>
      <c r="F1427" s="116" t="s">
        <v>1004</v>
      </c>
      <c r="G1427" s="224" t="s">
        <v>1135</v>
      </c>
      <c r="H1427" s="4" t="s">
        <v>709</v>
      </c>
      <c r="I1427" s="141">
        <v>106</v>
      </c>
      <c r="J1427" s="141">
        <v>8874</v>
      </c>
      <c r="K1427" s="238">
        <v>940644</v>
      </c>
      <c r="L1427" s="118" t="s">
        <v>237</v>
      </c>
      <c r="M1427" s="118" t="s">
        <v>163</v>
      </c>
      <c r="N1427" s="25" t="str">
        <f>IF(AND('331-CT'!$E$7=TH!H1427,OR(L1427="331",M1427="331")),"331",IF(AND(OR(L1427="131",M1427="131"),H1427='131-CT'!$E$7),"131",""))</f>
        <v>131</v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121"/>
    </row>
    <row r="1428" spans="1:26" ht="15.75" customHeight="1">
      <c r="A1428" s="125" t="str">
        <f>IF(B1428&lt;&gt;"",IF(AND(B1428&gt;=_TM1,B1428&lt;=_TM2,OR(TH!L1428="1111",TH!M1428="1111")),TH!D1428,""),"")</f>
        <v/>
      </c>
      <c r="B1428" s="11">
        <f t="shared" si="107"/>
        <v>8</v>
      </c>
      <c r="C1428" s="115">
        <v>40781</v>
      </c>
      <c r="D1428" s="115" t="s">
        <v>922</v>
      </c>
      <c r="E1428" s="115">
        <v>40781</v>
      </c>
      <c r="F1428" s="116" t="s">
        <v>1005</v>
      </c>
      <c r="G1428" s="224" t="s">
        <v>1135</v>
      </c>
      <c r="H1428" s="4" t="s">
        <v>709</v>
      </c>
      <c r="I1428" s="141">
        <v>150</v>
      </c>
      <c r="J1428" s="141">
        <v>4422</v>
      </c>
      <c r="K1428" s="238">
        <v>663300</v>
      </c>
      <c r="L1428" s="118" t="s">
        <v>237</v>
      </c>
      <c r="M1428" s="118" t="s">
        <v>163</v>
      </c>
      <c r="N1428" s="25" t="str">
        <f>IF(AND('331-CT'!$E$7=TH!H1428,OR(L1428="331",M1428="331")),"331",IF(AND(OR(L1428="131",M1428="131"),H1428='131-CT'!$E$7),"131",""))</f>
        <v>131</v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121"/>
    </row>
    <row r="1429" spans="1:26" ht="15.75" customHeight="1">
      <c r="A1429" s="125" t="str">
        <f>IF(B1429&lt;&gt;"",IF(AND(B1429&gt;=_TM1,B1429&lt;=_TM2,OR(TH!L1429="1111",TH!M1429="1111")),TH!D1429,""),"")</f>
        <v/>
      </c>
      <c r="B1429" s="11">
        <f t="shared" si="107"/>
        <v>8</v>
      </c>
      <c r="C1429" s="115">
        <v>40781</v>
      </c>
      <c r="D1429" s="115" t="s">
        <v>922</v>
      </c>
      <c r="E1429" s="115">
        <v>40781</v>
      </c>
      <c r="F1429" s="116" t="s">
        <v>1006</v>
      </c>
      <c r="G1429" s="224" t="s">
        <v>1135</v>
      </c>
      <c r="H1429" s="4" t="s">
        <v>709</v>
      </c>
      <c r="I1429" s="141">
        <v>1</v>
      </c>
      <c r="J1429" s="141">
        <v>5734</v>
      </c>
      <c r="K1429" s="238">
        <v>5734</v>
      </c>
      <c r="L1429" s="118" t="s">
        <v>237</v>
      </c>
      <c r="M1429" s="118" t="s">
        <v>163</v>
      </c>
      <c r="N1429" s="25" t="str">
        <f>IF(AND('331-CT'!$E$7=TH!H1429,OR(L1429="331",M1429="331")),"331",IF(AND(OR(L1429="131",M1429="131"),H1429='131-CT'!$E$7),"131",""))</f>
        <v>131</v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121"/>
    </row>
    <row r="1430" spans="1:26" ht="15.75" customHeight="1">
      <c r="A1430" s="125" t="str">
        <f>IF(B1430&lt;&gt;"",IF(AND(B1430&gt;=_TM1,B1430&lt;=_TM2,OR(TH!L1430="1111",TH!M1430="1111")),TH!D1430,""),"")</f>
        <v/>
      </c>
      <c r="B1430" s="11">
        <f t="shared" ref="B1430:B1493" si="114">IF(C1430&lt;&gt;"",MONTH(C1430),"")</f>
        <v>8</v>
      </c>
      <c r="C1430" s="115">
        <v>40781</v>
      </c>
      <c r="D1430" s="115" t="s">
        <v>922</v>
      </c>
      <c r="E1430" s="115">
        <v>40781</v>
      </c>
      <c r="F1430" s="116" t="s">
        <v>1007</v>
      </c>
      <c r="G1430" s="224" t="s">
        <v>1135</v>
      </c>
      <c r="H1430" s="4" t="s">
        <v>709</v>
      </c>
      <c r="I1430" s="141">
        <v>133</v>
      </c>
      <c r="J1430" s="141">
        <v>8398</v>
      </c>
      <c r="K1430" s="238">
        <v>1116934</v>
      </c>
      <c r="L1430" s="118" t="s">
        <v>237</v>
      </c>
      <c r="M1430" s="118" t="s">
        <v>163</v>
      </c>
      <c r="N1430" s="25" t="str">
        <f>IF(AND('331-CT'!$E$7=TH!H1430,OR(L1430="331",M1430="331")),"331",IF(AND(OR(L1430="131",M1430="131"),H1430='131-CT'!$E$7),"131",""))</f>
        <v>131</v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121"/>
    </row>
    <row r="1431" spans="1:26" ht="15.75" customHeight="1">
      <c r="A1431" s="125" t="str">
        <f>IF(B1431&lt;&gt;"",IF(AND(B1431&gt;=_TM1,B1431&lt;=_TM2,OR(TH!L1431="1111",TH!M1431="1111")),TH!D1431,""),"")</f>
        <v/>
      </c>
      <c r="B1431" s="11">
        <f t="shared" si="114"/>
        <v>8</v>
      </c>
      <c r="C1431" s="115">
        <v>40781</v>
      </c>
      <c r="D1431" s="115" t="s">
        <v>922</v>
      </c>
      <c r="E1431" s="115">
        <v>40781</v>
      </c>
      <c r="F1431" s="116" t="s">
        <v>1008</v>
      </c>
      <c r="G1431" s="224" t="s">
        <v>1135</v>
      </c>
      <c r="H1431" s="4" t="s">
        <v>709</v>
      </c>
      <c r="I1431" s="141">
        <v>141</v>
      </c>
      <c r="J1431" s="141">
        <v>9538</v>
      </c>
      <c r="K1431" s="238">
        <v>1344858</v>
      </c>
      <c r="L1431" s="118" t="s">
        <v>237</v>
      </c>
      <c r="M1431" s="118" t="s">
        <v>163</v>
      </c>
      <c r="N1431" s="25" t="str">
        <f>IF(AND('331-CT'!$E$7=TH!H1431,OR(L1431="331",M1431="331")),"331",IF(AND(OR(L1431="131",M1431="131"),H1431='131-CT'!$E$7),"131",""))</f>
        <v>131</v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/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121"/>
    </row>
    <row r="1432" spans="1:26" ht="15.75" customHeight="1">
      <c r="A1432" s="125" t="str">
        <f>IF(B1432&lt;&gt;"",IF(AND(B1432&gt;=_TM1,B1432&lt;=_TM2,OR(TH!L1432="1111",TH!M1432="1111")),TH!D1432,""),"")</f>
        <v/>
      </c>
      <c r="B1432" s="11">
        <f t="shared" si="114"/>
        <v>8</v>
      </c>
      <c r="C1432" s="115">
        <v>40781</v>
      </c>
      <c r="D1432" s="115" t="s">
        <v>922</v>
      </c>
      <c r="E1432" s="115">
        <v>40781</v>
      </c>
      <c r="F1432" s="116" t="s">
        <v>1009</v>
      </c>
      <c r="G1432" s="224" t="s">
        <v>1135</v>
      </c>
      <c r="H1432" s="4" t="s">
        <v>709</v>
      </c>
      <c r="I1432" s="141">
        <v>292</v>
      </c>
      <c r="J1432" s="141">
        <v>10534</v>
      </c>
      <c r="K1432" s="238">
        <v>3075928</v>
      </c>
      <c r="L1432" s="118" t="s">
        <v>237</v>
      </c>
      <c r="M1432" s="118" t="s">
        <v>163</v>
      </c>
      <c r="N1432" s="25" t="str">
        <f>IF(AND('331-CT'!$E$7=TH!H1432,OR(L1432="331",M1432="331")),"331",IF(AND(OR(L1432="131",M1432="131"),H1432='131-CT'!$E$7),"131",""))</f>
        <v>131</v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121"/>
    </row>
    <row r="1433" spans="1:26" ht="15.75" customHeight="1">
      <c r="A1433" s="125" t="str">
        <f>IF(B1433&lt;&gt;"",IF(AND(B1433&gt;=_TM1,B1433&lt;=_TM2,OR(TH!L1433="1111",TH!M1433="1111")),TH!D1433,""),"")</f>
        <v/>
      </c>
      <c r="B1433" s="11">
        <f t="shared" si="114"/>
        <v>8</v>
      </c>
      <c r="C1433" s="115">
        <v>40781</v>
      </c>
      <c r="D1433" s="115" t="s">
        <v>922</v>
      </c>
      <c r="E1433" s="115">
        <v>40781</v>
      </c>
      <c r="F1433" s="116" t="s">
        <v>796</v>
      </c>
      <c r="G1433" s="224" t="s">
        <v>1135</v>
      </c>
      <c r="H1433" s="4" t="s">
        <v>709</v>
      </c>
      <c r="I1433" s="141"/>
      <c r="J1433" s="141"/>
      <c r="K1433" s="13">
        <v>904724</v>
      </c>
      <c r="L1433" s="118" t="s">
        <v>237</v>
      </c>
      <c r="M1433" s="118" t="s">
        <v>707</v>
      </c>
      <c r="N1433" s="25" t="str">
        <f>IF(AND('331-CT'!$E$7=TH!H1433,OR(L1433="331",M1433="331")),"331",IF(AND(OR(L1433="131",M1433="131"),H1433='131-CT'!$E$7),"131",""))</f>
        <v>131</v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121"/>
    </row>
    <row r="1434" spans="1:26" ht="15.75" customHeight="1">
      <c r="A1434" s="125" t="str">
        <f>IF(B1434&lt;&gt;"",IF(AND(B1434&gt;=_TM1,B1434&lt;=_TM2,OR(TH!L1434="1111",TH!M1434="1111")),TH!D1434,""),"")</f>
        <v/>
      </c>
      <c r="B1434" s="11">
        <f t="shared" si="114"/>
        <v>8</v>
      </c>
      <c r="C1434" s="115">
        <v>40781</v>
      </c>
      <c r="D1434" s="115" t="s">
        <v>923</v>
      </c>
      <c r="E1434" s="115">
        <v>40781</v>
      </c>
      <c r="F1434" s="116" t="s">
        <v>1010</v>
      </c>
      <c r="G1434" s="224" t="s">
        <v>1136</v>
      </c>
      <c r="H1434" s="4" t="s">
        <v>709</v>
      </c>
      <c r="I1434" s="141">
        <v>1</v>
      </c>
      <c r="J1434" s="141">
        <v>11261</v>
      </c>
      <c r="K1434" s="238">
        <v>11261</v>
      </c>
      <c r="L1434" s="118" t="s">
        <v>237</v>
      </c>
      <c r="M1434" s="118" t="s">
        <v>163</v>
      </c>
      <c r="N1434" s="25" t="str">
        <f>IF(AND('331-CT'!$E$7=TH!H1434,OR(L1434="331",M1434="331")),"331",IF(AND(OR(L1434="131",M1434="131"),H1434='131-CT'!$E$7),"131",""))</f>
        <v>131</v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121"/>
    </row>
    <row r="1435" spans="1:26" ht="15.75" customHeight="1">
      <c r="A1435" s="125" t="str">
        <f>IF(B1435&lt;&gt;"",IF(AND(B1435&gt;=_TM1,B1435&lt;=_TM2,OR(TH!L1435="1111",TH!M1435="1111")),TH!D1435,""),"")</f>
        <v/>
      </c>
      <c r="B1435" s="11">
        <f t="shared" si="114"/>
        <v>8</v>
      </c>
      <c r="C1435" s="115">
        <v>40781</v>
      </c>
      <c r="D1435" s="115" t="s">
        <v>923</v>
      </c>
      <c r="E1435" s="115">
        <v>40781</v>
      </c>
      <c r="F1435" s="116" t="s">
        <v>1011</v>
      </c>
      <c r="G1435" s="224" t="s">
        <v>1136</v>
      </c>
      <c r="H1435" s="4" t="s">
        <v>709</v>
      </c>
      <c r="I1435" s="141">
        <v>1</v>
      </c>
      <c r="J1435" s="141">
        <v>10033</v>
      </c>
      <c r="K1435" s="238">
        <v>10033</v>
      </c>
      <c r="L1435" s="118" t="s">
        <v>237</v>
      </c>
      <c r="M1435" s="118" t="s">
        <v>163</v>
      </c>
      <c r="N1435" s="25" t="str">
        <f>IF(AND('331-CT'!$E$7=TH!H1435,OR(L1435="331",M1435="331")),"331",IF(AND(OR(L1435="131",M1435="131"),H1435='131-CT'!$E$7),"131",""))</f>
        <v>131</v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121"/>
    </row>
    <row r="1436" spans="1:26" ht="15.75" customHeight="1">
      <c r="A1436" s="125" t="str">
        <f>IF(B1436&lt;&gt;"",IF(AND(B1436&gt;=_TM1,B1436&lt;=_TM2,OR(TH!L1436="1111",TH!M1436="1111")),TH!D1436,""),"")</f>
        <v/>
      </c>
      <c r="B1436" s="11">
        <f t="shared" si="114"/>
        <v>8</v>
      </c>
      <c r="C1436" s="115">
        <v>40781</v>
      </c>
      <c r="D1436" s="115" t="s">
        <v>923</v>
      </c>
      <c r="E1436" s="115">
        <v>40781</v>
      </c>
      <c r="F1436" s="116" t="s">
        <v>1012</v>
      </c>
      <c r="G1436" s="224" t="s">
        <v>1136</v>
      </c>
      <c r="H1436" s="4" t="s">
        <v>709</v>
      </c>
      <c r="I1436" s="143">
        <v>1</v>
      </c>
      <c r="J1436" s="143">
        <v>12495</v>
      </c>
      <c r="K1436" s="238">
        <v>12495</v>
      </c>
      <c r="L1436" s="118" t="s">
        <v>237</v>
      </c>
      <c r="M1436" s="118" t="s">
        <v>163</v>
      </c>
      <c r="N1436" s="25" t="str">
        <f>IF(AND('331-CT'!$E$7=TH!H1436,OR(L1436="331",M1436="331")),"331",IF(AND(OR(L1436="131",M1436="131"),H1436='131-CT'!$E$7),"131",""))</f>
        <v>131</v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121"/>
    </row>
    <row r="1437" spans="1:26" ht="15.75" customHeight="1">
      <c r="A1437" s="125" t="str">
        <f>IF(B1437&lt;&gt;"",IF(AND(B1437&gt;=_TM1,B1437&lt;=_TM2,OR(TH!L1437="1111",TH!M1437="1111")),TH!D1437,""),"")</f>
        <v/>
      </c>
      <c r="B1437" s="11">
        <f t="shared" si="114"/>
        <v>8</v>
      </c>
      <c r="C1437" s="115">
        <v>40781</v>
      </c>
      <c r="D1437" s="115" t="s">
        <v>923</v>
      </c>
      <c r="E1437" s="115">
        <v>40781</v>
      </c>
      <c r="F1437" s="116" t="s">
        <v>1013</v>
      </c>
      <c r="G1437" s="224" t="s">
        <v>1136</v>
      </c>
      <c r="H1437" s="4" t="s">
        <v>709</v>
      </c>
      <c r="I1437" s="141">
        <v>824</v>
      </c>
      <c r="J1437" s="141">
        <v>14369</v>
      </c>
      <c r="K1437" s="238">
        <v>11840056</v>
      </c>
      <c r="L1437" s="118" t="s">
        <v>237</v>
      </c>
      <c r="M1437" s="118" t="s">
        <v>163</v>
      </c>
      <c r="N1437" s="25" t="str">
        <f>IF(AND('331-CT'!$E$7=TH!H1437,OR(L1437="331",M1437="331")),"331",IF(AND(OR(L1437="131",M1437="131"),H1437='131-CT'!$E$7),"131",""))</f>
        <v>131</v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121"/>
    </row>
    <row r="1438" spans="1:26" ht="15.75" customHeight="1">
      <c r="A1438" s="125" t="str">
        <f>IF(B1438&lt;&gt;"",IF(AND(B1438&gt;=_TM1,B1438&lt;=_TM2,OR(TH!L1438="1111",TH!M1438="1111")),TH!D1438,""),"")</f>
        <v/>
      </c>
      <c r="B1438" s="11">
        <f t="shared" si="114"/>
        <v>8</v>
      </c>
      <c r="C1438" s="115">
        <v>40781</v>
      </c>
      <c r="D1438" s="115" t="s">
        <v>923</v>
      </c>
      <c r="E1438" s="115">
        <v>40781</v>
      </c>
      <c r="F1438" s="116" t="s">
        <v>1014</v>
      </c>
      <c r="G1438" s="224" t="s">
        <v>1136</v>
      </c>
      <c r="H1438" s="4" t="s">
        <v>709</v>
      </c>
      <c r="I1438" s="141">
        <v>2</v>
      </c>
      <c r="J1438" s="141">
        <v>9960</v>
      </c>
      <c r="K1438" s="238">
        <v>19920</v>
      </c>
      <c r="L1438" s="118" t="s">
        <v>237</v>
      </c>
      <c r="M1438" s="118" t="s">
        <v>163</v>
      </c>
      <c r="N1438" s="25" t="str">
        <f>IF(AND('331-CT'!$E$7=TH!H1438,OR(L1438="331",M1438="331")),"331",IF(AND(OR(L1438="131",M1438="131"),H1438='131-CT'!$E$7),"131",""))</f>
        <v>131</v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121"/>
    </row>
    <row r="1439" spans="1:26" ht="15.75" customHeight="1">
      <c r="A1439" s="125" t="str">
        <f>IF(B1439&lt;&gt;"",IF(AND(B1439&gt;=_TM1,B1439&lt;=_TM2,OR(TH!L1439="1111",TH!M1439="1111")),TH!D1439,""),"")</f>
        <v/>
      </c>
      <c r="B1439" s="11">
        <f t="shared" si="114"/>
        <v>8</v>
      </c>
      <c r="C1439" s="115">
        <v>40781</v>
      </c>
      <c r="D1439" s="115" t="s">
        <v>923</v>
      </c>
      <c r="E1439" s="115">
        <v>40781</v>
      </c>
      <c r="F1439" s="116" t="s">
        <v>1015</v>
      </c>
      <c r="G1439" s="224" t="s">
        <v>1136</v>
      </c>
      <c r="H1439" s="4" t="s">
        <v>709</v>
      </c>
      <c r="I1439" s="143">
        <v>1</v>
      </c>
      <c r="J1439" s="143">
        <v>10656</v>
      </c>
      <c r="K1439" s="238">
        <v>10656</v>
      </c>
      <c r="L1439" s="118" t="s">
        <v>237</v>
      </c>
      <c r="M1439" s="118" t="s">
        <v>163</v>
      </c>
      <c r="N1439" s="25" t="str">
        <f>IF(AND('331-CT'!$E$7=TH!H1439,OR(L1439="331",M1439="331")),"331",IF(AND(OR(L1439="131",M1439="131"),H1439='131-CT'!$E$7),"131",""))</f>
        <v>131</v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121"/>
    </row>
    <row r="1440" spans="1:26" ht="15.75" customHeight="1">
      <c r="A1440" s="125" t="str">
        <f>IF(B1440&lt;&gt;"",IF(AND(B1440&gt;=_TM1,B1440&lt;=_TM2,OR(TH!L1440="1111",TH!M1440="1111")),TH!D1440,""),"")</f>
        <v/>
      </c>
      <c r="B1440" s="11">
        <f t="shared" si="114"/>
        <v>8</v>
      </c>
      <c r="C1440" s="115">
        <v>40781</v>
      </c>
      <c r="D1440" s="115" t="s">
        <v>923</v>
      </c>
      <c r="E1440" s="115">
        <v>40781</v>
      </c>
      <c r="F1440" s="116" t="s">
        <v>1016</v>
      </c>
      <c r="G1440" s="224" t="s">
        <v>1136</v>
      </c>
      <c r="H1440" s="4" t="s">
        <v>709</v>
      </c>
      <c r="I1440" s="141">
        <v>747</v>
      </c>
      <c r="J1440" s="141">
        <v>13939</v>
      </c>
      <c r="K1440" s="238">
        <v>10412433</v>
      </c>
      <c r="L1440" s="118" t="s">
        <v>237</v>
      </c>
      <c r="M1440" s="118" t="s">
        <v>163</v>
      </c>
      <c r="N1440" s="25" t="str">
        <f>IF(AND('331-CT'!$E$7=TH!H1440,OR(L1440="331",M1440="331")),"331",IF(AND(OR(L1440="131",M1440="131"),H1440='131-CT'!$E$7),"131",""))</f>
        <v>131</v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121"/>
    </row>
    <row r="1441" spans="1:26" ht="15.75" customHeight="1">
      <c r="A1441" s="125" t="str">
        <f>IF(B1441&lt;&gt;"",IF(AND(B1441&gt;=_TM1,B1441&lt;=_TM2,OR(TH!L1441="1111",TH!M1441="1111")),TH!D1441,""),"")</f>
        <v/>
      </c>
      <c r="B1441" s="11">
        <f t="shared" si="114"/>
        <v>8</v>
      </c>
      <c r="C1441" s="115">
        <v>40781</v>
      </c>
      <c r="D1441" s="115" t="s">
        <v>923</v>
      </c>
      <c r="E1441" s="115">
        <v>40781</v>
      </c>
      <c r="F1441" s="116" t="s">
        <v>1017</v>
      </c>
      <c r="G1441" s="224" t="s">
        <v>1136</v>
      </c>
      <c r="H1441" s="4" t="s">
        <v>709</v>
      </c>
      <c r="I1441" s="141">
        <v>70</v>
      </c>
      <c r="J1441" s="141">
        <v>15066</v>
      </c>
      <c r="K1441" s="238">
        <v>1054620</v>
      </c>
      <c r="L1441" s="118" t="s">
        <v>237</v>
      </c>
      <c r="M1441" s="118" t="s">
        <v>163</v>
      </c>
      <c r="N1441" s="25" t="str">
        <f>IF(AND('331-CT'!$E$7=TH!H1441,OR(L1441="331",M1441="331")),"331",IF(AND(OR(L1441="131",M1441="131"),H1441='131-CT'!$E$7),"131",""))</f>
        <v>131</v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/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121"/>
    </row>
    <row r="1442" spans="1:26" ht="15.75" customHeight="1">
      <c r="A1442" s="125" t="str">
        <f>IF(B1442&lt;&gt;"",IF(AND(B1442&gt;=_TM1,B1442&lt;=_TM2,OR(TH!L1442="1111",TH!M1442="1111")),TH!D1442,""),"")</f>
        <v/>
      </c>
      <c r="B1442" s="11">
        <f t="shared" si="114"/>
        <v>8</v>
      </c>
      <c r="C1442" s="115">
        <v>40781</v>
      </c>
      <c r="D1442" s="115" t="s">
        <v>923</v>
      </c>
      <c r="E1442" s="115">
        <v>40781</v>
      </c>
      <c r="F1442" s="116" t="s">
        <v>796</v>
      </c>
      <c r="G1442" s="224" t="s">
        <v>1136</v>
      </c>
      <c r="H1442" s="4" t="s">
        <v>709</v>
      </c>
      <c r="I1442" s="141"/>
      <c r="J1442" s="141"/>
      <c r="K1442" s="13">
        <v>2337147</v>
      </c>
      <c r="L1442" s="118" t="s">
        <v>237</v>
      </c>
      <c r="M1442" s="118" t="s">
        <v>707</v>
      </c>
      <c r="N1442" s="25" t="str">
        <f>IF(AND('331-CT'!$E$7=TH!H1442,OR(L1442="331",M1442="331")),"331",IF(AND(OR(L1442="131",M1442="131"),H1442='131-CT'!$E$7),"131",""))</f>
        <v>131</v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121"/>
    </row>
    <row r="1443" spans="1:26" ht="15.75" customHeight="1">
      <c r="A1443" s="125" t="str">
        <f>IF(B1443&lt;&gt;"",IF(AND(B1443&gt;=_TM1,B1443&lt;=_TM2,OR(TH!L1443="1111",TH!M1443="1111")),TH!D1443,""),"")</f>
        <v/>
      </c>
      <c r="B1443" s="11">
        <f t="shared" si="114"/>
        <v>8</v>
      </c>
      <c r="C1443" s="12">
        <f t="shared" ref="C1443:C1472" si="115">E1443</f>
        <v>40781</v>
      </c>
      <c r="D1443" s="12" t="s">
        <v>1071</v>
      </c>
      <c r="E1443" s="12">
        <v>40781</v>
      </c>
      <c r="F1443" s="15" t="s">
        <v>1003</v>
      </c>
      <c r="G1443" s="15"/>
      <c r="H1443" s="242" t="s">
        <v>1037</v>
      </c>
      <c r="I1443" s="141">
        <v>194</v>
      </c>
      <c r="J1443" s="141">
        <v>7523.8987351534788</v>
      </c>
      <c r="K1443" s="238">
        <f t="shared" ref="K1443:K1472" si="116">ROUND(I1443*J1443,0)</f>
        <v>1459636</v>
      </c>
      <c r="L1443" s="14" t="s">
        <v>155</v>
      </c>
      <c r="M1443" s="14" t="s">
        <v>153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121"/>
    </row>
    <row r="1444" spans="1:26" ht="15.75" customHeight="1">
      <c r="A1444" s="125" t="str">
        <f>IF(B1444&lt;&gt;"",IF(AND(B1444&gt;=_TM1,B1444&lt;=_TM2,OR(TH!L1444="1111",TH!M1444="1111")),TH!D1444,""),"")</f>
        <v/>
      </c>
      <c r="B1444" s="11">
        <f t="shared" si="114"/>
        <v>8</v>
      </c>
      <c r="C1444" s="12">
        <f t="shared" si="115"/>
        <v>40781</v>
      </c>
      <c r="D1444" s="12" t="s">
        <v>1071</v>
      </c>
      <c r="E1444" s="12">
        <v>40781</v>
      </c>
      <c r="F1444" s="15" t="s">
        <v>1004</v>
      </c>
      <c r="G1444" s="15"/>
      <c r="H1444" s="242" t="s">
        <v>1037</v>
      </c>
      <c r="I1444" s="141">
        <v>106</v>
      </c>
      <c r="J1444" s="141">
        <v>7394.3987351534788</v>
      </c>
      <c r="K1444" s="238">
        <f t="shared" si="116"/>
        <v>783806</v>
      </c>
      <c r="L1444" s="14" t="s">
        <v>155</v>
      </c>
      <c r="M1444" s="14" t="s">
        <v>153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/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121"/>
    </row>
    <row r="1445" spans="1:26" ht="15.75" customHeight="1">
      <c r="A1445" s="125" t="str">
        <f>IF(B1445&lt;&gt;"",IF(AND(B1445&gt;=_TM1,B1445&lt;=_TM2,OR(TH!L1445="1111",TH!M1445="1111")),TH!D1445,""),"")</f>
        <v/>
      </c>
      <c r="B1445" s="11">
        <f t="shared" si="114"/>
        <v>8</v>
      </c>
      <c r="C1445" s="12">
        <f t="shared" si="115"/>
        <v>40781</v>
      </c>
      <c r="D1445" s="12" t="s">
        <v>1071</v>
      </c>
      <c r="E1445" s="12">
        <v>40781</v>
      </c>
      <c r="F1445" s="15" t="s">
        <v>1005</v>
      </c>
      <c r="G1445" s="15"/>
      <c r="H1445" s="242" t="s">
        <v>1037</v>
      </c>
      <c r="I1445" s="141">
        <v>150</v>
      </c>
      <c r="J1445" s="141">
        <v>4446.8987351534779</v>
      </c>
      <c r="K1445" s="238">
        <f t="shared" si="116"/>
        <v>667035</v>
      </c>
      <c r="L1445" s="14" t="s">
        <v>155</v>
      </c>
      <c r="M1445" s="14" t="s">
        <v>153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/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121"/>
    </row>
    <row r="1446" spans="1:26" ht="15.75" customHeight="1">
      <c r="A1446" s="125" t="str">
        <f>IF(B1446&lt;&gt;"",IF(AND(B1446&gt;=_TM1,B1446&lt;=_TM2,OR(TH!L1446="1111",TH!M1446="1111")),TH!D1446,""),"")</f>
        <v/>
      </c>
      <c r="B1446" s="11">
        <f t="shared" si="114"/>
        <v>8</v>
      </c>
      <c r="C1446" s="12">
        <f t="shared" si="115"/>
        <v>40781</v>
      </c>
      <c r="D1446" s="12" t="s">
        <v>1071</v>
      </c>
      <c r="E1446" s="12">
        <v>40781</v>
      </c>
      <c r="F1446" s="15" t="s">
        <v>1006</v>
      </c>
      <c r="G1446" s="15"/>
      <c r="H1446" s="242" t="s">
        <v>1037</v>
      </c>
      <c r="I1446" s="141">
        <v>1</v>
      </c>
      <c r="J1446" s="141">
        <v>4447.3987351534788</v>
      </c>
      <c r="K1446" s="238">
        <f t="shared" si="116"/>
        <v>4447</v>
      </c>
      <c r="L1446" s="14" t="s">
        <v>155</v>
      </c>
      <c r="M1446" s="14" t="s">
        <v>153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/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121"/>
    </row>
    <row r="1447" spans="1:26" ht="15.75" customHeight="1">
      <c r="A1447" s="125" t="str">
        <f>IF(B1447&lt;&gt;"",IF(AND(B1447&gt;=_TM1,B1447&lt;=_TM2,OR(TH!L1447="1111",TH!M1447="1111")),TH!D1447,""),"")</f>
        <v/>
      </c>
      <c r="B1447" s="11">
        <f t="shared" si="114"/>
        <v>8</v>
      </c>
      <c r="C1447" s="12">
        <f t="shared" si="115"/>
        <v>40781</v>
      </c>
      <c r="D1447" s="12" t="s">
        <v>1071</v>
      </c>
      <c r="E1447" s="12">
        <v>40781</v>
      </c>
      <c r="F1447" s="15" t="s">
        <v>1007</v>
      </c>
      <c r="G1447" s="15"/>
      <c r="H1447" s="242" t="s">
        <v>1037</v>
      </c>
      <c r="I1447" s="141">
        <v>133</v>
      </c>
      <c r="J1447" s="141">
        <v>7394.3987351534779</v>
      </c>
      <c r="K1447" s="238">
        <f t="shared" si="116"/>
        <v>983455</v>
      </c>
      <c r="L1447" s="14" t="s">
        <v>155</v>
      </c>
      <c r="M1447" s="14" t="s">
        <v>153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121"/>
    </row>
    <row r="1448" spans="1:26" ht="15.75" customHeight="1">
      <c r="A1448" s="125" t="str">
        <f>IF(B1448&lt;&gt;"",IF(AND(B1448&gt;=_TM1,B1448&lt;=_TM2,OR(TH!L1448="1111",TH!M1448="1111")),TH!D1448,""),"")</f>
        <v/>
      </c>
      <c r="B1448" s="11">
        <f t="shared" si="114"/>
        <v>8</v>
      </c>
      <c r="C1448" s="12">
        <f t="shared" si="115"/>
        <v>40781</v>
      </c>
      <c r="D1448" s="12" t="s">
        <v>1071</v>
      </c>
      <c r="E1448" s="12">
        <v>40781</v>
      </c>
      <c r="F1448" s="15" t="s">
        <v>1008</v>
      </c>
      <c r="G1448" s="15"/>
      <c r="H1448" s="242" t="s">
        <v>1037</v>
      </c>
      <c r="I1448" s="141">
        <v>141</v>
      </c>
      <c r="J1448" s="141">
        <v>8346.3987351534779</v>
      </c>
      <c r="K1448" s="238">
        <f t="shared" si="116"/>
        <v>1176842</v>
      </c>
      <c r="L1448" s="14" t="s">
        <v>155</v>
      </c>
      <c r="M1448" s="14" t="s">
        <v>153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121"/>
    </row>
    <row r="1449" spans="1:26" ht="15.75" customHeight="1">
      <c r="A1449" s="125" t="str">
        <f>IF(B1449&lt;&gt;"",IF(AND(B1449&gt;=_TM1,B1449&lt;=_TM2,OR(TH!L1449="1111",TH!M1449="1111")),TH!D1449,""),"")</f>
        <v/>
      </c>
      <c r="B1449" s="11">
        <f t="shared" si="114"/>
        <v>8</v>
      </c>
      <c r="C1449" s="12">
        <f t="shared" si="115"/>
        <v>40781</v>
      </c>
      <c r="D1449" s="12" t="s">
        <v>1071</v>
      </c>
      <c r="E1449" s="12">
        <v>40781</v>
      </c>
      <c r="F1449" s="15" t="s">
        <v>1009</v>
      </c>
      <c r="G1449" s="15"/>
      <c r="H1449" s="242" t="s">
        <v>1037</v>
      </c>
      <c r="I1449" s="141">
        <v>292</v>
      </c>
      <c r="J1449" s="141">
        <v>8227.7617488521064</v>
      </c>
      <c r="K1449" s="238">
        <f t="shared" si="116"/>
        <v>2402506</v>
      </c>
      <c r="L1449" s="14" t="s">
        <v>155</v>
      </c>
      <c r="M1449" s="14" t="s">
        <v>153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121"/>
    </row>
    <row r="1450" spans="1:26" ht="15.75" customHeight="1">
      <c r="A1450" s="125" t="str">
        <f>IF(B1450&lt;&gt;"",IF(AND(B1450&gt;=_TM1,B1450&lt;=_TM2,OR(TH!L1450="1111",TH!M1450="1111")),TH!D1450,""),"")</f>
        <v/>
      </c>
      <c r="B1450" s="11">
        <f t="shared" si="114"/>
        <v>8</v>
      </c>
      <c r="C1450" s="12">
        <f t="shared" si="115"/>
        <v>40781</v>
      </c>
      <c r="D1450" s="12" t="s">
        <v>1071</v>
      </c>
      <c r="E1450" s="12">
        <v>40781</v>
      </c>
      <c r="F1450" s="15" t="s">
        <v>1010</v>
      </c>
      <c r="G1450" s="15"/>
      <c r="H1450" s="242" t="s">
        <v>1037</v>
      </c>
      <c r="I1450" s="141">
        <v>1</v>
      </c>
      <c r="J1450" s="141">
        <v>10374.398735153478</v>
      </c>
      <c r="K1450" s="238">
        <f t="shared" si="116"/>
        <v>10374</v>
      </c>
      <c r="L1450" s="14" t="s">
        <v>155</v>
      </c>
      <c r="M1450" s="14" t="s">
        <v>153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121"/>
    </row>
    <row r="1451" spans="1:26" ht="15.75" customHeight="1">
      <c r="A1451" s="125" t="str">
        <f>IF(B1451&lt;&gt;"",IF(AND(B1451&gt;=_TM1,B1451&lt;=_TM2,OR(TH!L1451="1111",TH!M1451="1111")),TH!D1451,""),"")</f>
        <v/>
      </c>
      <c r="B1451" s="11">
        <f t="shared" si="114"/>
        <v>8</v>
      </c>
      <c r="C1451" s="12">
        <f t="shared" si="115"/>
        <v>40781</v>
      </c>
      <c r="D1451" s="12" t="s">
        <v>1071</v>
      </c>
      <c r="E1451" s="12">
        <v>40781</v>
      </c>
      <c r="F1451" s="15" t="s">
        <v>1011</v>
      </c>
      <c r="G1451" s="15"/>
      <c r="H1451" s="242" t="s">
        <v>1037</v>
      </c>
      <c r="I1451" s="141">
        <v>1</v>
      </c>
      <c r="J1451" s="141">
        <v>9490.3987351534779</v>
      </c>
      <c r="K1451" s="238">
        <f t="shared" si="116"/>
        <v>9490</v>
      </c>
      <c r="L1451" s="14" t="s">
        <v>155</v>
      </c>
      <c r="M1451" s="14" t="s">
        <v>153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121"/>
    </row>
    <row r="1452" spans="1:26" ht="15.75" customHeight="1">
      <c r="A1452" s="125" t="str">
        <f>IF(B1452&lt;&gt;"",IF(AND(B1452&gt;=_TM1,B1452&lt;=_TM2,OR(TH!L1452="1111",TH!M1452="1111")),TH!D1452,""),"")</f>
        <v/>
      </c>
      <c r="B1452" s="11">
        <f t="shared" si="114"/>
        <v>8</v>
      </c>
      <c r="C1452" s="12">
        <f t="shared" si="115"/>
        <v>40781</v>
      </c>
      <c r="D1452" s="12" t="s">
        <v>1072</v>
      </c>
      <c r="E1452" s="12">
        <v>40781</v>
      </c>
      <c r="F1452" s="15" t="s">
        <v>1012</v>
      </c>
      <c r="G1452" s="15"/>
      <c r="H1452" s="242" t="s">
        <v>1037</v>
      </c>
      <c r="I1452" s="141">
        <v>1</v>
      </c>
      <c r="J1452" s="141">
        <v>10309.398735153478</v>
      </c>
      <c r="K1452" s="238">
        <f t="shared" si="116"/>
        <v>10309</v>
      </c>
      <c r="L1452" s="14" t="s">
        <v>155</v>
      </c>
      <c r="M1452" s="14" t="s">
        <v>153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/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121"/>
    </row>
    <row r="1453" spans="1:26" ht="15.75" customHeight="1">
      <c r="A1453" s="125" t="str">
        <f>IF(B1453&lt;&gt;"",IF(AND(B1453&gt;=_TM1,B1453&lt;=_TM2,OR(TH!L1453="1111",TH!M1453="1111")),TH!D1453,""),"")</f>
        <v/>
      </c>
      <c r="B1453" s="11">
        <f t="shared" si="114"/>
        <v>8</v>
      </c>
      <c r="C1453" s="12">
        <f t="shared" si="115"/>
        <v>40781</v>
      </c>
      <c r="D1453" s="12" t="s">
        <v>1072</v>
      </c>
      <c r="E1453" s="12">
        <v>40781</v>
      </c>
      <c r="F1453" s="15" t="s">
        <v>1013</v>
      </c>
      <c r="G1453" s="15"/>
      <c r="H1453" s="242" t="s">
        <v>1037</v>
      </c>
      <c r="I1453" s="141">
        <v>824</v>
      </c>
      <c r="J1453" s="141">
        <v>12949.898735153478</v>
      </c>
      <c r="K1453" s="238">
        <f t="shared" si="116"/>
        <v>10670717</v>
      </c>
      <c r="L1453" s="14" t="s">
        <v>155</v>
      </c>
      <c r="M1453" s="14" t="s">
        <v>153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121"/>
    </row>
    <row r="1454" spans="1:26" ht="15.75" customHeight="1">
      <c r="A1454" s="125" t="str">
        <f>IF(B1454&lt;&gt;"",IF(AND(B1454&gt;=_TM1,B1454&lt;=_TM2,OR(TH!L1454="1111",TH!M1454="1111")),TH!D1454,""),"")</f>
        <v/>
      </c>
      <c r="B1454" s="11">
        <f t="shared" si="114"/>
        <v>8</v>
      </c>
      <c r="C1454" s="12">
        <f t="shared" si="115"/>
        <v>40781</v>
      </c>
      <c r="D1454" s="12" t="s">
        <v>1072</v>
      </c>
      <c r="E1454" s="12">
        <v>40781</v>
      </c>
      <c r="F1454" s="15" t="s">
        <v>1014</v>
      </c>
      <c r="G1454" s="15"/>
      <c r="H1454" s="242" t="s">
        <v>1037</v>
      </c>
      <c r="I1454" s="141">
        <v>2</v>
      </c>
      <c r="J1454" s="141">
        <v>8346.3987351534797</v>
      </c>
      <c r="K1454" s="238">
        <f t="shared" si="116"/>
        <v>16693</v>
      </c>
      <c r="L1454" s="14" t="s">
        <v>155</v>
      </c>
      <c r="M1454" s="14" t="s">
        <v>153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/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121"/>
    </row>
    <row r="1455" spans="1:26" ht="15.75" customHeight="1">
      <c r="A1455" s="125" t="str">
        <f>IF(B1455&lt;&gt;"",IF(AND(B1455&gt;=_TM1,B1455&lt;=_TM2,OR(TH!L1455="1111",TH!M1455="1111")),TH!D1455,""),"")</f>
        <v/>
      </c>
      <c r="B1455" s="11">
        <f t="shared" si="114"/>
        <v>8</v>
      </c>
      <c r="C1455" s="12">
        <f t="shared" si="115"/>
        <v>40781</v>
      </c>
      <c r="D1455" s="12" t="s">
        <v>1072</v>
      </c>
      <c r="E1455" s="12">
        <v>40781</v>
      </c>
      <c r="F1455" s="15" t="s">
        <v>1015</v>
      </c>
      <c r="G1455" s="15"/>
      <c r="H1455" s="242" t="s">
        <v>1037</v>
      </c>
      <c r="I1455" s="141">
        <v>1</v>
      </c>
      <c r="J1455" s="141">
        <v>10374.398735153478</v>
      </c>
      <c r="K1455" s="238">
        <f t="shared" si="116"/>
        <v>10374</v>
      </c>
      <c r="L1455" s="14" t="s">
        <v>155</v>
      </c>
      <c r="M1455" s="14" t="s">
        <v>153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121"/>
    </row>
    <row r="1456" spans="1:26" ht="15.75" customHeight="1">
      <c r="A1456" s="125" t="str">
        <f>IF(B1456&lt;&gt;"",IF(AND(B1456&gt;=_TM1,B1456&lt;=_TM2,OR(TH!L1456="1111",TH!M1456="1111")),TH!D1456,""),"")</f>
        <v/>
      </c>
      <c r="B1456" s="11">
        <f t="shared" si="114"/>
        <v>8</v>
      </c>
      <c r="C1456" s="12">
        <f t="shared" si="115"/>
        <v>40781</v>
      </c>
      <c r="D1456" s="12" t="s">
        <v>1072</v>
      </c>
      <c r="E1456" s="12">
        <v>40781</v>
      </c>
      <c r="F1456" s="15" t="s">
        <v>1016</v>
      </c>
      <c r="G1456" s="15"/>
      <c r="H1456" s="242" t="s">
        <v>1037</v>
      </c>
      <c r="I1456" s="141">
        <v>747</v>
      </c>
      <c r="J1456" s="141">
        <v>11850.912791378378</v>
      </c>
      <c r="K1456" s="238">
        <f t="shared" si="116"/>
        <v>8852632</v>
      </c>
      <c r="L1456" s="14" t="s">
        <v>155</v>
      </c>
      <c r="M1456" s="14" t="s">
        <v>153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121"/>
    </row>
    <row r="1457" spans="1:26" ht="15.75" customHeight="1">
      <c r="A1457" s="125" t="str">
        <f>IF(B1457&lt;&gt;"",IF(AND(B1457&gt;=_TM1,B1457&lt;=_TM2,OR(TH!L1457="1111",TH!M1457="1111")),TH!D1457,""),"")</f>
        <v/>
      </c>
      <c r="B1457" s="11">
        <f t="shared" si="114"/>
        <v>8</v>
      </c>
      <c r="C1457" s="12">
        <f t="shared" si="115"/>
        <v>40781</v>
      </c>
      <c r="D1457" s="12" t="s">
        <v>1072</v>
      </c>
      <c r="E1457" s="12">
        <v>40781</v>
      </c>
      <c r="F1457" s="15" t="s">
        <v>1017</v>
      </c>
      <c r="G1457" s="15"/>
      <c r="H1457" s="242" t="s">
        <v>1037</v>
      </c>
      <c r="I1457" s="141">
        <v>70</v>
      </c>
      <c r="J1457" s="141">
        <v>13625.39873515348</v>
      </c>
      <c r="K1457" s="238">
        <f t="shared" si="116"/>
        <v>953778</v>
      </c>
      <c r="L1457" s="14" t="s">
        <v>155</v>
      </c>
      <c r="M1457" s="14" t="s">
        <v>153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121"/>
    </row>
    <row r="1458" spans="1:26" ht="15.75" customHeight="1">
      <c r="A1458" s="125" t="str">
        <f>IF(B1458&lt;&gt;"",IF(AND(B1458&gt;=_TM1,B1458&lt;=_TM2,OR(TH!L1458="1111",TH!M1458="1111")),TH!D1458,""),"")</f>
        <v/>
      </c>
      <c r="B1458" s="11">
        <f t="shared" si="114"/>
        <v>8</v>
      </c>
      <c r="C1458" s="12">
        <f t="shared" si="115"/>
        <v>40781</v>
      </c>
      <c r="D1458" s="12" t="s">
        <v>922</v>
      </c>
      <c r="E1458" s="12">
        <v>40781</v>
      </c>
      <c r="F1458" s="15" t="s">
        <v>1003</v>
      </c>
      <c r="G1458" s="15" t="s">
        <v>1135</v>
      </c>
      <c r="H1458" s="242" t="s">
        <v>709</v>
      </c>
      <c r="I1458" s="141">
        <v>194</v>
      </c>
      <c r="J1458" s="141">
        <v>7523.8987351534788</v>
      </c>
      <c r="K1458" s="238">
        <f t="shared" si="116"/>
        <v>1459636</v>
      </c>
      <c r="L1458" s="14" t="s">
        <v>161</v>
      </c>
      <c r="M1458" s="14" t="s">
        <v>155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121"/>
    </row>
    <row r="1459" spans="1:26" ht="15.75" customHeight="1">
      <c r="A1459" s="125" t="str">
        <f>IF(B1459&lt;&gt;"",IF(AND(B1459&gt;=_TM1,B1459&lt;=_TM2,OR(TH!L1459="1111",TH!M1459="1111")),TH!D1459,""),"")</f>
        <v/>
      </c>
      <c r="B1459" s="11">
        <f t="shared" si="114"/>
        <v>8</v>
      </c>
      <c r="C1459" s="12">
        <f t="shared" si="115"/>
        <v>40781</v>
      </c>
      <c r="D1459" s="12" t="s">
        <v>922</v>
      </c>
      <c r="E1459" s="12">
        <v>40781</v>
      </c>
      <c r="F1459" s="15" t="s">
        <v>1004</v>
      </c>
      <c r="G1459" s="15" t="s">
        <v>1135</v>
      </c>
      <c r="H1459" s="242" t="s">
        <v>709</v>
      </c>
      <c r="I1459" s="141">
        <v>106</v>
      </c>
      <c r="J1459" s="141">
        <v>7394.3987351534788</v>
      </c>
      <c r="K1459" s="238">
        <f t="shared" si="116"/>
        <v>783806</v>
      </c>
      <c r="L1459" s="14" t="s">
        <v>161</v>
      </c>
      <c r="M1459" s="14" t="s">
        <v>155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121"/>
    </row>
    <row r="1460" spans="1:26" ht="15.75" customHeight="1">
      <c r="A1460" s="125" t="str">
        <f>IF(B1460&lt;&gt;"",IF(AND(B1460&gt;=_TM1,B1460&lt;=_TM2,OR(TH!L1460="1111",TH!M1460="1111")),TH!D1460,""),"")</f>
        <v/>
      </c>
      <c r="B1460" s="11">
        <f t="shared" si="114"/>
        <v>8</v>
      </c>
      <c r="C1460" s="12">
        <f t="shared" si="115"/>
        <v>40781</v>
      </c>
      <c r="D1460" s="12" t="s">
        <v>922</v>
      </c>
      <c r="E1460" s="12">
        <v>40781</v>
      </c>
      <c r="F1460" s="15" t="s">
        <v>1005</v>
      </c>
      <c r="G1460" s="15" t="s">
        <v>1135</v>
      </c>
      <c r="H1460" s="242" t="s">
        <v>709</v>
      </c>
      <c r="I1460" s="141">
        <v>150</v>
      </c>
      <c r="J1460" s="141">
        <v>4446.8987351534779</v>
      </c>
      <c r="K1460" s="238">
        <f t="shared" si="116"/>
        <v>667035</v>
      </c>
      <c r="L1460" s="14" t="s">
        <v>161</v>
      </c>
      <c r="M1460" s="14" t="s">
        <v>155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121"/>
    </row>
    <row r="1461" spans="1:26" ht="15.75" customHeight="1">
      <c r="A1461" s="125" t="str">
        <f>IF(B1461&lt;&gt;"",IF(AND(B1461&gt;=_TM1,B1461&lt;=_TM2,OR(TH!L1461="1111",TH!M1461="1111")),TH!D1461,""),"")</f>
        <v/>
      </c>
      <c r="B1461" s="11">
        <f t="shared" si="114"/>
        <v>8</v>
      </c>
      <c r="C1461" s="12">
        <f t="shared" si="115"/>
        <v>40781</v>
      </c>
      <c r="D1461" s="12" t="s">
        <v>922</v>
      </c>
      <c r="E1461" s="12">
        <v>40781</v>
      </c>
      <c r="F1461" s="15" t="s">
        <v>1006</v>
      </c>
      <c r="G1461" s="15" t="s">
        <v>1135</v>
      </c>
      <c r="H1461" s="242" t="s">
        <v>709</v>
      </c>
      <c r="I1461" s="141">
        <v>1</v>
      </c>
      <c r="J1461" s="141">
        <v>4447.3987351534788</v>
      </c>
      <c r="K1461" s="238">
        <f t="shared" si="116"/>
        <v>4447</v>
      </c>
      <c r="L1461" s="14" t="s">
        <v>161</v>
      </c>
      <c r="M1461" s="14" t="s">
        <v>155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121"/>
    </row>
    <row r="1462" spans="1:26" ht="15.75" customHeight="1">
      <c r="A1462" s="125" t="str">
        <f>IF(B1462&lt;&gt;"",IF(AND(B1462&gt;=_TM1,B1462&lt;=_TM2,OR(TH!L1462="1111",TH!M1462="1111")),TH!D1462,""),"")</f>
        <v/>
      </c>
      <c r="B1462" s="11">
        <f t="shared" si="114"/>
        <v>8</v>
      </c>
      <c r="C1462" s="12">
        <f t="shared" si="115"/>
        <v>40781</v>
      </c>
      <c r="D1462" s="12" t="s">
        <v>922</v>
      </c>
      <c r="E1462" s="12">
        <v>40781</v>
      </c>
      <c r="F1462" s="15" t="s">
        <v>1007</v>
      </c>
      <c r="G1462" s="15" t="s">
        <v>1135</v>
      </c>
      <c r="H1462" s="242" t="s">
        <v>709</v>
      </c>
      <c r="I1462" s="141">
        <v>133</v>
      </c>
      <c r="J1462" s="141">
        <v>7394.3987351534779</v>
      </c>
      <c r="K1462" s="238">
        <f t="shared" si="116"/>
        <v>983455</v>
      </c>
      <c r="L1462" s="14" t="s">
        <v>161</v>
      </c>
      <c r="M1462" s="14" t="s">
        <v>155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121"/>
    </row>
    <row r="1463" spans="1:26" ht="15.75" customHeight="1">
      <c r="A1463" s="125" t="str">
        <f>IF(B1463&lt;&gt;"",IF(AND(B1463&gt;=_TM1,B1463&lt;=_TM2,OR(TH!L1463="1111",TH!M1463="1111")),TH!D1463,""),"")</f>
        <v/>
      </c>
      <c r="B1463" s="11">
        <f t="shared" si="114"/>
        <v>8</v>
      </c>
      <c r="C1463" s="12">
        <f t="shared" si="115"/>
        <v>40781</v>
      </c>
      <c r="D1463" s="12" t="s">
        <v>922</v>
      </c>
      <c r="E1463" s="12">
        <v>40781</v>
      </c>
      <c r="F1463" s="15" t="s">
        <v>1008</v>
      </c>
      <c r="G1463" s="15" t="s">
        <v>1135</v>
      </c>
      <c r="H1463" s="242" t="s">
        <v>709</v>
      </c>
      <c r="I1463" s="141">
        <v>141</v>
      </c>
      <c r="J1463" s="141">
        <v>8346.3987351534779</v>
      </c>
      <c r="K1463" s="238">
        <f t="shared" si="116"/>
        <v>1176842</v>
      </c>
      <c r="L1463" s="14" t="s">
        <v>161</v>
      </c>
      <c r="M1463" s="14" t="s">
        <v>155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121"/>
    </row>
    <row r="1464" spans="1:26" ht="15.75" customHeight="1">
      <c r="A1464" s="125" t="str">
        <f>IF(B1464&lt;&gt;"",IF(AND(B1464&gt;=_TM1,B1464&lt;=_TM2,OR(TH!L1464="1111",TH!M1464="1111")),TH!D1464,""),"")</f>
        <v/>
      </c>
      <c r="B1464" s="11">
        <f t="shared" si="114"/>
        <v>8</v>
      </c>
      <c r="C1464" s="12">
        <f t="shared" si="115"/>
        <v>40781</v>
      </c>
      <c r="D1464" s="12" t="s">
        <v>922</v>
      </c>
      <c r="E1464" s="12">
        <v>40781</v>
      </c>
      <c r="F1464" s="15" t="s">
        <v>1009</v>
      </c>
      <c r="G1464" s="15" t="s">
        <v>1135</v>
      </c>
      <c r="H1464" s="242" t="s">
        <v>709</v>
      </c>
      <c r="I1464" s="141">
        <v>292</v>
      </c>
      <c r="J1464" s="141">
        <v>8227.7617488521064</v>
      </c>
      <c r="K1464" s="238">
        <f t="shared" si="116"/>
        <v>2402506</v>
      </c>
      <c r="L1464" s="14" t="s">
        <v>161</v>
      </c>
      <c r="M1464" s="14" t="s">
        <v>155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121"/>
    </row>
    <row r="1465" spans="1:26" ht="15.75" customHeight="1">
      <c r="A1465" s="125" t="str">
        <f>IF(B1465&lt;&gt;"",IF(AND(B1465&gt;=_TM1,B1465&lt;=_TM2,OR(TH!L1465="1111",TH!M1465="1111")),TH!D1465,""),"")</f>
        <v/>
      </c>
      <c r="B1465" s="11">
        <f t="shared" si="114"/>
        <v>8</v>
      </c>
      <c r="C1465" s="12">
        <f t="shared" si="115"/>
        <v>40781</v>
      </c>
      <c r="D1465" s="12" t="s">
        <v>923</v>
      </c>
      <c r="E1465" s="12">
        <v>40781</v>
      </c>
      <c r="F1465" s="15" t="s">
        <v>1010</v>
      </c>
      <c r="G1465" s="15" t="s">
        <v>1136</v>
      </c>
      <c r="H1465" s="242" t="s">
        <v>709</v>
      </c>
      <c r="I1465" s="141">
        <v>1</v>
      </c>
      <c r="J1465" s="141">
        <v>10374.398735153478</v>
      </c>
      <c r="K1465" s="238">
        <f t="shared" si="116"/>
        <v>10374</v>
      </c>
      <c r="L1465" s="14" t="s">
        <v>161</v>
      </c>
      <c r="M1465" s="14" t="s">
        <v>155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121"/>
    </row>
    <row r="1466" spans="1:26" ht="15.75" customHeight="1">
      <c r="A1466" s="125" t="str">
        <f>IF(B1466&lt;&gt;"",IF(AND(B1466&gt;=_TM1,B1466&lt;=_TM2,OR(TH!L1466="1111",TH!M1466="1111")),TH!D1466,""),"")</f>
        <v/>
      </c>
      <c r="B1466" s="11">
        <f t="shared" si="114"/>
        <v>8</v>
      </c>
      <c r="C1466" s="12">
        <f t="shared" si="115"/>
        <v>40781</v>
      </c>
      <c r="D1466" s="12" t="s">
        <v>923</v>
      </c>
      <c r="E1466" s="12">
        <v>40781</v>
      </c>
      <c r="F1466" s="15" t="s">
        <v>1011</v>
      </c>
      <c r="G1466" s="15" t="s">
        <v>1136</v>
      </c>
      <c r="H1466" s="242" t="s">
        <v>709</v>
      </c>
      <c r="I1466" s="141">
        <v>1</v>
      </c>
      <c r="J1466" s="141">
        <v>9490.3987351534779</v>
      </c>
      <c r="K1466" s="238">
        <f t="shared" si="116"/>
        <v>9490</v>
      </c>
      <c r="L1466" s="14" t="s">
        <v>161</v>
      </c>
      <c r="M1466" s="14" t="s">
        <v>155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>x</v>
      </c>
      <c r="Z1466" s="121"/>
    </row>
    <row r="1467" spans="1:26" ht="15.75" customHeight="1">
      <c r="A1467" s="125" t="str">
        <f>IF(B1467&lt;&gt;"",IF(AND(B1467&gt;=_TM1,B1467&lt;=_TM2,OR(TH!L1467="1111",TH!M1467="1111")),TH!D1467,""),"")</f>
        <v/>
      </c>
      <c r="B1467" s="11">
        <f t="shared" si="114"/>
        <v>8</v>
      </c>
      <c r="C1467" s="12">
        <f t="shared" si="115"/>
        <v>40781</v>
      </c>
      <c r="D1467" s="12" t="s">
        <v>923</v>
      </c>
      <c r="E1467" s="12">
        <v>40781</v>
      </c>
      <c r="F1467" s="15" t="s">
        <v>1012</v>
      </c>
      <c r="G1467" s="15" t="s">
        <v>1136</v>
      </c>
      <c r="H1467" s="242" t="s">
        <v>709</v>
      </c>
      <c r="I1467" s="141">
        <v>1</v>
      </c>
      <c r="J1467" s="141">
        <v>10309.398735153478</v>
      </c>
      <c r="K1467" s="238">
        <f t="shared" si="116"/>
        <v>10309</v>
      </c>
      <c r="L1467" s="14" t="s">
        <v>161</v>
      </c>
      <c r="M1467" s="14" t="s">
        <v>155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>x</v>
      </c>
      <c r="Z1467" s="121"/>
    </row>
    <row r="1468" spans="1:26" ht="15.75" customHeight="1">
      <c r="A1468" s="125" t="str">
        <f>IF(B1468&lt;&gt;"",IF(AND(B1468&gt;=_TM1,B1468&lt;=_TM2,OR(TH!L1468="1111",TH!M1468="1111")),TH!D1468,""),"")</f>
        <v/>
      </c>
      <c r="B1468" s="11">
        <f t="shared" si="114"/>
        <v>8</v>
      </c>
      <c r="C1468" s="12">
        <f t="shared" si="115"/>
        <v>40781</v>
      </c>
      <c r="D1468" s="12" t="s">
        <v>923</v>
      </c>
      <c r="E1468" s="12">
        <v>40781</v>
      </c>
      <c r="F1468" s="15" t="s">
        <v>1013</v>
      </c>
      <c r="G1468" s="15" t="s">
        <v>1136</v>
      </c>
      <c r="H1468" s="242" t="s">
        <v>709</v>
      </c>
      <c r="I1468" s="141">
        <v>824</v>
      </c>
      <c r="J1468" s="141">
        <v>12949.898735153478</v>
      </c>
      <c r="K1468" s="238">
        <f t="shared" si="116"/>
        <v>10670717</v>
      </c>
      <c r="L1468" s="14" t="s">
        <v>161</v>
      </c>
      <c r="M1468" s="14" t="s">
        <v>155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>x</v>
      </c>
      <c r="Z1468" s="121"/>
    </row>
    <row r="1469" spans="1:26" ht="15.75" customHeight="1">
      <c r="A1469" s="125" t="str">
        <f>IF(B1469&lt;&gt;"",IF(AND(B1469&gt;=_TM1,B1469&lt;=_TM2,OR(TH!L1469="1111",TH!M1469="1111")),TH!D1469,""),"")</f>
        <v/>
      </c>
      <c r="B1469" s="11">
        <f t="shared" si="114"/>
        <v>8</v>
      </c>
      <c r="C1469" s="12">
        <f t="shared" si="115"/>
        <v>40781</v>
      </c>
      <c r="D1469" s="12" t="s">
        <v>923</v>
      </c>
      <c r="E1469" s="12">
        <v>40781</v>
      </c>
      <c r="F1469" s="15" t="s">
        <v>1014</v>
      </c>
      <c r="G1469" s="15" t="s">
        <v>1136</v>
      </c>
      <c r="H1469" s="242" t="s">
        <v>709</v>
      </c>
      <c r="I1469" s="141">
        <v>2</v>
      </c>
      <c r="J1469" s="141">
        <v>8346.3987351534797</v>
      </c>
      <c r="K1469" s="238">
        <f t="shared" si="116"/>
        <v>16693</v>
      </c>
      <c r="L1469" s="14" t="s">
        <v>161</v>
      </c>
      <c r="M1469" s="14" t="s">
        <v>155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>x</v>
      </c>
      <c r="Z1469" s="121"/>
    </row>
    <row r="1470" spans="1:26" ht="15.75" customHeight="1">
      <c r="A1470" s="125" t="str">
        <f>IF(B1470&lt;&gt;"",IF(AND(B1470&gt;=_TM1,B1470&lt;=_TM2,OR(TH!L1470="1111",TH!M1470="1111")),TH!D1470,""),"")</f>
        <v/>
      </c>
      <c r="B1470" s="11">
        <f t="shared" si="114"/>
        <v>8</v>
      </c>
      <c r="C1470" s="12">
        <f t="shared" si="115"/>
        <v>40781</v>
      </c>
      <c r="D1470" s="12" t="s">
        <v>923</v>
      </c>
      <c r="E1470" s="12">
        <v>40781</v>
      </c>
      <c r="F1470" s="15" t="s">
        <v>1015</v>
      </c>
      <c r="G1470" s="15" t="s">
        <v>1136</v>
      </c>
      <c r="H1470" s="242" t="s">
        <v>709</v>
      </c>
      <c r="I1470" s="141">
        <v>1</v>
      </c>
      <c r="J1470" s="141">
        <v>10374.398735153478</v>
      </c>
      <c r="K1470" s="238">
        <f t="shared" si="116"/>
        <v>10374</v>
      </c>
      <c r="L1470" s="14" t="s">
        <v>161</v>
      </c>
      <c r="M1470" s="14" t="s">
        <v>155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>x</v>
      </c>
      <c r="Z1470" s="121"/>
    </row>
    <row r="1471" spans="1:26" ht="15.75" customHeight="1">
      <c r="A1471" s="125" t="str">
        <f>IF(B1471&lt;&gt;"",IF(AND(B1471&gt;=_TM1,B1471&lt;=_TM2,OR(TH!L1471="1111",TH!M1471="1111")),TH!D1471,""),"")</f>
        <v/>
      </c>
      <c r="B1471" s="11">
        <f t="shared" si="114"/>
        <v>8</v>
      </c>
      <c r="C1471" s="12">
        <f t="shared" si="115"/>
        <v>40781</v>
      </c>
      <c r="D1471" s="12" t="s">
        <v>923</v>
      </c>
      <c r="E1471" s="12">
        <v>40781</v>
      </c>
      <c r="F1471" s="15" t="s">
        <v>1016</v>
      </c>
      <c r="G1471" s="15" t="s">
        <v>1136</v>
      </c>
      <c r="H1471" s="242" t="s">
        <v>709</v>
      </c>
      <c r="I1471" s="141">
        <v>747</v>
      </c>
      <c r="J1471" s="141">
        <v>11850.912791378378</v>
      </c>
      <c r="K1471" s="238">
        <f t="shared" si="116"/>
        <v>8852632</v>
      </c>
      <c r="L1471" s="14" t="s">
        <v>161</v>
      </c>
      <c r="M1471" s="14" t="s">
        <v>155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>x</v>
      </c>
      <c r="Z1471" s="121"/>
    </row>
    <row r="1472" spans="1:26" ht="15.75" customHeight="1">
      <c r="A1472" s="125" t="str">
        <f>IF(B1472&lt;&gt;"",IF(AND(B1472&gt;=_TM1,B1472&lt;=_TM2,OR(TH!L1472="1111",TH!M1472="1111")),TH!D1472,""),"")</f>
        <v/>
      </c>
      <c r="B1472" s="11">
        <f t="shared" si="114"/>
        <v>8</v>
      </c>
      <c r="C1472" s="12">
        <f t="shared" si="115"/>
        <v>40781</v>
      </c>
      <c r="D1472" s="12" t="s">
        <v>923</v>
      </c>
      <c r="E1472" s="12">
        <v>40781</v>
      </c>
      <c r="F1472" s="15" t="s">
        <v>1017</v>
      </c>
      <c r="G1472" s="15" t="s">
        <v>1136</v>
      </c>
      <c r="H1472" s="242" t="s">
        <v>709</v>
      </c>
      <c r="I1472" s="141">
        <v>70</v>
      </c>
      <c r="J1472" s="141">
        <v>13625.39873515348</v>
      </c>
      <c r="K1472" s="238">
        <f t="shared" si="116"/>
        <v>953778</v>
      </c>
      <c r="L1472" s="14" t="s">
        <v>161</v>
      </c>
      <c r="M1472" s="14" t="s">
        <v>155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>x</v>
      </c>
      <c r="Z1472" s="121"/>
    </row>
    <row r="1473" spans="1:26" ht="15.75" customHeight="1">
      <c r="A1473" s="125" t="str">
        <f>IF(B1473&lt;&gt;"",IF(AND(B1473&gt;=_TM1,B1473&lt;=_TM2,OR(TH!L1473="1111",TH!M1473="1111")),TH!D1473,""),"")</f>
        <v/>
      </c>
      <c r="B1473" s="11">
        <f t="shared" si="114"/>
        <v>8</v>
      </c>
      <c r="C1473" s="115">
        <v>40782</v>
      </c>
      <c r="D1473" s="115" t="s">
        <v>924</v>
      </c>
      <c r="E1473" s="115">
        <v>40782</v>
      </c>
      <c r="F1473" s="116" t="s">
        <v>1018</v>
      </c>
      <c r="G1473" s="224" t="s">
        <v>1137</v>
      </c>
      <c r="H1473" s="4" t="s">
        <v>709</v>
      </c>
      <c r="I1473" s="141">
        <v>126</v>
      </c>
      <c r="J1473" s="141">
        <v>16910</v>
      </c>
      <c r="K1473" s="238">
        <v>2130660</v>
      </c>
      <c r="L1473" s="118" t="s">
        <v>237</v>
      </c>
      <c r="M1473" s="118" t="s">
        <v>163</v>
      </c>
      <c r="N1473" s="25" t="str">
        <f>IF(AND('331-CT'!$E$7=TH!H1473,OR(L1473="331",M1473="331")),"331",IF(AND(OR(L1473="131",M1473="131"),H1473='131-CT'!$E$7),"131",""))</f>
        <v>131</v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>x</v>
      </c>
      <c r="Z1473" s="121"/>
    </row>
    <row r="1474" spans="1:26" ht="15.75" customHeight="1">
      <c r="A1474" s="125" t="str">
        <f>IF(B1474&lt;&gt;"",IF(AND(B1474&gt;=_TM1,B1474&lt;=_TM2,OR(TH!L1474="1111",TH!M1474="1111")),TH!D1474,""),"")</f>
        <v/>
      </c>
      <c r="B1474" s="11">
        <f t="shared" si="114"/>
        <v>8</v>
      </c>
      <c r="C1474" s="115">
        <v>40782</v>
      </c>
      <c r="D1474" s="115" t="s">
        <v>924</v>
      </c>
      <c r="E1474" s="115">
        <v>40782</v>
      </c>
      <c r="F1474" s="116" t="s">
        <v>1019</v>
      </c>
      <c r="G1474" s="224" t="s">
        <v>1137</v>
      </c>
      <c r="H1474" s="4" t="s">
        <v>709</v>
      </c>
      <c r="I1474" s="141">
        <v>166</v>
      </c>
      <c r="J1474" s="141">
        <v>15549</v>
      </c>
      <c r="K1474" s="238">
        <v>2581134</v>
      </c>
      <c r="L1474" s="118" t="s">
        <v>237</v>
      </c>
      <c r="M1474" s="118" t="s">
        <v>163</v>
      </c>
      <c r="N1474" s="25" t="str">
        <f>IF(AND('331-CT'!$E$7=TH!H1474,OR(L1474="331",M1474="331")),"331",IF(AND(OR(L1474="131",M1474="131"),H1474='131-CT'!$E$7),"131",""))</f>
        <v>131</v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>x</v>
      </c>
      <c r="Z1474" s="121"/>
    </row>
    <row r="1475" spans="1:26" ht="15.75" customHeight="1">
      <c r="A1475" s="125" t="str">
        <f>IF(B1475&lt;&gt;"",IF(AND(B1475&gt;=_TM1,B1475&lt;=_TM2,OR(TH!L1475="1111",TH!M1475="1111")),TH!D1475,""),"")</f>
        <v/>
      </c>
      <c r="B1475" s="11">
        <f t="shared" si="114"/>
        <v>8</v>
      </c>
      <c r="C1475" s="115">
        <v>40782</v>
      </c>
      <c r="D1475" s="115" t="s">
        <v>924</v>
      </c>
      <c r="E1475" s="115">
        <v>40782</v>
      </c>
      <c r="F1475" s="116" t="s">
        <v>1020</v>
      </c>
      <c r="G1475" s="224" t="s">
        <v>1137</v>
      </c>
      <c r="H1475" s="4" t="s">
        <v>709</v>
      </c>
      <c r="I1475" s="141">
        <v>9</v>
      </c>
      <c r="J1475" s="141">
        <v>14981</v>
      </c>
      <c r="K1475" s="238">
        <v>134829</v>
      </c>
      <c r="L1475" s="118" t="s">
        <v>237</v>
      </c>
      <c r="M1475" s="118" t="s">
        <v>163</v>
      </c>
      <c r="N1475" s="25" t="str">
        <f>IF(AND('331-CT'!$E$7=TH!H1475,OR(L1475="331",M1475="331")),"331",IF(AND(OR(L1475="131",M1475="131"),H1475='131-CT'!$E$7),"131",""))</f>
        <v>131</v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>x</v>
      </c>
      <c r="Z1475" s="121"/>
    </row>
    <row r="1476" spans="1:26" ht="15.75" customHeight="1">
      <c r="A1476" s="125" t="str">
        <f>IF(B1476&lt;&gt;"",IF(AND(B1476&gt;=_TM1,B1476&lt;=_TM2,OR(TH!L1476="1111",TH!M1476="1111")),TH!D1476,""),"")</f>
        <v/>
      </c>
      <c r="B1476" s="11">
        <f t="shared" si="114"/>
        <v>8</v>
      </c>
      <c r="C1476" s="115">
        <v>40782</v>
      </c>
      <c r="D1476" s="115" t="s">
        <v>924</v>
      </c>
      <c r="E1476" s="115">
        <v>40782</v>
      </c>
      <c r="F1476" s="116" t="s">
        <v>1003</v>
      </c>
      <c r="G1476" s="224" t="s">
        <v>1137</v>
      </c>
      <c r="H1476" s="4" t="s">
        <v>709</v>
      </c>
      <c r="I1476" s="141">
        <v>240</v>
      </c>
      <c r="J1476" s="141">
        <v>9263</v>
      </c>
      <c r="K1476" s="238">
        <v>2223120</v>
      </c>
      <c r="L1476" s="118" t="s">
        <v>237</v>
      </c>
      <c r="M1476" s="118" t="s">
        <v>163</v>
      </c>
      <c r="N1476" s="25" t="str">
        <f>IF(AND('331-CT'!$E$7=TH!H1476,OR(L1476="331",M1476="331")),"331",IF(AND(OR(L1476="131",M1476="131"),H1476='131-CT'!$E$7),"131",""))</f>
        <v>131</v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>x</v>
      </c>
      <c r="Z1476" s="121"/>
    </row>
    <row r="1477" spans="1:26" ht="15.75" customHeight="1">
      <c r="A1477" s="125" t="str">
        <f>IF(B1477&lt;&gt;"",IF(AND(B1477&gt;=_TM1,B1477&lt;=_TM2,OR(TH!L1477="1111",TH!M1477="1111")),TH!D1477,""),"")</f>
        <v/>
      </c>
      <c r="B1477" s="11">
        <f t="shared" si="114"/>
        <v>8</v>
      </c>
      <c r="C1477" s="115">
        <v>40782</v>
      </c>
      <c r="D1477" s="115" t="s">
        <v>924</v>
      </c>
      <c r="E1477" s="115">
        <v>40782</v>
      </c>
      <c r="F1477" s="116" t="s">
        <v>1021</v>
      </c>
      <c r="G1477" s="224" t="s">
        <v>1137</v>
      </c>
      <c r="H1477" s="4" t="s">
        <v>709</v>
      </c>
      <c r="I1477" s="143">
        <v>86</v>
      </c>
      <c r="J1477" s="143">
        <v>7806</v>
      </c>
      <c r="K1477" s="238">
        <v>671316</v>
      </c>
      <c r="L1477" s="118" t="s">
        <v>237</v>
      </c>
      <c r="M1477" s="118" t="s">
        <v>163</v>
      </c>
      <c r="N1477" s="25" t="str">
        <f>IF(AND('331-CT'!$E$7=TH!H1477,OR(L1477="331",M1477="331")),"331",IF(AND(OR(L1477="131",M1477="131"),H1477='131-CT'!$E$7),"131",""))</f>
        <v>131</v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>x</v>
      </c>
      <c r="Z1477" s="121"/>
    </row>
    <row r="1478" spans="1:26" ht="15.75" customHeight="1">
      <c r="A1478" s="125" t="str">
        <f>IF(B1478&lt;&gt;"",IF(AND(B1478&gt;=_TM1,B1478&lt;=_TM2,OR(TH!L1478="1111",TH!M1478="1111")),TH!D1478,""),"")</f>
        <v/>
      </c>
      <c r="B1478" s="11">
        <f t="shared" si="114"/>
        <v>8</v>
      </c>
      <c r="C1478" s="115">
        <v>40782</v>
      </c>
      <c r="D1478" s="115" t="s">
        <v>924</v>
      </c>
      <c r="E1478" s="115">
        <v>40782</v>
      </c>
      <c r="F1478" s="116" t="s">
        <v>1022</v>
      </c>
      <c r="G1478" s="224" t="s">
        <v>1137</v>
      </c>
      <c r="H1478" s="4" t="s">
        <v>709</v>
      </c>
      <c r="I1478" s="143">
        <v>240</v>
      </c>
      <c r="J1478" s="143">
        <v>2588</v>
      </c>
      <c r="K1478" s="238">
        <v>621120</v>
      </c>
      <c r="L1478" s="118" t="s">
        <v>237</v>
      </c>
      <c r="M1478" s="118" t="s">
        <v>163</v>
      </c>
      <c r="N1478" s="25" t="str">
        <f>IF(AND('331-CT'!$E$7=TH!H1478,OR(L1478="331",M1478="331")),"331",IF(AND(OR(L1478="131",M1478="131"),H1478='131-CT'!$E$7),"131",""))</f>
        <v>131</v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>x</v>
      </c>
      <c r="Z1478" s="121"/>
    </row>
    <row r="1479" spans="1:26" ht="15.75" customHeight="1">
      <c r="A1479" s="125" t="str">
        <f>IF(B1479&lt;&gt;"",IF(AND(B1479&gt;=_TM1,B1479&lt;=_TM2,OR(TH!L1479="1111",TH!M1479="1111")),TH!D1479,""),"")</f>
        <v/>
      </c>
      <c r="B1479" s="11">
        <f t="shared" si="114"/>
        <v>8</v>
      </c>
      <c r="C1479" s="115">
        <v>40782</v>
      </c>
      <c r="D1479" s="115" t="s">
        <v>924</v>
      </c>
      <c r="E1479" s="115">
        <v>40782</v>
      </c>
      <c r="F1479" s="116" t="s">
        <v>1023</v>
      </c>
      <c r="G1479" s="224" t="s">
        <v>1137</v>
      </c>
      <c r="H1479" s="4" t="s">
        <v>709</v>
      </c>
      <c r="I1479" s="141">
        <v>86</v>
      </c>
      <c r="J1479" s="141">
        <v>2334</v>
      </c>
      <c r="K1479" s="238">
        <v>200724</v>
      </c>
      <c r="L1479" s="118" t="s">
        <v>237</v>
      </c>
      <c r="M1479" s="118" t="s">
        <v>163</v>
      </c>
      <c r="N1479" s="25" t="str">
        <f>IF(AND('331-CT'!$E$7=TH!H1479,OR(L1479="331",M1479="331")),"331",IF(AND(OR(L1479="131",M1479="131"),H1479='131-CT'!$E$7),"131",""))</f>
        <v>131</v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>x</v>
      </c>
      <c r="Z1479" s="121"/>
    </row>
    <row r="1480" spans="1:26" ht="15.75" customHeight="1">
      <c r="A1480" s="125" t="str">
        <f>IF(B1480&lt;&gt;"",IF(AND(B1480&gt;=_TM1,B1480&lt;=_TM2,OR(TH!L1480="1111",TH!M1480="1111")),TH!D1480,""),"")</f>
        <v/>
      </c>
      <c r="B1480" s="11">
        <f t="shared" si="114"/>
        <v>8</v>
      </c>
      <c r="C1480" s="115">
        <v>40782</v>
      </c>
      <c r="D1480" s="115" t="s">
        <v>924</v>
      </c>
      <c r="E1480" s="115">
        <v>40782</v>
      </c>
      <c r="F1480" s="116" t="s">
        <v>796</v>
      </c>
      <c r="G1480" s="224" t="s">
        <v>1137</v>
      </c>
      <c r="H1480" s="4" t="s">
        <v>709</v>
      </c>
      <c r="I1480" s="141"/>
      <c r="J1480" s="141"/>
      <c r="K1480" s="13">
        <f>856290+1</f>
        <v>856291</v>
      </c>
      <c r="L1480" s="118" t="s">
        <v>237</v>
      </c>
      <c r="M1480" s="118" t="s">
        <v>707</v>
      </c>
      <c r="N1480" s="25" t="str">
        <f>IF(AND('331-CT'!$E$7=TH!H1480,OR(L1480="331",M1480="331")),"331",IF(AND(OR(L1480="131",M1480="131"),H1480='131-CT'!$E$7),"131",""))</f>
        <v>131</v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>x</v>
      </c>
      <c r="Z1480" s="121"/>
    </row>
    <row r="1481" spans="1:26" ht="15.75" customHeight="1">
      <c r="A1481" s="125" t="str">
        <f>IF(B1481&lt;&gt;"",IF(AND(B1481&gt;=_TM1,B1481&lt;=_TM2,OR(TH!L1481="1111",TH!M1481="1111")),TH!D1481,""),"")</f>
        <v/>
      </c>
      <c r="B1481" s="11">
        <f t="shared" si="114"/>
        <v>8</v>
      </c>
      <c r="C1481" s="12">
        <f t="shared" ref="C1481:C1494" si="117">E1481</f>
        <v>40782</v>
      </c>
      <c r="D1481" s="12" t="s">
        <v>1073</v>
      </c>
      <c r="E1481" s="12">
        <v>40782</v>
      </c>
      <c r="F1481" s="15" t="s">
        <v>1018</v>
      </c>
      <c r="G1481" s="15"/>
      <c r="H1481" s="242" t="s">
        <v>1037</v>
      </c>
      <c r="I1481" s="141">
        <v>126</v>
      </c>
      <c r="J1481" s="141">
        <v>15399.287624042368</v>
      </c>
      <c r="K1481" s="238">
        <f t="shared" ref="K1481:K1494" si="118">ROUND(I1481*J1481,0)</f>
        <v>1940310</v>
      </c>
      <c r="L1481" s="14" t="s">
        <v>155</v>
      </c>
      <c r="M1481" s="14" t="s">
        <v>153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>x</v>
      </c>
      <c r="Z1481" s="121"/>
    </row>
    <row r="1482" spans="1:26" ht="15.75" customHeight="1">
      <c r="A1482" s="125" t="str">
        <f>IF(B1482&lt;&gt;"",IF(AND(B1482&gt;=_TM1,B1482&lt;=_TM2,OR(TH!L1482="1111",TH!M1482="1111")),TH!D1482,""),"")</f>
        <v/>
      </c>
      <c r="B1482" s="11">
        <f t="shared" si="114"/>
        <v>8</v>
      </c>
      <c r="C1482" s="12">
        <f t="shared" si="117"/>
        <v>40782</v>
      </c>
      <c r="D1482" s="12" t="s">
        <v>1073</v>
      </c>
      <c r="E1482" s="12">
        <v>40782</v>
      </c>
      <c r="F1482" s="15" t="s">
        <v>1019</v>
      </c>
      <c r="G1482" s="15"/>
      <c r="H1482" s="242" t="s">
        <v>1037</v>
      </c>
      <c r="I1482" s="141">
        <v>166</v>
      </c>
      <c r="J1482" s="141">
        <v>14237.398735153474</v>
      </c>
      <c r="K1482" s="238">
        <f t="shared" si="118"/>
        <v>2363408</v>
      </c>
      <c r="L1482" s="14" t="s">
        <v>155</v>
      </c>
      <c r="M1482" s="14" t="s">
        <v>153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>x</v>
      </c>
      <c r="Z1482" s="121"/>
    </row>
    <row r="1483" spans="1:26" ht="15.75" customHeight="1">
      <c r="A1483" s="125" t="str">
        <f>IF(B1483&lt;&gt;"",IF(AND(B1483&gt;=_TM1,B1483&lt;=_TM2,OR(TH!L1483="1111",TH!M1483="1111")),TH!D1483,""),"")</f>
        <v/>
      </c>
      <c r="B1483" s="11">
        <f t="shared" si="114"/>
        <v>8</v>
      </c>
      <c r="C1483" s="12">
        <f t="shared" si="117"/>
        <v>40782</v>
      </c>
      <c r="D1483" s="12" t="s">
        <v>1073</v>
      </c>
      <c r="E1483" s="12">
        <v>40782</v>
      </c>
      <c r="F1483" s="15" t="s">
        <v>1020</v>
      </c>
      <c r="G1483" s="15"/>
      <c r="H1483" s="242" t="s">
        <v>1037</v>
      </c>
      <c r="I1483" s="141">
        <v>9</v>
      </c>
      <c r="J1483" s="141">
        <v>12825.39873515348</v>
      </c>
      <c r="K1483" s="238">
        <f t="shared" si="118"/>
        <v>115429</v>
      </c>
      <c r="L1483" s="14" t="s">
        <v>155</v>
      </c>
      <c r="M1483" s="14" t="s">
        <v>153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>x</v>
      </c>
      <c r="Z1483" s="121"/>
    </row>
    <row r="1484" spans="1:26" ht="15.75" customHeight="1">
      <c r="A1484" s="125" t="str">
        <f>IF(B1484&lt;&gt;"",IF(AND(B1484&gt;=_TM1,B1484&lt;=_TM2,OR(TH!L1484="1111",TH!M1484="1111")),TH!D1484,""),"")</f>
        <v/>
      </c>
      <c r="B1484" s="11">
        <f t="shared" si="114"/>
        <v>8</v>
      </c>
      <c r="C1484" s="12">
        <f t="shared" si="117"/>
        <v>40782</v>
      </c>
      <c r="D1484" s="12" t="s">
        <v>1073</v>
      </c>
      <c r="E1484" s="12">
        <v>40782</v>
      </c>
      <c r="F1484" s="15" t="s">
        <v>1003</v>
      </c>
      <c r="G1484" s="15"/>
      <c r="H1484" s="242" t="s">
        <v>1037</v>
      </c>
      <c r="I1484" s="141">
        <v>240</v>
      </c>
      <c r="J1484" s="141">
        <v>7523.8987351534779</v>
      </c>
      <c r="K1484" s="238">
        <f t="shared" si="118"/>
        <v>1805736</v>
      </c>
      <c r="L1484" s="14" t="s">
        <v>155</v>
      </c>
      <c r="M1484" s="14" t="s">
        <v>153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>x</v>
      </c>
      <c r="Z1484" s="121"/>
    </row>
    <row r="1485" spans="1:26" ht="15.75" customHeight="1">
      <c r="A1485" s="125" t="str">
        <f>IF(B1485&lt;&gt;"",IF(AND(B1485&gt;=_TM1,B1485&lt;=_TM2,OR(TH!L1485="1111",TH!M1485="1111")),TH!D1485,""),"")</f>
        <v/>
      </c>
      <c r="B1485" s="11">
        <f t="shared" si="114"/>
        <v>8</v>
      </c>
      <c r="C1485" s="12">
        <f t="shared" si="117"/>
        <v>40782</v>
      </c>
      <c r="D1485" s="12" t="s">
        <v>1073</v>
      </c>
      <c r="E1485" s="12">
        <v>40782</v>
      </c>
      <c r="F1485" s="15" t="s">
        <v>1021</v>
      </c>
      <c r="G1485" s="15"/>
      <c r="H1485" s="242" t="s">
        <v>1037</v>
      </c>
      <c r="I1485" s="141">
        <v>86</v>
      </c>
      <c r="J1485" s="141">
        <v>6671.3987351534779</v>
      </c>
      <c r="K1485" s="238">
        <f t="shared" si="118"/>
        <v>573740</v>
      </c>
      <c r="L1485" s="14" t="s">
        <v>155</v>
      </c>
      <c r="M1485" s="14" t="s">
        <v>153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>x</v>
      </c>
      <c r="Z1485" s="121"/>
    </row>
    <row r="1486" spans="1:26" ht="15.75" customHeight="1">
      <c r="A1486" s="125" t="str">
        <f>IF(B1486&lt;&gt;"",IF(AND(B1486&gt;=_TM1,B1486&lt;=_TM2,OR(TH!L1486="1111",TH!M1486="1111")),TH!D1486,""),"")</f>
        <v/>
      </c>
      <c r="B1486" s="11">
        <f t="shared" si="114"/>
        <v>8</v>
      </c>
      <c r="C1486" s="12">
        <f t="shared" si="117"/>
        <v>40782</v>
      </c>
      <c r="D1486" s="12" t="s">
        <v>1073</v>
      </c>
      <c r="E1486" s="12">
        <v>40782</v>
      </c>
      <c r="F1486" s="15" t="s">
        <v>1022</v>
      </c>
      <c r="G1486" s="15"/>
      <c r="H1486" s="242" t="s">
        <v>1037</v>
      </c>
      <c r="I1486" s="141">
        <v>240</v>
      </c>
      <c r="J1486" s="141">
        <v>2681.5987351534782</v>
      </c>
      <c r="K1486" s="238">
        <f t="shared" si="118"/>
        <v>643584</v>
      </c>
      <c r="L1486" s="14" t="s">
        <v>155</v>
      </c>
      <c r="M1486" s="14" t="s">
        <v>153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>x</v>
      </c>
      <c r="Z1486" s="121"/>
    </row>
    <row r="1487" spans="1:26" ht="15.75" customHeight="1">
      <c r="A1487" s="125" t="str">
        <f>IF(B1487&lt;&gt;"",IF(AND(B1487&gt;=_TM1,B1487&lt;=_TM2,OR(TH!L1487="1111",TH!M1487="1111")),TH!D1487,""),"")</f>
        <v/>
      </c>
      <c r="B1487" s="11">
        <f t="shared" si="114"/>
        <v>8</v>
      </c>
      <c r="C1487" s="12">
        <f t="shared" si="117"/>
        <v>40782</v>
      </c>
      <c r="D1487" s="12" t="s">
        <v>1073</v>
      </c>
      <c r="E1487" s="12">
        <v>40782</v>
      </c>
      <c r="F1487" s="15" t="s">
        <v>1023</v>
      </c>
      <c r="G1487" s="15"/>
      <c r="H1487" s="242" t="s">
        <v>1037</v>
      </c>
      <c r="I1487" s="141">
        <v>86</v>
      </c>
      <c r="J1487" s="141">
        <v>2702.9568746883619</v>
      </c>
      <c r="K1487" s="238">
        <f t="shared" si="118"/>
        <v>232454</v>
      </c>
      <c r="L1487" s="14" t="s">
        <v>155</v>
      </c>
      <c r="M1487" s="14" t="s">
        <v>153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>x</v>
      </c>
      <c r="Z1487" s="121"/>
    </row>
    <row r="1488" spans="1:26" ht="15.75" customHeight="1">
      <c r="A1488" s="125" t="str">
        <f>IF(B1488&lt;&gt;"",IF(AND(B1488&gt;=_TM1,B1488&lt;=_TM2,OR(TH!L1488="1111",TH!M1488="1111")),TH!D1488,""),"")</f>
        <v/>
      </c>
      <c r="B1488" s="11">
        <f t="shared" si="114"/>
        <v>8</v>
      </c>
      <c r="C1488" s="12">
        <f t="shared" si="117"/>
        <v>40782</v>
      </c>
      <c r="D1488" s="12" t="s">
        <v>924</v>
      </c>
      <c r="E1488" s="12">
        <v>40782</v>
      </c>
      <c r="F1488" s="15" t="s">
        <v>1018</v>
      </c>
      <c r="G1488" s="15" t="s">
        <v>1137</v>
      </c>
      <c r="H1488" s="242" t="s">
        <v>709</v>
      </c>
      <c r="I1488" s="141">
        <v>126</v>
      </c>
      <c r="J1488" s="141">
        <v>15399.287624042368</v>
      </c>
      <c r="K1488" s="238">
        <f t="shared" si="118"/>
        <v>1940310</v>
      </c>
      <c r="L1488" s="14" t="s">
        <v>161</v>
      </c>
      <c r="M1488" s="14" t="s">
        <v>155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>x</v>
      </c>
      <c r="Z1488" s="121"/>
    </row>
    <row r="1489" spans="1:26" ht="15.75" customHeight="1">
      <c r="A1489" s="125" t="str">
        <f>IF(B1489&lt;&gt;"",IF(AND(B1489&gt;=_TM1,B1489&lt;=_TM2,OR(TH!L1489="1111",TH!M1489="1111")),TH!D1489,""),"")</f>
        <v/>
      </c>
      <c r="B1489" s="11">
        <f t="shared" si="114"/>
        <v>8</v>
      </c>
      <c r="C1489" s="12">
        <f t="shared" si="117"/>
        <v>40782</v>
      </c>
      <c r="D1489" s="12" t="s">
        <v>924</v>
      </c>
      <c r="E1489" s="12">
        <v>40782</v>
      </c>
      <c r="F1489" s="15" t="s">
        <v>1019</v>
      </c>
      <c r="G1489" s="15" t="s">
        <v>1137</v>
      </c>
      <c r="H1489" s="242" t="s">
        <v>709</v>
      </c>
      <c r="I1489" s="141">
        <v>166</v>
      </c>
      <c r="J1489" s="141">
        <v>14237.398735153474</v>
      </c>
      <c r="K1489" s="238">
        <f t="shared" si="118"/>
        <v>2363408</v>
      </c>
      <c r="L1489" s="14" t="s">
        <v>161</v>
      </c>
      <c r="M1489" s="14" t="s">
        <v>155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>x</v>
      </c>
      <c r="Z1489" s="121"/>
    </row>
    <row r="1490" spans="1:26" ht="15.75" customHeight="1">
      <c r="A1490" s="125" t="str">
        <f>IF(B1490&lt;&gt;"",IF(AND(B1490&gt;=_TM1,B1490&lt;=_TM2,OR(TH!L1490="1111",TH!M1490="1111")),TH!D1490,""),"")</f>
        <v/>
      </c>
      <c r="B1490" s="11">
        <f t="shared" si="114"/>
        <v>8</v>
      </c>
      <c r="C1490" s="12">
        <f t="shared" si="117"/>
        <v>40782</v>
      </c>
      <c r="D1490" s="12" t="s">
        <v>924</v>
      </c>
      <c r="E1490" s="12">
        <v>40782</v>
      </c>
      <c r="F1490" s="15" t="s">
        <v>1020</v>
      </c>
      <c r="G1490" s="15" t="s">
        <v>1137</v>
      </c>
      <c r="H1490" s="242" t="s">
        <v>709</v>
      </c>
      <c r="I1490" s="141">
        <v>9</v>
      </c>
      <c r="J1490" s="141">
        <v>12825.39873515348</v>
      </c>
      <c r="K1490" s="238">
        <f t="shared" si="118"/>
        <v>115429</v>
      </c>
      <c r="L1490" s="14" t="s">
        <v>161</v>
      </c>
      <c r="M1490" s="14" t="s">
        <v>155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>x</v>
      </c>
      <c r="Z1490" s="121"/>
    </row>
    <row r="1491" spans="1:26" ht="15.75" customHeight="1">
      <c r="A1491" s="125" t="str">
        <f>IF(B1491&lt;&gt;"",IF(AND(B1491&gt;=_TM1,B1491&lt;=_TM2,OR(TH!L1491="1111",TH!M1491="1111")),TH!D1491,""),"")</f>
        <v/>
      </c>
      <c r="B1491" s="11">
        <f t="shared" si="114"/>
        <v>8</v>
      </c>
      <c r="C1491" s="12">
        <f t="shared" si="117"/>
        <v>40782</v>
      </c>
      <c r="D1491" s="12" t="s">
        <v>924</v>
      </c>
      <c r="E1491" s="12">
        <v>40782</v>
      </c>
      <c r="F1491" s="15" t="s">
        <v>1003</v>
      </c>
      <c r="G1491" s="15" t="s">
        <v>1137</v>
      </c>
      <c r="H1491" s="242" t="s">
        <v>709</v>
      </c>
      <c r="I1491" s="141">
        <v>240</v>
      </c>
      <c r="J1491" s="141">
        <v>7523.8987351534779</v>
      </c>
      <c r="K1491" s="238">
        <f t="shared" si="118"/>
        <v>1805736</v>
      </c>
      <c r="L1491" s="14" t="s">
        <v>161</v>
      </c>
      <c r="M1491" s="14" t="s">
        <v>155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>x</v>
      </c>
      <c r="Z1491" s="121"/>
    </row>
    <row r="1492" spans="1:26" ht="15.75" customHeight="1">
      <c r="A1492" s="125" t="str">
        <f>IF(B1492&lt;&gt;"",IF(AND(B1492&gt;=_TM1,B1492&lt;=_TM2,OR(TH!L1492="1111",TH!M1492="1111")),TH!D1492,""),"")</f>
        <v/>
      </c>
      <c r="B1492" s="11">
        <f t="shared" si="114"/>
        <v>8</v>
      </c>
      <c r="C1492" s="12">
        <f t="shared" si="117"/>
        <v>40782</v>
      </c>
      <c r="D1492" s="12" t="s">
        <v>924</v>
      </c>
      <c r="E1492" s="12">
        <v>40782</v>
      </c>
      <c r="F1492" s="15" t="s">
        <v>1021</v>
      </c>
      <c r="G1492" s="15" t="s">
        <v>1137</v>
      </c>
      <c r="H1492" s="242" t="s">
        <v>709</v>
      </c>
      <c r="I1492" s="141">
        <v>86</v>
      </c>
      <c r="J1492" s="141">
        <v>6671.3987351534779</v>
      </c>
      <c r="K1492" s="238">
        <f t="shared" si="118"/>
        <v>573740</v>
      </c>
      <c r="L1492" s="14" t="s">
        <v>161</v>
      </c>
      <c r="M1492" s="14" t="s">
        <v>155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>x</v>
      </c>
      <c r="Z1492" s="121"/>
    </row>
    <row r="1493" spans="1:26" ht="15.75" customHeight="1">
      <c r="A1493" s="125" t="str">
        <f>IF(B1493&lt;&gt;"",IF(AND(B1493&gt;=_TM1,B1493&lt;=_TM2,OR(TH!L1493="1111",TH!M1493="1111")),TH!D1493,""),"")</f>
        <v/>
      </c>
      <c r="B1493" s="11">
        <f t="shared" si="114"/>
        <v>8</v>
      </c>
      <c r="C1493" s="12">
        <f t="shared" si="117"/>
        <v>40782</v>
      </c>
      <c r="D1493" s="12" t="s">
        <v>924</v>
      </c>
      <c r="E1493" s="12">
        <v>40782</v>
      </c>
      <c r="F1493" s="15" t="s">
        <v>1022</v>
      </c>
      <c r="G1493" s="15" t="s">
        <v>1137</v>
      </c>
      <c r="H1493" s="242" t="s">
        <v>709</v>
      </c>
      <c r="I1493" s="141">
        <v>240</v>
      </c>
      <c r="J1493" s="141">
        <v>2681.5987351534782</v>
      </c>
      <c r="K1493" s="238">
        <f t="shared" si="118"/>
        <v>643584</v>
      </c>
      <c r="L1493" s="14" t="s">
        <v>161</v>
      </c>
      <c r="M1493" s="14" t="s">
        <v>155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>x</v>
      </c>
      <c r="Z1493" s="121"/>
    </row>
    <row r="1494" spans="1:26" ht="15.75" customHeight="1">
      <c r="A1494" s="125" t="str">
        <f>IF(B1494&lt;&gt;"",IF(AND(B1494&gt;=_TM1,B1494&lt;=_TM2,OR(TH!L1494="1111",TH!M1494="1111")),TH!D1494,""),"")</f>
        <v/>
      </c>
      <c r="B1494" s="11">
        <f t="shared" ref="B1494:B1557" si="119">IF(C1494&lt;&gt;"",MONTH(C1494),"")</f>
        <v>8</v>
      </c>
      <c r="C1494" s="12">
        <f t="shared" si="117"/>
        <v>40782</v>
      </c>
      <c r="D1494" s="12" t="s">
        <v>924</v>
      </c>
      <c r="E1494" s="12">
        <v>40782</v>
      </c>
      <c r="F1494" s="15" t="s">
        <v>1023</v>
      </c>
      <c r="G1494" s="15" t="s">
        <v>1137</v>
      </c>
      <c r="H1494" s="242" t="s">
        <v>709</v>
      </c>
      <c r="I1494" s="141">
        <v>86</v>
      </c>
      <c r="J1494" s="141">
        <v>2702.9568746883619</v>
      </c>
      <c r="K1494" s="238">
        <f t="shared" si="118"/>
        <v>232454</v>
      </c>
      <c r="L1494" s="14" t="s">
        <v>161</v>
      </c>
      <c r="M1494" s="14" t="s">
        <v>155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>x</v>
      </c>
      <c r="Z1494" s="121"/>
    </row>
    <row r="1495" spans="1:26" ht="15.75" customHeight="1">
      <c r="A1495" s="125" t="str">
        <f>IF(B1495&lt;&gt;"",IF(AND(B1495&gt;=_TM1,B1495&lt;=_TM2,OR(TH!L1495="1111",TH!M1495="1111")),TH!D1495,""),"")</f>
        <v/>
      </c>
      <c r="B1495" s="11">
        <f t="shared" si="119"/>
        <v>8</v>
      </c>
      <c r="C1495" s="288">
        <v>40786</v>
      </c>
      <c r="D1495" s="288" t="s">
        <v>639</v>
      </c>
      <c r="E1495" s="312">
        <v>40786</v>
      </c>
      <c r="F1495" s="289" t="s">
        <v>1079</v>
      </c>
      <c r="G1495" s="290"/>
      <c r="H1495" s="242" t="s">
        <v>340</v>
      </c>
      <c r="I1495" s="220"/>
      <c r="J1495" s="220"/>
      <c r="K1495" s="291">
        <v>13430000</v>
      </c>
      <c r="L1495" s="292" t="s">
        <v>240</v>
      </c>
      <c r="M1495" s="292" t="s">
        <v>44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>x</v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>x</v>
      </c>
      <c r="Z1495" s="121"/>
    </row>
    <row r="1496" spans="1:26" ht="15.75" customHeight="1">
      <c r="A1496" s="125" t="str">
        <f>IF(B1496&lt;&gt;"",IF(AND(B1496&gt;=_TM1,B1496&lt;=_TM2,OR(TH!L1496="1111",TH!M1496="1111")),TH!D1496,""),"")</f>
        <v/>
      </c>
      <c r="B1496" s="11">
        <f t="shared" si="119"/>
        <v>8</v>
      </c>
      <c r="C1496" s="288">
        <v>40786</v>
      </c>
      <c r="D1496" s="288" t="s">
        <v>314</v>
      </c>
      <c r="E1496" s="312">
        <v>40786</v>
      </c>
      <c r="F1496" s="289" t="s">
        <v>895</v>
      </c>
      <c r="G1496" s="290"/>
      <c r="H1496" s="242"/>
      <c r="I1496" s="220"/>
      <c r="J1496" s="220"/>
      <c r="K1496" s="291">
        <v>7115000</v>
      </c>
      <c r="L1496" s="292" t="s">
        <v>73</v>
      </c>
      <c r="M1496" s="292" t="s">
        <v>240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>x</v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>x</v>
      </c>
      <c r="Z1496" s="121"/>
    </row>
    <row r="1497" spans="1:26" ht="15.75" customHeight="1">
      <c r="A1497" s="125" t="str">
        <f>IF(B1497&lt;&gt;"",IF(AND(B1497&gt;=_TM1,B1497&lt;=_TM2,OR(TH!L1497="1111",TH!M1497="1111")),TH!D1497,""),"")</f>
        <v/>
      </c>
      <c r="B1497" s="11">
        <f t="shared" si="119"/>
        <v>8</v>
      </c>
      <c r="C1497" s="288">
        <v>40786</v>
      </c>
      <c r="D1497" s="288" t="s">
        <v>314</v>
      </c>
      <c r="E1497" s="312">
        <v>40786</v>
      </c>
      <c r="F1497" s="289" t="s">
        <v>755</v>
      </c>
      <c r="G1497" s="290"/>
      <c r="H1497" s="242"/>
      <c r="I1497" s="220"/>
      <c r="J1497" s="220"/>
      <c r="K1497" s="238">
        <v>6315000</v>
      </c>
      <c r="L1497" s="292" t="s">
        <v>153</v>
      </c>
      <c r="M1497" s="292" t="s">
        <v>240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>x</v>
      </c>
      <c r="Z1497" s="121"/>
    </row>
    <row r="1498" spans="1:26" ht="15.75" customHeight="1">
      <c r="A1498" s="125" t="str">
        <f>IF(B1498&lt;&gt;"",IF(AND(B1498&gt;=_TM1,B1498&lt;=_TM2,OR(TH!L1498="1111",TH!M1498="1111")),TH!D1498,""),"")</f>
        <v/>
      </c>
      <c r="B1498" s="11">
        <f t="shared" si="119"/>
        <v>9</v>
      </c>
      <c r="C1498" s="12">
        <f t="shared" ref="C1498:C1506" si="120">E1498</f>
        <v>40787</v>
      </c>
      <c r="D1498" s="12" t="s">
        <v>1053</v>
      </c>
      <c r="E1498" s="304">
        <v>40787</v>
      </c>
      <c r="F1498" s="114" t="s">
        <v>471</v>
      </c>
      <c r="G1498" s="15"/>
      <c r="H1498" s="242" t="s">
        <v>1037</v>
      </c>
      <c r="I1498" s="141">
        <v>202</v>
      </c>
      <c r="J1498" s="141">
        <v>19773</v>
      </c>
      <c r="K1498" s="238">
        <f t="shared" ref="K1498:K1506" si="121">ROUND(I1498*J1498,0)</f>
        <v>3994146</v>
      </c>
      <c r="L1498" s="14" t="s">
        <v>153</v>
      </c>
      <c r="M1498" s="14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>x</v>
      </c>
      <c r="Z1498" s="121"/>
    </row>
    <row r="1499" spans="1:26" ht="15.75" customHeight="1">
      <c r="A1499" s="125" t="str">
        <f>IF(B1499&lt;&gt;"",IF(AND(B1499&gt;=_TM1,B1499&lt;=_TM2,OR(TH!L1499="1111",TH!M1499="1111")),TH!D1499,""),"")</f>
        <v/>
      </c>
      <c r="B1499" s="11">
        <f t="shared" si="119"/>
        <v>9</v>
      </c>
      <c r="C1499" s="12">
        <f t="shared" si="120"/>
        <v>40791</v>
      </c>
      <c r="D1499" s="12" t="s">
        <v>1054</v>
      </c>
      <c r="E1499" s="304">
        <v>40791</v>
      </c>
      <c r="F1499" s="15" t="s">
        <v>605</v>
      </c>
      <c r="G1499" s="15"/>
      <c r="H1499" s="242" t="s">
        <v>1037</v>
      </c>
      <c r="I1499" s="315">
        <v>61.5</v>
      </c>
      <c r="J1499" s="141">
        <v>32985</v>
      </c>
      <c r="K1499" s="238">
        <f t="shared" si="121"/>
        <v>2028578</v>
      </c>
      <c r="L1499" s="14" t="s">
        <v>153</v>
      </c>
      <c r="M1499" s="14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>x</v>
      </c>
      <c r="Z1499" s="121"/>
    </row>
    <row r="1500" spans="1:26" ht="15.75" customHeight="1">
      <c r="A1500" s="125" t="str">
        <f>IF(B1500&lt;&gt;"",IF(AND(B1500&gt;=_TM1,B1500&lt;=_TM2,OR(TH!L1500="1111",TH!M1500="1111")),TH!D1500,""),"")</f>
        <v/>
      </c>
      <c r="B1500" s="11">
        <f t="shared" si="119"/>
        <v>9</v>
      </c>
      <c r="C1500" s="12">
        <f t="shared" si="120"/>
        <v>40791</v>
      </c>
      <c r="D1500" s="12" t="s">
        <v>1054</v>
      </c>
      <c r="E1500" s="304">
        <v>40791</v>
      </c>
      <c r="F1500" s="114" t="s">
        <v>519</v>
      </c>
      <c r="G1500" s="15"/>
      <c r="H1500" s="242" t="s">
        <v>1037</v>
      </c>
      <c r="I1500" s="141">
        <v>61</v>
      </c>
      <c r="J1500" s="141">
        <v>19638</v>
      </c>
      <c r="K1500" s="238">
        <f t="shared" si="121"/>
        <v>1197918</v>
      </c>
      <c r="L1500" s="14" t="s">
        <v>153</v>
      </c>
      <c r="M1500" s="14" t="s">
        <v>147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>x</v>
      </c>
      <c r="Z1500" s="121"/>
    </row>
    <row r="1501" spans="1:26" ht="15.75" customHeight="1">
      <c r="A1501" s="125" t="str">
        <f>IF(B1501&lt;&gt;"",IF(AND(B1501&gt;=_TM1,B1501&lt;=_TM2,OR(TH!L1501="1111",TH!M1501="1111")),TH!D1501,""),"")</f>
        <v/>
      </c>
      <c r="B1501" s="11">
        <f t="shared" si="119"/>
        <v>9</v>
      </c>
      <c r="C1501" s="12">
        <f t="shared" si="120"/>
        <v>40791</v>
      </c>
      <c r="D1501" s="12" t="s">
        <v>1054</v>
      </c>
      <c r="E1501" s="304">
        <v>40791</v>
      </c>
      <c r="F1501" s="154" t="s">
        <v>455</v>
      </c>
      <c r="G1501" s="15"/>
      <c r="H1501" s="242" t="s">
        <v>1037</v>
      </c>
      <c r="I1501" s="141">
        <v>12</v>
      </c>
      <c r="J1501" s="141">
        <v>4592</v>
      </c>
      <c r="K1501" s="238">
        <f t="shared" si="121"/>
        <v>55104</v>
      </c>
      <c r="L1501" s="14" t="s">
        <v>153</v>
      </c>
      <c r="M1501" s="14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>x</v>
      </c>
      <c r="Z1501" s="121"/>
    </row>
    <row r="1502" spans="1:26" ht="15.75" customHeight="1">
      <c r="A1502" s="125" t="str">
        <f>IF(B1502&lt;&gt;"",IF(AND(B1502&gt;=_TM1,B1502&lt;=_TM2,OR(TH!L1502="1111",TH!M1502="1111")),TH!D1502,""),"")</f>
        <v/>
      </c>
      <c r="B1502" s="11">
        <f t="shared" si="119"/>
        <v>9</v>
      </c>
      <c r="C1502" s="12">
        <f t="shared" si="120"/>
        <v>40791</v>
      </c>
      <c r="D1502" s="12" t="s">
        <v>1054</v>
      </c>
      <c r="E1502" s="304">
        <v>40791</v>
      </c>
      <c r="F1502" s="15" t="s">
        <v>581</v>
      </c>
      <c r="G1502" s="15"/>
      <c r="H1502" s="242" t="s">
        <v>1037</v>
      </c>
      <c r="I1502" s="141">
        <v>26</v>
      </c>
      <c r="J1502" s="141">
        <v>14280</v>
      </c>
      <c r="K1502" s="238">
        <f t="shared" si="121"/>
        <v>371280</v>
      </c>
      <c r="L1502" s="14" t="s">
        <v>153</v>
      </c>
      <c r="M1502" s="14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>x</v>
      </c>
      <c r="Z1502" s="121"/>
    </row>
    <row r="1503" spans="1:26" ht="15.75" customHeight="1">
      <c r="A1503" s="125" t="str">
        <f>IF(B1503&lt;&gt;"",IF(AND(B1503&gt;=_TM1,B1503&lt;=_TM2,OR(TH!L1503="1111",TH!M1503="1111")),TH!D1503,""),"")</f>
        <v/>
      </c>
      <c r="B1503" s="11">
        <f t="shared" si="119"/>
        <v>9</v>
      </c>
      <c r="C1503" s="12">
        <f t="shared" si="120"/>
        <v>40791</v>
      </c>
      <c r="D1503" s="12" t="s">
        <v>1054</v>
      </c>
      <c r="E1503" s="304">
        <v>40791</v>
      </c>
      <c r="F1503" s="114" t="s">
        <v>364</v>
      </c>
      <c r="G1503" s="15"/>
      <c r="H1503" s="242" t="s">
        <v>1037</v>
      </c>
      <c r="I1503" s="315">
        <v>5</v>
      </c>
      <c r="J1503" s="141">
        <v>4449</v>
      </c>
      <c r="K1503" s="238">
        <f t="shared" si="121"/>
        <v>22245</v>
      </c>
      <c r="L1503" s="14" t="s">
        <v>153</v>
      </c>
      <c r="M1503" s="14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>x</v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>x</v>
      </c>
      <c r="Z1503" s="121"/>
    </row>
    <row r="1504" spans="1:26" ht="15.75" customHeight="1">
      <c r="A1504" s="125" t="str">
        <f>IF(B1504&lt;&gt;"",IF(AND(B1504&gt;=_TM1,B1504&lt;=_TM2,OR(TH!L1504="1111",TH!M1504="1111")),TH!D1504,""),"")</f>
        <v/>
      </c>
      <c r="B1504" s="11">
        <f t="shared" si="119"/>
        <v>9</v>
      </c>
      <c r="C1504" s="12">
        <f t="shared" si="120"/>
        <v>40791</v>
      </c>
      <c r="D1504" s="12" t="s">
        <v>1054</v>
      </c>
      <c r="E1504" s="304">
        <v>40791</v>
      </c>
      <c r="F1504" s="15" t="s">
        <v>605</v>
      </c>
      <c r="G1504" s="15"/>
      <c r="H1504" s="242" t="s">
        <v>1037</v>
      </c>
      <c r="I1504" s="315">
        <v>71</v>
      </c>
      <c r="J1504" s="141">
        <v>32984.985915492958</v>
      </c>
      <c r="K1504" s="238">
        <f t="shared" si="121"/>
        <v>2341934</v>
      </c>
      <c r="L1504" s="14" t="s">
        <v>153</v>
      </c>
      <c r="M1504" s="14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>x</v>
      </c>
      <c r="Z1504" s="121"/>
    </row>
    <row r="1505" spans="1:26" ht="15.75" customHeight="1">
      <c r="A1505" s="125" t="str">
        <f>IF(B1505&lt;&gt;"",IF(AND(B1505&gt;=_TM1,B1505&lt;=_TM2,OR(TH!L1505="1111",TH!M1505="1111")),TH!D1505,""),"")</f>
        <v/>
      </c>
      <c r="B1505" s="11">
        <f t="shared" si="119"/>
        <v>9</v>
      </c>
      <c r="C1505" s="12">
        <f t="shared" si="120"/>
        <v>40791</v>
      </c>
      <c r="D1505" s="12" t="s">
        <v>1054</v>
      </c>
      <c r="E1505" s="304">
        <v>40791</v>
      </c>
      <c r="F1505" s="114" t="s">
        <v>555</v>
      </c>
      <c r="G1505" s="15"/>
      <c r="H1505" s="242" t="s">
        <v>1037</v>
      </c>
      <c r="I1505" s="141">
        <v>107</v>
      </c>
      <c r="J1505" s="141">
        <v>10344</v>
      </c>
      <c r="K1505" s="238">
        <f t="shared" si="121"/>
        <v>1106808</v>
      </c>
      <c r="L1505" s="14" t="s">
        <v>153</v>
      </c>
      <c r="M1505" s="14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>x</v>
      </c>
      <c r="Z1505" s="121"/>
    </row>
    <row r="1506" spans="1:26" ht="15.75" customHeight="1">
      <c r="A1506" s="125" t="str">
        <f>IF(B1506&lt;&gt;"",IF(AND(B1506&gt;=_TM1,B1506&lt;=_TM2,OR(TH!L1506="1111",TH!M1506="1111")),TH!D1506,""),"")</f>
        <v/>
      </c>
      <c r="B1506" s="11">
        <f t="shared" si="119"/>
        <v>9</v>
      </c>
      <c r="C1506" s="12">
        <f t="shared" si="120"/>
        <v>40791</v>
      </c>
      <c r="D1506" s="12" t="s">
        <v>1054</v>
      </c>
      <c r="E1506" s="304">
        <v>40791</v>
      </c>
      <c r="F1506" s="114" t="s">
        <v>557</v>
      </c>
      <c r="G1506" s="15"/>
      <c r="H1506" s="242" t="s">
        <v>1037</v>
      </c>
      <c r="I1506" s="141">
        <v>70</v>
      </c>
      <c r="J1506" s="141">
        <v>26198</v>
      </c>
      <c r="K1506" s="238">
        <f t="shared" si="121"/>
        <v>1833860</v>
      </c>
      <c r="L1506" s="14" t="s">
        <v>153</v>
      </c>
      <c r="M1506" s="14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>x</v>
      </c>
      <c r="Z1506" s="121"/>
    </row>
    <row r="1507" spans="1:26" ht="15.75" customHeight="1">
      <c r="A1507" s="125" t="str">
        <f>IF(B1507&lt;&gt;"",IF(AND(B1507&gt;=_TM1,B1507&lt;=_TM2,OR(TH!L1507="1111",TH!M1507="1111")),TH!D1507,""),"")</f>
        <v/>
      </c>
      <c r="B1507" s="11">
        <f t="shared" si="119"/>
        <v>9</v>
      </c>
      <c r="C1507" s="110">
        <v>40794</v>
      </c>
      <c r="D1507" s="110" t="s">
        <v>310</v>
      </c>
      <c r="E1507" s="110">
        <v>40794</v>
      </c>
      <c r="F1507" s="114" t="s">
        <v>312</v>
      </c>
      <c r="G1507" s="240" t="s">
        <v>307</v>
      </c>
      <c r="H1507" s="117" t="s">
        <v>709</v>
      </c>
      <c r="I1507" s="141"/>
      <c r="J1507" s="141"/>
      <c r="K1507" s="238">
        <v>72293456</v>
      </c>
      <c r="L1507" s="239" t="s">
        <v>23</v>
      </c>
      <c r="M1507" s="239" t="s">
        <v>237</v>
      </c>
      <c r="N1507" s="25" t="str">
        <f>IF(AND('331-CT'!$E$7=TH!H1507,OR(L1507="331",M1507="331")),"331",IF(AND(OR(L1507="131",M1507="131"),H1507='131-CT'!$E$7),"131",""))</f>
        <v>131</v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>x</v>
      </c>
      <c r="Z1507" s="121"/>
    </row>
    <row r="1508" spans="1:26" ht="15.75" customHeight="1">
      <c r="A1508" s="125" t="str">
        <f>IF(B1508&lt;&gt;"",IF(AND(B1508&gt;=_TM1,B1508&lt;=_TM2,OR(TH!L1508="1111",TH!M1508="1111")),TH!D1508,""),"")</f>
        <v/>
      </c>
      <c r="B1508" s="11">
        <f t="shared" si="119"/>
        <v>9</v>
      </c>
      <c r="C1508" s="12">
        <f t="shared" ref="C1508:C1518" si="122">E1508</f>
        <v>40795</v>
      </c>
      <c r="D1508" s="12" t="s">
        <v>1055</v>
      </c>
      <c r="E1508" s="304">
        <v>40795</v>
      </c>
      <c r="F1508" s="15" t="s">
        <v>582</v>
      </c>
      <c r="G1508" s="15"/>
      <c r="H1508" s="242" t="s">
        <v>1037</v>
      </c>
      <c r="I1508" s="141">
        <v>32</v>
      </c>
      <c r="J1508" s="141">
        <v>27370</v>
      </c>
      <c r="K1508" s="238">
        <f t="shared" ref="K1508:K1518" si="123">ROUND(I1508*J1508,0)</f>
        <v>875840</v>
      </c>
      <c r="L1508" s="14" t="s">
        <v>153</v>
      </c>
      <c r="M1508" s="14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>x</v>
      </c>
      <c r="Z1508" s="121"/>
    </row>
    <row r="1509" spans="1:26" ht="15.75" customHeight="1">
      <c r="A1509" s="125" t="str">
        <f>IF(B1509&lt;&gt;"",IF(AND(B1509&gt;=_TM1,B1509&lt;=_TM2,OR(TH!L1509="1111",TH!M1509="1111")),TH!D1509,""),"")</f>
        <v/>
      </c>
      <c r="B1509" s="11">
        <f t="shared" si="119"/>
        <v>9</v>
      </c>
      <c r="C1509" s="12">
        <f t="shared" si="122"/>
        <v>40797</v>
      </c>
      <c r="D1509" s="12" t="s">
        <v>1056</v>
      </c>
      <c r="E1509" s="304">
        <v>40797</v>
      </c>
      <c r="F1509" s="114" t="s">
        <v>555</v>
      </c>
      <c r="G1509" s="15"/>
      <c r="H1509" s="242" t="s">
        <v>1037</v>
      </c>
      <c r="I1509" s="141">
        <v>100</v>
      </c>
      <c r="J1509" s="141">
        <v>10344</v>
      </c>
      <c r="K1509" s="238">
        <f t="shared" si="123"/>
        <v>1034400</v>
      </c>
      <c r="L1509" s="14" t="s">
        <v>153</v>
      </c>
      <c r="M1509" s="14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>x</v>
      </c>
      <c r="Z1509" s="121"/>
    </row>
    <row r="1510" spans="1:26" ht="15.75" customHeight="1">
      <c r="A1510" s="125" t="str">
        <f>IF(B1510&lt;&gt;"",IF(AND(B1510&gt;=_TM1,B1510&lt;=_TM2,OR(TH!L1510="1111",TH!M1510="1111")),TH!D1510,""),"")</f>
        <v/>
      </c>
      <c r="B1510" s="11">
        <f t="shared" si="119"/>
        <v>9</v>
      </c>
      <c r="C1510" s="12">
        <f t="shared" si="122"/>
        <v>40797</v>
      </c>
      <c r="D1510" s="12" t="s">
        <v>1056</v>
      </c>
      <c r="E1510" s="304">
        <v>40797</v>
      </c>
      <c r="F1510" s="114" t="s">
        <v>496</v>
      </c>
      <c r="G1510" s="15"/>
      <c r="H1510" s="242" t="s">
        <v>1037</v>
      </c>
      <c r="I1510" s="141">
        <v>193</v>
      </c>
      <c r="J1510" s="141">
        <v>10603</v>
      </c>
      <c r="K1510" s="238">
        <f t="shared" si="123"/>
        <v>2046379</v>
      </c>
      <c r="L1510" s="14" t="s">
        <v>153</v>
      </c>
      <c r="M1510" s="14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>x</v>
      </c>
      <c r="Z1510" s="121"/>
    </row>
    <row r="1511" spans="1:26" ht="15.75" customHeight="1">
      <c r="A1511" s="125" t="str">
        <f>IF(B1511&lt;&gt;"",IF(AND(B1511&gt;=_TM1,B1511&lt;=_TM2,OR(TH!L1511="1111",TH!M1511="1111")),TH!D1511,""),"")</f>
        <v/>
      </c>
      <c r="B1511" s="11">
        <f t="shared" si="119"/>
        <v>9</v>
      </c>
      <c r="C1511" s="12">
        <f t="shared" si="122"/>
        <v>40797</v>
      </c>
      <c r="D1511" s="12" t="s">
        <v>1056</v>
      </c>
      <c r="E1511" s="304">
        <v>40797</v>
      </c>
      <c r="F1511" s="114" t="s">
        <v>364</v>
      </c>
      <c r="G1511" s="15"/>
      <c r="H1511" s="242" t="s">
        <v>1037</v>
      </c>
      <c r="I1511" s="315">
        <v>44</v>
      </c>
      <c r="J1511" s="141">
        <v>4449</v>
      </c>
      <c r="K1511" s="238">
        <f t="shared" si="123"/>
        <v>195756</v>
      </c>
      <c r="L1511" s="14" t="s">
        <v>153</v>
      </c>
      <c r="M1511" s="14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>x</v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>x</v>
      </c>
      <c r="Z1511" s="121"/>
    </row>
    <row r="1512" spans="1:26" ht="15.75" customHeight="1">
      <c r="A1512" s="125" t="str">
        <f>IF(B1512&lt;&gt;"",IF(AND(B1512&gt;=_TM1,B1512&lt;=_TM2,OR(TH!L1512="1111",TH!M1512="1111")),TH!D1512,""),"")</f>
        <v/>
      </c>
      <c r="B1512" s="11">
        <f t="shared" si="119"/>
        <v>9</v>
      </c>
      <c r="C1512" s="12">
        <f t="shared" si="122"/>
        <v>40797</v>
      </c>
      <c r="D1512" s="12" t="s">
        <v>1056</v>
      </c>
      <c r="E1512" s="304">
        <v>40797</v>
      </c>
      <c r="F1512" s="114" t="s">
        <v>608</v>
      </c>
      <c r="G1512" s="15"/>
      <c r="H1512" s="242" t="s">
        <v>1037</v>
      </c>
      <c r="I1512" s="141">
        <v>364</v>
      </c>
      <c r="J1512" s="141">
        <v>21455</v>
      </c>
      <c r="K1512" s="238">
        <f t="shared" si="123"/>
        <v>7809620</v>
      </c>
      <c r="L1512" s="14" t="s">
        <v>153</v>
      </c>
      <c r="M1512" s="14" t="s">
        <v>147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>x</v>
      </c>
      <c r="Z1512" s="121"/>
    </row>
    <row r="1513" spans="1:26" ht="15.75" customHeight="1">
      <c r="A1513" s="125" t="str">
        <f>IF(B1513&lt;&gt;"",IF(AND(B1513&gt;=_TM1,B1513&lt;=_TM2,OR(TH!L1513="1111",TH!M1513="1111")),TH!D1513,""),"")</f>
        <v/>
      </c>
      <c r="B1513" s="11">
        <f t="shared" si="119"/>
        <v>9</v>
      </c>
      <c r="C1513" s="12">
        <f t="shared" si="122"/>
        <v>40797</v>
      </c>
      <c r="D1513" s="12" t="s">
        <v>1056</v>
      </c>
      <c r="E1513" s="304">
        <v>40797</v>
      </c>
      <c r="F1513" s="114" t="s">
        <v>495</v>
      </c>
      <c r="G1513" s="15"/>
      <c r="H1513" s="242" t="s">
        <v>1037</v>
      </c>
      <c r="I1513" s="141">
        <v>840</v>
      </c>
      <c r="J1513" s="141">
        <v>10930</v>
      </c>
      <c r="K1513" s="238">
        <f t="shared" si="123"/>
        <v>9181200</v>
      </c>
      <c r="L1513" s="14" t="s">
        <v>153</v>
      </c>
      <c r="M1513" s="14" t="s">
        <v>147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>x</v>
      </c>
      <c r="Z1513" s="121"/>
    </row>
    <row r="1514" spans="1:26" ht="15.75" customHeight="1">
      <c r="A1514" s="125" t="str">
        <f>IF(B1514&lt;&gt;"",IF(AND(B1514&gt;=_TM1,B1514&lt;=_TM2,OR(TH!L1514="1111",TH!M1514="1111")),TH!D1514,""),"")</f>
        <v/>
      </c>
      <c r="B1514" s="11">
        <f t="shared" si="119"/>
        <v>9</v>
      </c>
      <c r="C1514" s="12">
        <f t="shared" si="122"/>
        <v>40797</v>
      </c>
      <c r="D1514" s="12" t="s">
        <v>1056</v>
      </c>
      <c r="E1514" s="304">
        <v>40797</v>
      </c>
      <c r="F1514" s="114" t="s">
        <v>609</v>
      </c>
      <c r="G1514" s="15"/>
      <c r="H1514" s="242" t="s">
        <v>1037</v>
      </c>
      <c r="I1514" s="141">
        <v>260</v>
      </c>
      <c r="J1514" s="141">
        <v>11385</v>
      </c>
      <c r="K1514" s="238">
        <f t="shared" si="123"/>
        <v>2960100</v>
      </c>
      <c r="L1514" s="14" t="s">
        <v>153</v>
      </c>
      <c r="M1514" s="14" t="s">
        <v>147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>x</v>
      </c>
      <c r="Z1514" s="121"/>
    </row>
    <row r="1515" spans="1:26" ht="15.75" customHeight="1">
      <c r="A1515" s="125" t="str">
        <f>IF(B1515&lt;&gt;"",IF(AND(B1515&gt;=_TM1,B1515&lt;=_TM2,OR(TH!L1515="1111",TH!M1515="1111")),TH!D1515,""),"")</f>
        <v/>
      </c>
      <c r="B1515" s="11">
        <f t="shared" si="119"/>
        <v>9</v>
      </c>
      <c r="C1515" s="12">
        <f t="shared" si="122"/>
        <v>40797</v>
      </c>
      <c r="D1515" s="12" t="s">
        <v>1056</v>
      </c>
      <c r="E1515" s="304">
        <v>40797</v>
      </c>
      <c r="F1515" s="114" t="s">
        <v>608</v>
      </c>
      <c r="G1515" s="15"/>
      <c r="H1515" s="242" t="s">
        <v>1037</v>
      </c>
      <c r="I1515" s="141">
        <v>757</v>
      </c>
      <c r="J1515" s="141">
        <v>21455</v>
      </c>
      <c r="K1515" s="238">
        <f t="shared" si="123"/>
        <v>16241435</v>
      </c>
      <c r="L1515" s="14" t="s">
        <v>153</v>
      </c>
      <c r="M1515" s="14" t="s">
        <v>147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>x</v>
      </c>
      <c r="Z1515" s="121"/>
    </row>
    <row r="1516" spans="1:26" ht="15.75" customHeight="1">
      <c r="A1516" s="125" t="str">
        <f>IF(B1516&lt;&gt;"",IF(AND(B1516&gt;=_TM1,B1516&lt;=_TM2,OR(TH!L1516="1111",TH!M1516="1111")),TH!D1516,""),"")</f>
        <v/>
      </c>
      <c r="B1516" s="11">
        <f t="shared" si="119"/>
        <v>9</v>
      </c>
      <c r="C1516" s="12">
        <f t="shared" si="122"/>
        <v>40797</v>
      </c>
      <c r="D1516" s="12" t="s">
        <v>1056</v>
      </c>
      <c r="E1516" s="304">
        <v>40797</v>
      </c>
      <c r="F1516" s="114" t="s">
        <v>520</v>
      </c>
      <c r="G1516" s="15"/>
      <c r="H1516" s="242" t="s">
        <v>1037</v>
      </c>
      <c r="I1516" s="141">
        <v>130</v>
      </c>
      <c r="J1516" s="141">
        <v>28059</v>
      </c>
      <c r="K1516" s="238">
        <f t="shared" si="123"/>
        <v>3647670</v>
      </c>
      <c r="L1516" s="14" t="s">
        <v>153</v>
      </c>
      <c r="M1516" s="14" t="s">
        <v>147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>x</v>
      </c>
      <c r="Z1516" s="121"/>
    </row>
    <row r="1517" spans="1:26" ht="15.75" customHeight="1">
      <c r="A1517" s="125" t="str">
        <f>IF(B1517&lt;&gt;"",IF(AND(B1517&gt;=_TM1,B1517&lt;=_TM2,OR(TH!L1517="1111",TH!M1517="1111")),TH!D1517,""),"")</f>
        <v/>
      </c>
      <c r="B1517" s="11">
        <f t="shared" si="119"/>
        <v>9</v>
      </c>
      <c r="C1517" s="12">
        <f t="shared" si="122"/>
        <v>40797</v>
      </c>
      <c r="D1517" s="12" t="s">
        <v>1056</v>
      </c>
      <c r="E1517" s="304">
        <v>40797</v>
      </c>
      <c r="F1517" s="114" t="s">
        <v>545</v>
      </c>
      <c r="G1517" s="15"/>
      <c r="H1517" s="242" t="s">
        <v>1037</v>
      </c>
      <c r="I1517" s="141">
        <v>21</v>
      </c>
      <c r="J1517" s="141">
        <v>24030</v>
      </c>
      <c r="K1517" s="238">
        <f t="shared" si="123"/>
        <v>504630</v>
      </c>
      <c r="L1517" s="14" t="s">
        <v>153</v>
      </c>
      <c r="M1517" s="14" t="s">
        <v>147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>x</v>
      </c>
      <c r="Z1517" s="121"/>
    </row>
    <row r="1518" spans="1:26" ht="15.75" customHeight="1">
      <c r="A1518" s="125" t="str">
        <f>IF(B1518&lt;&gt;"",IF(AND(B1518&gt;=_TM1,B1518&lt;=_TM2,OR(TH!L1518="1111",TH!M1518="1111")),TH!D1518,""),"")</f>
        <v/>
      </c>
      <c r="B1518" s="11">
        <f t="shared" si="119"/>
        <v>9</v>
      </c>
      <c r="C1518" s="12">
        <f t="shared" si="122"/>
        <v>40797</v>
      </c>
      <c r="D1518" s="12" t="s">
        <v>1056</v>
      </c>
      <c r="E1518" s="304">
        <v>40797</v>
      </c>
      <c r="F1518" s="114" t="s">
        <v>528</v>
      </c>
      <c r="G1518" s="15"/>
      <c r="H1518" s="242" t="s">
        <v>1037</v>
      </c>
      <c r="I1518" s="141">
        <v>10</v>
      </c>
      <c r="J1518" s="141">
        <v>16973</v>
      </c>
      <c r="K1518" s="238">
        <f t="shared" si="123"/>
        <v>169730</v>
      </c>
      <c r="L1518" s="14" t="s">
        <v>153</v>
      </c>
      <c r="M1518" s="14" t="s">
        <v>147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>x</v>
      </c>
      <c r="Z1518" s="121"/>
    </row>
    <row r="1519" spans="1:26" ht="15.75" customHeight="1">
      <c r="A1519" s="125" t="str">
        <f>IF(B1519&lt;&gt;"",IF(AND(B1519&gt;=_TM1,B1519&lt;=_TM2,OR(TH!L1519="1111",TH!M1519="1111")),TH!D1519,""),"")</f>
        <v/>
      </c>
      <c r="B1519" s="11">
        <f t="shared" si="119"/>
        <v>9</v>
      </c>
      <c r="C1519" s="110">
        <v>40798</v>
      </c>
      <c r="D1519" s="110" t="s">
        <v>902</v>
      </c>
      <c r="E1519" s="110">
        <v>40798</v>
      </c>
      <c r="F1519" s="114" t="s">
        <v>1101</v>
      </c>
      <c r="G1519" s="240" t="s">
        <v>307</v>
      </c>
      <c r="H1519" s="117" t="s">
        <v>340</v>
      </c>
      <c r="I1519" s="141"/>
      <c r="J1519" s="141"/>
      <c r="K1519" s="238">
        <v>86000000</v>
      </c>
      <c r="L1519" s="239" t="s">
        <v>44</v>
      </c>
      <c r="M1519" s="118" t="s">
        <v>23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>x</v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>x</v>
      </c>
      <c r="Z1519" s="121"/>
    </row>
    <row r="1520" spans="1:26" ht="15.75" customHeight="1">
      <c r="A1520" s="125" t="str">
        <f>IF(B1520&lt;&gt;"",IF(AND(B1520&gt;=_TM1,B1520&lt;=_TM2,OR(TH!L1520="1111",TH!M1520="1111")),TH!D1520,""),"")</f>
        <v/>
      </c>
      <c r="B1520" s="11">
        <f t="shared" si="119"/>
        <v>9</v>
      </c>
      <c r="C1520" s="115">
        <v>40799</v>
      </c>
      <c r="D1520" s="110" t="s">
        <v>641</v>
      </c>
      <c r="E1520" s="115">
        <v>40799</v>
      </c>
      <c r="F1520" s="116" t="s">
        <v>1102</v>
      </c>
      <c r="G1520" s="224" t="s">
        <v>1103</v>
      </c>
      <c r="H1520" s="117" t="s">
        <v>1104</v>
      </c>
      <c r="I1520" s="141"/>
      <c r="J1520" s="141"/>
      <c r="K1520" s="13">
        <v>6089091</v>
      </c>
      <c r="L1520" s="118" t="s">
        <v>744</v>
      </c>
      <c r="M1520" s="118" t="s">
        <v>44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>x</v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>x</v>
      </c>
      <c r="Z1520" s="121">
        <v>9</v>
      </c>
    </row>
    <row r="1521" spans="1:26" ht="15.75" customHeight="1">
      <c r="A1521" s="125" t="str">
        <f>IF(B1521&lt;&gt;"",IF(AND(B1521&gt;=_TM1,B1521&lt;=_TM2,OR(TH!L1521="1111",TH!M1521="1111")),TH!D1521,""),"")</f>
        <v/>
      </c>
      <c r="B1521" s="11">
        <f t="shared" si="119"/>
        <v>9</v>
      </c>
      <c r="C1521" s="115">
        <v>40799</v>
      </c>
      <c r="D1521" s="110" t="s">
        <v>641</v>
      </c>
      <c r="E1521" s="115">
        <v>40799</v>
      </c>
      <c r="F1521" s="116" t="s">
        <v>1105</v>
      </c>
      <c r="G1521" s="224" t="s">
        <v>1103</v>
      </c>
      <c r="H1521" s="117" t="s">
        <v>1104</v>
      </c>
      <c r="I1521" s="141"/>
      <c r="J1521" s="141"/>
      <c r="K1521" s="13">
        <v>608909</v>
      </c>
      <c r="L1521" s="118" t="s">
        <v>9</v>
      </c>
      <c r="M1521" s="118" t="s">
        <v>44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>x</v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>x</v>
      </c>
      <c r="Z1521" s="121">
        <v>9</v>
      </c>
    </row>
    <row r="1522" spans="1:26" ht="15.75" customHeight="1">
      <c r="A1522" s="125" t="str">
        <f>IF(B1522&lt;&gt;"",IF(AND(B1522&gt;=_TM1,B1522&lt;=_TM2,OR(TH!L1522="1111",TH!M1522="1111")),TH!D1522,""),"")</f>
        <v/>
      </c>
      <c r="B1522" s="11">
        <f t="shared" si="119"/>
        <v>9</v>
      </c>
      <c r="C1522" s="115">
        <v>40801</v>
      </c>
      <c r="D1522" s="115" t="s">
        <v>898</v>
      </c>
      <c r="E1522" s="115">
        <v>40801</v>
      </c>
      <c r="F1522" s="116" t="s">
        <v>312</v>
      </c>
      <c r="G1522" s="224" t="s">
        <v>1138</v>
      </c>
      <c r="H1522" s="117" t="s">
        <v>736</v>
      </c>
      <c r="I1522" s="141"/>
      <c r="J1522" s="141"/>
      <c r="K1522" s="238">
        <v>7139000</v>
      </c>
      <c r="L1522" s="118" t="s">
        <v>44</v>
      </c>
      <c r="M1522" s="118" t="s">
        <v>237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>x</v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>x</v>
      </c>
      <c r="Z1522" s="121"/>
    </row>
    <row r="1523" spans="1:26" ht="15.75" customHeight="1">
      <c r="A1523" s="125" t="str">
        <f>IF(B1523&lt;&gt;"",IF(AND(B1523&gt;=_TM1,B1523&lt;=_TM2,OR(TH!L1523="1111",TH!M1523="1111")),TH!D1523,""),"")</f>
        <v/>
      </c>
      <c r="B1523" s="11">
        <f t="shared" si="119"/>
        <v>9</v>
      </c>
      <c r="C1523" s="115">
        <v>40801</v>
      </c>
      <c r="D1523" s="115" t="s">
        <v>925</v>
      </c>
      <c r="E1523" s="115">
        <v>40801</v>
      </c>
      <c r="F1523" s="116" t="s">
        <v>967</v>
      </c>
      <c r="G1523" s="224" t="s">
        <v>1138</v>
      </c>
      <c r="H1523" s="117" t="s">
        <v>736</v>
      </c>
      <c r="I1523" s="141">
        <v>590</v>
      </c>
      <c r="J1523" s="141">
        <v>11000</v>
      </c>
      <c r="K1523" s="238">
        <v>6490000</v>
      </c>
      <c r="L1523" s="118" t="s">
        <v>237</v>
      </c>
      <c r="M1523" s="118" t="s">
        <v>163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>x</v>
      </c>
      <c r="Z1523" s="121"/>
    </row>
    <row r="1524" spans="1:26" ht="15.75" customHeight="1">
      <c r="A1524" s="125" t="str">
        <f>IF(B1524&lt;&gt;"",IF(AND(B1524&gt;=_TM1,B1524&lt;=_TM2,OR(TH!L1524="1111",TH!M1524="1111")),TH!D1524,""),"")</f>
        <v/>
      </c>
      <c r="B1524" s="11">
        <f t="shared" si="119"/>
        <v>9</v>
      </c>
      <c r="C1524" s="115">
        <v>40801</v>
      </c>
      <c r="D1524" s="115" t="s">
        <v>925</v>
      </c>
      <c r="E1524" s="115">
        <v>40801</v>
      </c>
      <c r="F1524" s="116" t="s">
        <v>1121</v>
      </c>
      <c r="G1524" s="224" t="s">
        <v>1138</v>
      </c>
      <c r="H1524" s="117" t="s">
        <v>736</v>
      </c>
      <c r="I1524" s="141"/>
      <c r="J1524" s="141"/>
      <c r="K1524" s="238">
        <v>649000</v>
      </c>
      <c r="L1524" s="118" t="s">
        <v>237</v>
      </c>
      <c r="M1524" s="118" t="s">
        <v>707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>x</v>
      </c>
      <c r="Z1524" s="121"/>
    </row>
    <row r="1525" spans="1:26" ht="15.75" customHeight="1">
      <c r="A1525" s="125" t="str">
        <f>IF(B1525&lt;&gt;"",IF(AND(B1525&gt;=_TM1,B1525&lt;=_TM2,OR(TH!L1525="1111",TH!M1525="1111")),TH!D1525,""),"")</f>
        <v/>
      </c>
      <c r="B1525" s="11">
        <f t="shared" si="119"/>
        <v>9</v>
      </c>
      <c r="C1525" s="12">
        <f>E1525</f>
        <v>40801</v>
      </c>
      <c r="D1525" s="12" t="s">
        <v>1074</v>
      </c>
      <c r="E1525" s="12">
        <v>40801</v>
      </c>
      <c r="F1525" s="15" t="s">
        <v>967</v>
      </c>
      <c r="G1525" s="15"/>
      <c r="H1525" s="242" t="s">
        <v>1037</v>
      </c>
      <c r="I1525" s="141">
        <v>590</v>
      </c>
      <c r="J1525" s="141">
        <v>8992.1377182043252</v>
      </c>
      <c r="K1525" s="238">
        <f>ROUND(I1525*J1525,0)</f>
        <v>5305361</v>
      </c>
      <c r="L1525" s="14" t="s">
        <v>155</v>
      </c>
      <c r="M1525" s="14" t="s">
        <v>153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>x</v>
      </c>
      <c r="Z1525" s="121"/>
    </row>
    <row r="1526" spans="1:26" ht="15.75" customHeight="1">
      <c r="A1526" s="125" t="str">
        <f>IF(B1526&lt;&gt;"",IF(AND(B1526&gt;=_TM1,B1526&lt;=_TM2,OR(TH!L1526="1111",TH!M1526="1111")),TH!D1526,""),"")</f>
        <v/>
      </c>
      <c r="B1526" s="11">
        <f t="shared" si="119"/>
        <v>9</v>
      </c>
      <c r="C1526" s="12">
        <f>E1526</f>
        <v>40801</v>
      </c>
      <c r="D1526" s="12" t="s">
        <v>925</v>
      </c>
      <c r="E1526" s="12">
        <v>40801</v>
      </c>
      <c r="F1526" s="15" t="s">
        <v>967</v>
      </c>
      <c r="G1526" s="15" t="s">
        <v>1138</v>
      </c>
      <c r="H1526" s="242" t="s">
        <v>736</v>
      </c>
      <c r="I1526" s="141">
        <v>590</v>
      </c>
      <c r="J1526" s="141">
        <v>8992.1377182043252</v>
      </c>
      <c r="K1526" s="238">
        <f>ROUND(I1526*J1526,0)</f>
        <v>5305361</v>
      </c>
      <c r="L1526" s="14" t="s">
        <v>161</v>
      </c>
      <c r="M1526" s="14" t="s">
        <v>155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>x</v>
      </c>
      <c r="Z1526" s="121"/>
    </row>
    <row r="1527" spans="1:26" ht="15.75" customHeight="1">
      <c r="A1527" s="125" t="str">
        <f>IF(B1527&lt;&gt;"",IF(AND(B1527&gt;=_TM1,B1527&lt;=_TM2,OR(TH!L1527="1111",TH!M1527="1111")),TH!D1527,""),"")</f>
        <v/>
      </c>
      <c r="B1527" s="11">
        <f t="shared" si="119"/>
        <v>9</v>
      </c>
      <c r="C1527" s="110">
        <v>40802</v>
      </c>
      <c r="D1527" s="110" t="s">
        <v>642</v>
      </c>
      <c r="E1527" s="110">
        <v>40802</v>
      </c>
      <c r="F1527" s="114" t="s">
        <v>339</v>
      </c>
      <c r="G1527" s="240" t="s">
        <v>307</v>
      </c>
      <c r="H1527" s="117" t="s">
        <v>340</v>
      </c>
      <c r="I1527" s="141"/>
      <c r="J1527" s="141"/>
      <c r="K1527" s="238">
        <v>33000000</v>
      </c>
      <c r="L1527" s="239" t="s">
        <v>23</v>
      </c>
      <c r="M1527" s="239" t="s">
        <v>44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>x</v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>x</v>
      </c>
      <c r="Z1527" s="121"/>
    </row>
    <row r="1528" spans="1:26" ht="15.75" customHeight="1">
      <c r="A1528" s="125" t="str">
        <f>IF(B1528&lt;&gt;"",IF(AND(B1528&gt;=_TM1,B1528&lt;=_TM2,OR(TH!L1528="1111",TH!M1528="1111")),TH!D1528,""),"")</f>
        <v/>
      </c>
      <c r="B1528" s="11">
        <f t="shared" si="119"/>
        <v>9</v>
      </c>
      <c r="C1528" s="110">
        <v>40802</v>
      </c>
      <c r="D1528" s="110" t="s">
        <v>311</v>
      </c>
      <c r="E1528" s="110">
        <v>40802</v>
      </c>
      <c r="F1528" s="114" t="s">
        <v>344</v>
      </c>
      <c r="G1528" s="240" t="s">
        <v>307</v>
      </c>
      <c r="H1528" s="4" t="s">
        <v>525</v>
      </c>
      <c r="I1528" s="141"/>
      <c r="J1528" s="141"/>
      <c r="K1528" s="238">
        <v>23413000</v>
      </c>
      <c r="L1528" s="239" t="s">
        <v>8</v>
      </c>
      <c r="M1528" s="239" t="s">
        <v>23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>x</v>
      </c>
      <c r="Z1528" s="121"/>
    </row>
    <row r="1529" spans="1:26" ht="15.75" customHeight="1">
      <c r="A1529" s="125" t="str">
        <f>IF(B1529&lt;&gt;"",IF(AND(B1529&gt;=_TM1,B1529&lt;=_TM2,OR(TH!L1529="1111",TH!M1529="1111")),TH!D1529,""),"")</f>
        <v/>
      </c>
      <c r="B1529" s="11">
        <f t="shared" si="119"/>
        <v>9</v>
      </c>
      <c r="C1529" s="110">
        <v>40802</v>
      </c>
      <c r="D1529" s="110" t="s">
        <v>311</v>
      </c>
      <c r="E1529" s="110">
        <v>40802</v>
      </c>
      <c r="F1529" s="114" t="s">
        <v>344</v>
      </c>
      <c r="G1529" s="240" t="s">
        <v>307</v>
      </c>
      <c r="H1529" s="4" t="s">
        <v>476</v>
      </c>
      <c r="I1529" s="141"/>
      <c r="J1529" s="141"/>
      <c r="K1529" s="238">
        <v>10000000</v>
      </c>
      <c r="L1529" s="239" t="s">
        <v>8</v>
      </c>
      <c r="M1529" s="239" t="s">
        <v>23</v>
      </c>
      <c r="N1529" s="25" t="str">
        <f>IF(AND('331-CT'!$E$7=TH!H1529,OR(L1529="331",M1529="331")),"331",IF(AND(OR(L1529="131",M1529="131"),H1529='131-CT'!$E$7),"131",""))</f>
        <v>331</v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>x</v>
      </c>
      <c r="Z1529" s="121"/>
    </row>
    <row r="1530" spans="1:26" ht="15.75" customHeight="1">
      <c r="A1530" s="125" t="str">
        <f>IF(B1530&lt;&gt;"",IF(AND(B1530&gt;=_TM1,B1530&lt;=_TM2,OR(TH!L1530="1111",TH!M1530="1111")),TH!D1530,""),"")</f>
        <v/>
      </c>
      <c r="B1530" s="11">
        <f t="shared" si="119"/>
        <v>9</v>
      </c>
      <c r="C1530" s="110">
        <v>40802</v>
      </c>
      <c r="D1530" s="110" t="s">
        <v>311</v>
      </c>
      <c r="E1530" s="110">
        <v>40802</v>
      </c>
      <c r="F1530" s="114" t="s">
        <v>347</v>
      </c>
      <c r="G1530" s="240" t="s">
        <v>307</v>
      </c>
      <c r="H1530" s="4"/>
      <c r="I1530" s="141"/>
      <c r="J1530" s="141"/>
      <c r="K1530" s="238">
        <v>9091</v>
      </c>
      <c r="L1530" s="239" t="s">
        <v>73</v>
      </c>
      <c r="M1530" s="239" t="s">
        <v>23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>x</v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>x</v>
      </c>
      <c r="Z1530" s="121">
        <v>9</v>
      </c>
    </row>
    <row r="1531" spans="1:26" ht="15.75" customHeight="1">
      <c r="A1531" s="125" t="str">
        <f>IF(B1531&lt;&gt;"",IF(AND(B1531&gt;=_TM1,B1531&lt;=_TM2,OR(TH!L1531="1111",TH!M1531="1111")),TH!D1531,""),"")</f>
        <v/>
      </c>
      <c r="B1531" s="11">
        <f t="shared" si="119"/>
        <v>9</v>
      </c>
      <c r="C1531" s="110">
        <v>40802</v>
      </c>
      <c r="D1531" s="110" t="s">
        <v>311</v>
      </c>
      <c r="E1531" s="110">
        <v>40802</v>
      </c>
      <c r="F1531" s="114" t="s">
        <v>1378</v>
      </c>
      <c r="G1531" s="240" t="s">
        <v>307</v>
      </c>
      <c r="H1531" s="4"/>
      <c r="I1531" s="141"/>
      <c r="J1531" s="141"/>
      <c r="K1531" s="238">
        <v>909</v>
      </c>
      <c r="L1531" s="239" t="s">
        <v>9</v>
      </c>
      <c r="M1531" s="239" t="s">
        <v>23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>x</v>
      </c>
      <c r="Z1531" s="121">
        <v>9</v>
      </c>
    </row>
    <row r="1532" spans="1:26" ht="15.75" customHeight="1">
      <c r="A1532" s="125" t="str">
        <f>IF(B1532&lt;&gt;"",IF(AND(B1532&gt;=_TM1,B1532&lt;=_TM2,OR(TH!L1532="1111",TH!M1532="1111")),TH!D1532,""),"")</f>
        <v/>
      </c>
      <c r="B1532" s="11">
        <f t="shared" si="119"/>
        <v>9</v>
      </c>
      <c r="C1532" s="110">
        <v>40802</v>
      </c>
      <c r="D1532" s="110" t="s">
        <v>311</v>
      </c>
      <c r="E1532" s="110">
        <v>40802</v>
      </c>
      <c r="F1532" s="114" t="s">
        <v>313</v>
      </c>
      <c r="G1532" s="240" t="s">
        <v>307</v>
      </c>
      <c r="H1532" s="4"/>
      <c r="I1532" s="141"/>
      <c r="J1532" s="141"/>
      <c r="K1532" s="238">
        <v>9091</v>
      </c>
      <c r="L1532" s="239" t="s">
        <v>73</v>
      </c>
      <c r="M1532" s="239" t="s">
        <v>23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>x</v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>x</v>
      </c>
      <c r="Z1532" s="121">
        <v>9</v>
      </c>
    </row>
    <row r="1533" spans="1:26" ht="15.75" customHeight="1">
      <c r="A1533" s="125" t="str">
        <f>IF(B1533&lt;&gt;"",IF(AND(B1533&gt;=_TM1,B1533&lt;=_TM2,OR(TH!L1533="1111",TH!M1533="1111")),TH!D1533,""),"")</f>
        <v/>
      </c>
      <c r="B1533" s="11">
        <f t="shared" si="119"/>
        <v>9</v>
      </c>
      <c r="C1533" s="110">
        <v>40802</v>
      </c>
      <c r="D1533" s="110" t="s">
        <v>311</v>
      </c>
      <c r="E1533" s="110">
        <v>40802</v>
      </c>
      <c r="F1533" s="114" t="s">
        <v>1379</v>
      </c>
      <c r="G1533" s="240" t="s">
        <v>307</v>
      </c>
      <c r="H1533" s="4"/>
      <c r="I1533" s="141"/>
      <c r="J1533" s="141"/>
      <c r="K1533" s="238">
        <v>909</v>
      </c>
      <c r="L1533" s="239" t="s">
        <v>9</v>
      </c>
      <c r="M1533" s="239" t="s">
        <v>23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>x</v>
      </c>
      <c r="Z1533" s="121">
        <v>9</v>
      </c>
    </row>
    <row r="1534" spans="1:26" ht="15.75" customHeight="1">
      <c r="A1534" s="125" t="str">
        <f>IF(B1534&lt;&gt;"",IF(AND(B1534&gt;=_TM1,B1534&lt;=_TM2,OR(TH!L1534="1111",TH!M1534="1111")),TH!D1534,""),"")</f>
        <v/>
      </c>
      <c r="B1534" s="11">
        <f t="shared" si="119"/>
        <v>9</v>
      </c>
      <c r="C1534" s="115">
        <v>40803</v>
      </c>
      <c r="D1534" s="110" t="s">
        <v>644</v>
      </c>
      <c r="E1534" s="115">
        <v>40803</v>
      </c>
      <c r="F1534" s="116" t="s">
        <v>425</v>
      </c>
      <c r="G1534" s="224" t="s">
        <v>1106</v>
      </c>
      <c r="H1534" s="20" t="s">
        <v>428</v>
      </c>
      <c r="I1534" s="141"/>
      <c r="J1534" s="141"/>
      <c r="K1534" s="238">
        <v>250580</v>
      </c>
      <c r="L1534" s="118" t="s">
        <v>153</v>
      </c>
      <c r="M1534" s="118" t="s">
        <v>44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>x</v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>x</v>
      </c>
      <c r="Z1534" s="121">
        <v>9</v>
      </c>
    </row>
    <row r="1535" spans="1:26" ht="15.75" customHeight="1">
      <c r="A1535" s="125" t="str">
        <f>IF(B1535&lt;&gt;"",IF(AND(B1535&gt;=_TM1,B1535&lt;=_TM2,OR(TH!L1535="1111",TH!M1535="1111")),TH!D1535,""),"")</f>
        <v/>
      </c>
      <c r="B1535" s="11">
        <f t="shared" si="119"/>
        <v>9</v>
      </c>
      <c r="C1535" s="115">
        <v>40803</v>
      </c>
      <c r="D1535" s="110" t="s">
        <v>644</v>
      </c>
      <c r="E1535" s="115">
        <v>40803</v>
      </c>
      <c r="F1535" s="116" t="s">
        <v>426</v>
      </c>
      <c r="G1535" s="224" t="s">
        <v>1106</v>
      </c>
      <c r="H1535" s="20" t="s">
        <v>428</v>
      </c>
      <c r="I1535" s="141"/>
      <c r="J1535" s="141"/>
      <c r="K1535" s="13">
        <v>25058</v>
      </c>
      <c r="L1535" s="118" t="s">
        <v>9</v>
      </c>
      <c r="M1535" s="118" t="s">
        <v>44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>x</v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>x</v>
      </c>
      <c r="Z1535" s="121">
        <v>9</v>
      </c>
    </row>
    <row r="1536" spans="1:26" ht="15.75" customHeight="1">
      <c r="A1536" s="125" t="str">
        <f>IF(B1536&lt;&gt;"",IF(AND(B1536&gt;=_TM1,B1536&lt;=_TM2,OR(TH!L1536="1111",TH!M1536="1111")),TH!D1536,""),"")</f>
        <v/>
      </c>
      <c r="B1536" s="11">
        <f t="shared" si="119"/>
        <v>9</v>
      </c>
      <c r="C1536" s="12">
        <f t="shared" ref="C1536:C1543" si="124">E1536</f>
        <v>40803</v>
      </c>
      <c r="D1536" s="12" t="s">
        <v>1159</v>
      </c>
      <c r="E1536" s="304">
        <v>40803</v>
      </c>
      <c r="F1536" s="114" t="s">
        <v>555</v>
      </c>
      <c r="G1536" s="15"/>
      <c r="H1536" s="242" t="s">
        <v>1037</v>
      </c>
      <c r="I1536" s="141">
        <v>53</v>
      </c>
      <c r="J1536" s="141">
        <v>10344</v>
      </c>
      <c r="K1536" s="238">
        <f t="shared" ref="K1536:K1543" si="125">ROUND(I1536*J1536,0)</f>
        <v>548232</v>
      </c>
      <c r="L1536" s="14" t="s">
        <v>153</v>
      </c>
      <c r="M1536" s="14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>x</v>
      </c>
      <c r="Z1536" s="121"/>
    </row>
    <row r="1537" spans="1:26" ht="15.75" customHeight="1">
      <c r="A1537" s="125" t="str">
        <f>IF(B1537&lt;&gt;"",IF(AND(B1537&gt;=_TM1,B1537&lt;=_TM2,OR(TH!L1537="1111",TH!M1537="1111")),TH!D1537,""),"")</f>
        <v/>
      </c>
      <c r="B1537" s="11">
        <f t="shared" si="119"/>
        <v>9</v>
      </c>
      <c r="C1537" s="12">
        <f t="shared" si="124"/>
        <v>40803</v>
      </c>
      <c r="D1537" s="12" t="s">
        <v>1159</v>
      </c>
      <c r="E1537" s="304">
        <v>40803</v>
      </c>
      <c r="F1537" s="154" t="s">
        <v>456</v>
      </c>
      <c r="G1537" s="15"/>
      <c r="H1537" s="242" t="s">
        <v>1037</v>
      </c>
      <c r="I1537" s="141">
        <v>499</v>
      </c>
      <c r="J1537" s="141">
        <v>6026</v>
      </c>
      <c r="K1537" s="238">
        <f t="shared" si="125"/>
        <v>3006974</v>
      </c>
      <c r="L1537" s="14" t="s">
        <v>153</v>
      </c>
      <c r="M1537" s="14" t="s">
        <v>147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>x</v>
      </c>
      <c r="Z1537" s="121"/>
    </row>
    <row r="1538" spans="1:26" ht="15.75" customHeight="1">
      <c r="A1538" s="125" t="str">
        <f>IF(B1538&lt;&gt;"",IF(AND(B1538&gt;=_TM1,B1538&lt;=_TM2,OR(TH!L1538="1111",TH!M1538="1111")),TH!D1538,""),"")</f>
        <v/>
      </c>
      <c r="B1538" s="11">
        <f t="shared" si="119"/>
        <v>9</v>
      </c>
      <c r="C1538" s="12">
        <f t="shared" si="124"/>
        <v>40803</v>
      </c>
      <c r="D1538" s="12" t="s">
        <v>1159</v>
      </c>
      <c r="E1538" s="304">
        <v>40803</v>
      </c>
      <c r="F1538" s="114" t="s">
        <v>364</v>
      </c>
      <c r="G1538" s="15"/>
      <c r="H1538" s="242" t="s">
        <v>1037</v>
      </c>
      <c r="I1538" s="315">
        <v>2</v>
      </c>
      <c r="J1538" s="141">
        <v>4449</v>
      </c>
      <c r="K1538" s="238">
        <f t="shared" si="125"/>
        <v>8898</v>
      </c>
      <c r="L1538" s="14" t="s">
        <v>153</v>
      </c>
      <c r="M1538" s="14" t="s">
        <v>147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>x</v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>x</v>
      </c>
      <c r="Z1538" s="121"/>
    </row>
    <row r="1539" spans="1:26" ht="15.75" customHeight="1">
      <c r="A1539" s="125" t="str">
        <f>IF(B1539&lt;&gt;"",IF(AND(B1539&gt;=_TM1,B1539&lt;=_TM2,OR(TH!L1539="1111",TH!M1539="1111")),TH!D1539,""),"")</f>
        <v/>
      </c>
      <c r="B1539" s="11">
        <f t="shared" si="119"/>
        <v>9</v>
      </c>
      <c r="C1539" s="12">
        <f t="shared" si="124"/>
        <v>40803</v>
      </c>
      <c r="D1539" s="12" t="s">
        <v>1159</v>
      </c>
      <c r="E1539" s="304">
        <v>40803</v>
      </c>
      <c r="F1539" s="15" t="s">
        <v>579</v>
      </c>
      <c r="G1539" s="15"/>
      <c r="H1539" s="242" t="s">
        <v>1037</v>
      </c>
      <c r="I1539" s="141">
        <v>6</v>
      </c>
      <c r="J1539" s="141">
        <v>13090</v>
      </c>
      <c r="K1539" s="238">
        <f t="shared" si="125"/>
        <v>78540</v>
      </c>
      <c r="L1539" s="14" t="s">
        <v>153</v>
      </c>
      <c r="M1539" s="14" t="s">
        <v>147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>x</v>
      </c>
      <c r="Z1539" s="121"/>
    </row>
    <row r="1540" spans="1:26" ht="15.75" customHeight="1">
      <c r="A1540" s="125" t="str">
        <f>IF(B1540&lt;&gt;"",IF(AND(B1540&gt;=_TM1,B1540&lt;=_TM2,OR(TH!L1540="1111",TH!M1540="1111")),TH!D1540,""),"")</f>
        <v/>
      </c>
      <c r="B1540" s="11">
        <f t="shared" si="119"/>
        <v>9</v>
      </c>
      <c r="C1540" s="12">
        <f t="shared" si="124"/>
        <v>40803</v>
      </c>
      <c r="D1540" s="12" t="s">
        <v>1159</v>
      </c>
      <c r="E1540" s="304">
        <v>40803</v>
      </c>
      <c r="F1540" s="114" t="s">
        <v>500</v>
      </c>
      <c r="G1540" s="15"/>
      <c r="H1540" s="242" t="s">
        <v>1037</v>
      </c>
      <c r="I1540" s="141">
        <v>1</v>
      </c>
      <c r="J1540" s="141">
        <v>7268</v>
      </c>
      <c r="K1540" s="238">
        <f t="shared" si="125"/>
        <v>7268</v>
      </c>
      <c r="L1540" s="14" t="s">
        <v>153</v>
      </c>
      <c r="M1540" s="14" t="s">
        <v>147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>x</v>
      </c>
      <c r="Z1540" s="121"/>
    </row>
    <row r="1541" spans="1:26" ht="15.75" customHeight="1">
      <c r="A1541" s="125" t="str">
        <f>IF(B1541&lt;&gt;"",IF(AND(B1541&gt;=_TM1,B1541&lt;=_TM2,OR(TH!L1541="1111",TH!M1541="1111")),TH!D1541,""),"")</f>
        <v/>
      </c>
      <c r="B1541" s="11">
        <f t="shared" si="119"/>
        <v>9</v>
      </c>
      <c r="C1541" s="12">
        <f t="shared" si="124"/>
        <v>40803</v>
      </c>
      <c r="D1541" s="12" t="s">
        <v>1159</v>
      </c>
      <c r="E1541" s="304">
        <v>40803</v>
      </c>
      <c r="F1541" s="114" t="s">
        <v>364</v>
      </c>
      <c r="G1541" s="15"/>
      <c r="H1541" s="242" t="s">
        <v>1037</v>
      </c>
      <c r="I1541" s="315">
        <v>6</v>
      </c>
      <c r="J1541" s="141">
        <v>4449</v>
      </c>
      <c r="K1541" s="238">
        <f t="shared" si="125"/>
        <v>26694</v>
      </c>
      <c r="L1541" s="14" t="s">
        <v>153</v>
      </c>
      <c r="M1541" s="14" t="s">
        <v>147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>x</v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>x</v>
      </c>
      <c r="Z1541" s="121"/>
    </row>
    <row r="1542" spans="1:26" ht="15.75" customHeight="1">
      <c r="A1542" s="125" t="str">
        <f>IF(B1542&lt;&gt;"",IF(AND(B1542&gt;=_TM1,B1542&lt;=_TM2,OR(TH!L1542="1111",TH!M1542="1111")),TH!D1542,""),"")</f>
        <v/>
      </c>
      <c r="B1542" s="11">
        <f t="shared" si="119"/>
        <v>9</v>
      </c>
      <c r="C1542" s="12">
        <f t="shared" si="124"/>
        <v>40803</v>
      </c>
      <c r="D1542" s="12" t="s">
        <v>1159</v>
      </c>
      <c r="E1542" s="304">
        <v>40803</v>
      </c>
      <c r="F1542" s="114" t="s">
        <v>364</v>
      </c>
      <c r="G1542" s="15"/>
      <c r="H1542" s="242" t="s">
        <v>1037</v>
      </c>
      <c r="I1542" s="315">
        <v>2</v>
      </c>
      <c r="J1542" s="141">
        <v>4449</v>
      </c>
      <c r="K1542" s="238">
        <f t="shared" si="125"/>
        <v>8898</v>
      </c>
      <c r="L1542" s="14" t="s">
        <v>153</v>
      </c>
      <c r="M1542" s="14" t="s">
        <v>147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>x</v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>x</v>
      </c>
      <c r="Z1542" s="121"/>
    </row>
    <row r="1543" spans="1:26" ht="15.75" customHeight="1">
      <c r="A1543" s="125" t="str">
        <f>IF(B1543&lt;&gt;"",IF(AND(B1543&gt;=_TM1,B1543&lt;=_TM2,OR(TH!L1543="1111",TH!M1543="1111")),TH!D1543,""),"")</f>
        <v/>
      </c>
      <c r="B1543" s="11">
        <f t="shared" si="119"/>
        <v>9</v>
      </c>
      <c r="C1543" s="12">
        <f t="shared" si="124"/>
        <v>40803</v>
      </c>
      <c r="D1543" s="12" t="s">
        <v>1159</v>
      </c>
      <c r="E1543" s="304">
        <v>40803</v>
      </c>
      <c r="F1543" s="114" t="s">
        <v>364</v>
      </c>
      <c r="G1543" s="15"/>
      <c r="H1543" s="242" t="s">
        <v>1037</v>
      </c>
      <c r="I1543" s="315">
        <v>2</v>
      </c>
      <c r="J1543" s="141">
        <v>4449</v>
      </c>
      <c r="K1543" s="238">
        <f t="shared" si="125"/>
        <v>8898</v>
      </c>
      <c r="L1543" s="14" t="s">
        <v>153</v>
      </c>
      <c r="M1543" s="14" t="s">
        <v>147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>x</v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>x</v>
      </c>
      <c r="Z1543" s="121"/>
    </row>
    <row r="1544" spans="1:26" ht="15.75" customHeight="1">
      <c r="A1544" s="125" t="str">
        <f>IF(B1544&lt;&gt;"",IF(AND(B1544&gt;=_TM1,B1544&lt;=_TM2,OR(TH!L1544="1111",TH!M1544="1111")),TH!D1544,""),"")</f>
        <v/>
      </c>
      <c r="B1544" s="11">
        <f t="shared" si="119"/>
        <v>9</v>
      </c>
      <c r="C1544" s="115">
        <v>40804</v>
      </c>
      <c r="D1544" s="115" t="s">
        <v>926</v>
      </c>
      <c r="E1544" s="115">
        <v>40804</v>
      </c>
      <c r="F1544" s="116" t="s">
        <v>968</v>
      </c>
      <c r="G1544" s="224" t="s">
        <v>1139</v>
      </c>
      <c r="H1544" s="117" t="s">
        <v>709</v>
      </c>
      <c r="I1544" s="141">
        <v>123</v>
      </c>
      <c r="J1544" s="141">
        <v>19061</v>
      </c>
      <c r="K1544" s="238">
        <v>2344503</v>
      </c>
      <c r="L1544" s="118" t="s">
        <v>237</v>
      </c>
      <c r="M1544" s="118" t="s">
        <v>163</v>
      </c>
      <c r="N1544" s="25" t="str">
        <f>IF(AND('331-CT'!$E$7=TH!H1544,OR(L1544="331",M1544="331")),"331",IF(AND(OR(L1544="131",M1544="131"),H1544='131-CT'!$E$7),"131",""))</f>
        <v>131</v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>x</v>
      </c>
      <c r="Z1544" s="121"/>
    </row>
    <row r="1545" spans="1:26" ht="15.75" customHeight="1">
      <c r="A1545" s="125" t="str">
        <f>IF(B1545&lt;&gt;"",IF(AND(B1545&gt;=_TM1,B1545&lt;=_TM2,OR(TH!L1545="1111",TH!M1545="1111")),TH!D1545,""),"")</f>
        <v/>
      </c>
      <c r="B1545" s="11">
        <f t="shared" si="119"/>
        <v>9</v>
      </c>
      <c r="C1545" s="115">
        <v>40804</v>
      </c>
      <c r="D1545" s="115" t="s">
        <v>926</v>
      </c>
      <c r="E1545" s="115">
        <v>40804</v>
      </c>
      <c r="F1545" s="116" t="s">
        <v>969</v>
      </c>
      <c r="G1545" s="224" t="s">
        <v>1139</v>
      </c>
      <c r="H1545" s="117" t="s">
        <v>709</v>
      </c>
      <c r="I1545" s="141">
        <v>122</v>
      </c>
      <c r="J1545" s="141">
        <v>13090</v>
      </c>
      <c r="K1545" s="238">
        <v>1596980</v>
      </c>
      <c r="L1545" s="118" t="s">
        <v>237</v>
      </c>
      <c r="M1545" s="118" t="s">
        <v>163</v>
      </c>
      <c r="N1545" s="25" t="str">
        <f>IF(AND('331-CT'!$E$7=TH!H1545,OR(L1545="331",M1545="331")),"331",IF(AND(OR(L1545="131",M1545="131"),H1545='131-CT'!$E$7),"131",""))</f>
        <v>131</v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>x</v>
      </c>
      <c r="Z1545" s="121"/>
    </row>
    <row r="1546" spans="1:26" ht="15.75" customHeight="1">
      <c r="A1546" s="125" t="str">
        <f>IF(B1546&lt;&gt;"",IF(AND(B1546&gt;=_TM1,B1546&lt;=_TM2,OR(TH!L1546="1111",TH!M1546="1111")),TH!D1546,""),"")</f>
        <v/>
      </c>
      <c r="B1546" s="11">
        <f t="shared" si="119"/>
        <v>9</v>
      </c>
      <c r="C1546" s="115">
        <v>40804</v>
      </c>
      <c r="D1546" s="115" t="s">
        <v>926</v>
      </c>
      <c r="E1546" s="115">
        <v>40804</v>
      </c>
      <c r="F1546" s="116" t="s">
        <v>732</v>
      </c>
      <c r="G1546" s="224" t="s">
        <v>1139</v>
      </c>
      <c r="H1546" s="117" t="s">
        <v>709</v>
      </c>
      <c r="I1546" s="141">
        <v>120</v>
      </c>
      <c r="J1546" s="141">
        <v>2528</v>
      </c>
      <c r="K1546" s="238">
        <v>303360</v>
      </c>
      <c r="L1546" s="118" t="s">
        <v>237</v>
      </c>
      <c r="M1546" s="118" t="s">
        <v>163</v>
      </c>
      <c r="N1546" s="25" t="str">
        <f>IF(AND('331-CT'!$E$7=TH!H1546,OR(L1546="331",M1546="331")),"331",IF(AND(OR(L1546="131",M1546="131"),H1546='131-CT'!$E$7),"131",""))</f>
        <v>131</v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>x</v>
      </c>
      <c r="Z1546" s="121"/>
    </row>
    <row r="1547" spans="1:26" ht="15.75" customHeight="1">
      <c r="A1547" s="125" t="str">
        <f>IF(B1547&lt;&gt;"",IF(AND(B1547&gt;=_TM1,B1547&lt;=_TM2,OR(TH!L1547="1111",TH!M1547="1111")),TH!D1547,""),"")</f>
        <v/>
      </c>
      <c r="B1547" s="11">
        <f t="shared" si="119"/>
        <v>9</v>
      </c>
      <c r="C1547" s="115">
        <v>40804</v>
      </c>
      <c r="D1547" s="115" t="s">
        <v>926</v>
      </c>
      <c r="E1547" s="115">
        <v>40804</v>
      </c>
      <c r="F1547" s="116" t="s">
        <v>970</v>
      </c>
      <c r="G1547" s="224" t="s">
        <v>1139</v>
      </c>
      <c r="H1547" s="117" t="s">
        <v>709</v>
      </c>
      <c r="I1547" s="141">
        <v>52</v>
      </c>
      <c r="J1547" s="141">
        <v>10535</v>
      </c>
      <c r="K1547" s="238">
        <v>547820</v>
      </c>
      <c r="L1547" s="118" t="s">
        <v>237</v>
      </c>
      <c r="M1547" s="118" t="s">
        <v>163</v>
      </c>
      <c r="N1547" s="25" t="str">
        <f>IF(AND('331-CT'!$E$7=TH!H1547,OR(L1547="331",M1547="331")),"331",IF(AND(OR(L1547="131",M1547="131"),H1547='131-CT'!$E$7),"131",""))</f>
        <v>131</v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>x</v>
      </c>
      <c r="Z1547" s="121"/>
    </row>
    <row r="1548" spans="1:26" ht="15.75" customHeight="1">
      <c r="A1548" s="125" t="str">
        <f>IF(B1548&lt;&gt;"",IF(AND(B1548&gt;=_TM1,B1548&lt;=_TM2,OR(TH!L1548="1111",TH!M1548="1111")),TH!D1548,""),"")</f>
        <v/>
      </c>
      <c r="B1548" s="11">
        <f t="shared" si="119"/>
        <v>9</v>
      </c>
      <c r="C1548" s="115">
        <v>40804</v>
      </c>
      <c r="D1548" s="115" t="s">
        <v>926</v>
      </c>
      <c r="E1548" s="115">
        <v>40804</v>
      </c>
      <c r="F1548" s="116" t="s">
        <v>732</v>
      </c>
      <c r="G1548" s="224" t="s">
        <v>1139</v>
      </c>
      <c r="H1548" s="117" t="s">
        <v>709</v>
      </c>
      <c r="I1548" s="141">
        <v>48</v>
      </c>
      <c r="J1548" s="141">
        <v>1981</v>
      </c>
      <c r="K1548" s="238">
        <v>95088</v>
      </c>
      <c r="L1548" s="118" t="s">
        <v>237</v>
      </c>
      <c r="M1548" s="118" t="s">
        <v>163</v>
      </c>
      <c r="N1548" s="25" t="str">
        <f>IF(AND('331-CT'!$E$7=TH!H1548,OR(L1548="331",M1548="331")),"331",IF(AND(OR(L1548="131",M1548="131"),H1548='131-CT'!$E$7),"131",""))</f>
        <v>131</v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/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>x</v>
      </c>
      <c r="Z1548" s="121"/>
    </row>
    <row r="1549" spans="1:26" ht="15.75" customHeight="1">
      <c r="A1549" s="125" t="str">
        <f>IF(B1549&lt;&gt;"",IF(AND(B1549&gt;=_TM1,B1549&lt;=_TM2,OR(TH!L1549="1111",TH!M1549="1111")),TH!D1549,""),"")</f>
        <v/>
      </c>
      <c r="B1549" s="11">
        <f t="shared" si="119"/>
        <v>9</v>
      </c>
      <c r="C1549" s="115">
        <v>40804</v>
      </c>
      <c r="D1549" s="115" t="s">
        <v>926</v>
      </c>
      <c r="E1549" s="115">
        <v>40804</v>
      </c>
      <c r="F1549" s="116" t="s">
        <v>971</v>
      </c>
      <c r="G1549" s="224" t="s">
        <v>1139</v>
      </c>
      <c r="H1549" s="117" t="s">
        <v>709</v>
      </c>
      <c r="I1549" s="141">
        <v>142</v>
      </c>
      <c r="J1549" s="141">
        <v>19465</v>
      </c>
      <c r="K1549" s="238">
        <v>2764030</v>
      </c>
      <c r="L1549" s="118" t="s">
        <v>237</v>
      </c>
      <c r="M1549" s="118" t="s">
        <v>163</v>
      </c>
      <c r="N1549" s="25" t="str">
        <f>IF(AND('331-CT'!$E$7=TH!H1549,OR(L1549="331",M1549="331")),"331",IF(AND(OR(L1549="131",M1549="131"),H1549='131-CT'!$E$7),"131",""))</f>
        <v>131</v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>x</v>
      </c>
      <c r="Z1549" s="121"/>
    </row>
    <row r="1550" spans="1:26" ht="15.75" customHeight="1">
      <c r="A1550" s="125" t="str">
        <f>IF(B1550&lt;&gt;"",IF(AND(B1550&gt;=_TM1,B1550&lt;=_TM2,OR(TH!L1550="1111",TH!M1550="1111")),TH!D1550,""),"")</f>
        <v/>
      </c>
      <c r="B1550" s="11">
        <f t="shared" si="119"/>
        <v>9</v>
      </c>
      <c r="C1550" s="115">
        <v>40804</v>
      </c>
      <c r="D1550" s="115" t="s">
        <v>926</v>
      </c>
      <c r="E1550" s="115">
        <v>40804</v>
      </c>
      <c r="F1550" s="116" t="s">
        <v>972</v>
      </c>
      <c r="G1550" s="224" t="s">
        <v>1139</v>
      </c>
      <c r="H1550" s="117" t="s">
        <v>709</v>
      </c>
      <c r="I1550" s="141">
        <v>214</v>
      </c>
      <c r="J1550" s="141">
        <v>8398</v>
      </c>
      <c r="K1550" s="238">
        <v>1797172</v>
      </c>
      <c r="L1550" s="118" t="s">
        <v>237</v>
      </c>
      <c r="M1550" s="118" t="s">
        <v>163</v>
      </c>
      <c r="N1550" s="25" t="str">
        <f>IF(AND('331-CT'!$E$7=TH!H1550,OR(L1550="331",M1550="331")),"331",IF(AND(OR(L1550="131",M1550="131"),H1550='131-CT'!$E$7),"131",""))</f>
        <v>131</v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>x</v>
      </c>
      <c r="Z1550" s="121"/>
    </row>
    <row r="1551" spans="1:26" ht="15.75" customHeight="1">
      <c r="A1551" s="125" t="str">
        <f>IF(B1551&lt;&gt;"",IF(AND(B1551&gt;=_TM1,B1551&lt;=_TM2,OR(TH!L1551="1111",TH!M1551="1111")),TH!D1551,""),"")</f>
        <v/>
      </c>
      <c r="B1551" s="11">
        <f t="shared" si="119"/>
        <v>9</v>
      </c>
      <c r="C1551" s="115">
        <v>40804</v>
      </c>
      <c r="D1551" s="115" t="s">
        <v>926</v>
      </c>
      <c r="E1551" s="115">
        <v>40804</v>
      </c>
      <c r="F1551" s="116" t="s">
        <v>973</v>
      </c>
      <c r="G1551" s="224" t="s">
        <v>1139</v>
      </c>
      <c r="H1551" s="117" t="s">
        <v>709</v>
      </c>
      <c r="I1551" s="141">
        <v>281</v>
      </c>
      <c r="J1551" s="141">
        <v>10534</v>
      </c>
      <c r="K1551" s="238">
        <v>2960054</v>
      </c>
      <c r="L1551" s="118" t="s">
        <v>237</v>
      </c>
      <c r="M1551" s="118" t="s">
        <v>163</v>
      </c>
      <c r="N1551" s="25" t="str">
        <f>IF(AND('331-CT'!$E$7=TH!H1551,OR(L1551="331",M1551="331")),"331",IF(AND(OR(L1551="131",M1551="131"),H1551='131-CT'!$E$7),"131",""))</f>
        <v>131</v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>x</v>
      </c>
      <c r="Z1551" s="121"/>
    </row>
    <row r="1552" spans="1:26" ht="15.75" customHeight="1">
      <c r="A1552" s="125" t="str">
        <f>IF(B1552&lt;&gt;"",IF(AND(B1552&gt;=_TM1,B1552&lt;=_TM2,OR(TH!L1552="1111",TH!M1552="1111")),TH!D1552,""),"")</f>
        <v/>
      </c>
      <c r="B1552" s="11">
        <f t="shared" si="119"/>
        <v>9</v>
      </c>
      <c r="C1552" s="115">
        <v>40804</v>
      </c>
      <c r="D1552" s="115" t="s">
        <v>926</v>
      </c>
      <c r="E1552" s="115">
        <v>40804</v>
      </c>
      <c r="F1552" s="116" t="s">
        <v>1121</v>
      </c>
      <c r="G1552" s="224" t="s">
        <v>1139</v>
      </c>
      <c r="H1552" s="117" t="s">
        <v>709</v>
      </c>
      <c r="I1552" s="141"/>
      <c r="J1552" s="141"/>
      <c r="K1552" s="238">
        <v>1240901</v>
      </c>
      <c r="L1552" s="118" t="s">
        <v>237</v>
      </c>
      <c r="M1552" s="118" t="s">
        <v>707</v>
      </c>
      <c r="N1552" s="25" t="str">
        <f>IF(AND('331-CT'!$E$7=TH!H1552,OR(L1552="331",M1552="331")),"331",IF(AND(OR(L1552="131",M1552="131"),H1552='131-CT'!$E$7),"131",""))</f>
        <v>131</v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>x</v>
      </c>
      <c r="Z1552" s="121"/>
    </row>
    <row r="1553" spans="1:26" ht="15.75" customHeight="1">
      <c r="A1553" s="125" t="str">
        <f>IF(B1553&lt;&gt;"",IF(AND(B1553&gt;=_TM1,B1553&lt;=_TM2,OR(TH!L1553="1111",TH!M1553="1111")),TH!D1553,""),"")</f>
        <v/>
      </c>
      <c r="B1553" s="11">
        <f t="shared" si="119"/>
        <v>9</v>
      </c>
      <c r="C1553" s="12">
        <f t="shared" ref="C1553:C1568" si="126">E1553</f>
        <v>40804</v>
      </c>
      <c r="D1553" s="12" t="s">
        <v>1075</v>
      </c>
      <c r="E1553" s="12">
        <v>40804</v>
      </c>
      <c r="F1553" s="15" t="s">
        <v>968</v>
      </c>
      <c r="G1553" s="15"/>
      <c r="H1553" s="242" t="s">
        <v>1037</v>
      </c>
      <c r="I1553" s="141">
        <v>123</v>
      </c>
      <c r="J1553" s="141">
        <v>18714.902800194133</v>
      </c>
      <c r="K1553" s="238">
        <f t="shared" ref="K1553:K1568" si="127">ROUND(I1553*J1553,0)</f>
        <v>2301933</v>
      </c>
      <c r="L1553" s="14" t="s">
        <v>155</v>
      </c>
      <c r="M1553" s="14" t="s">
        <v>153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>x</v>
      </c>
      <c r="Z1553" s="121"/>
    </row>
    <row r="1554" spans="1:26" ht="15.75" customHeight="1">
      <c r="A1554" s="125" t="str">
        <f>IF(B1554&lt;&gt;"",IF(AND(B1554&gt;=_TM1,B1554&lt;=_TM2,OR(TH!L1554="1111",TH!M1554="1111")),TH!D1554,""),"")</f>
        <v/>
      </c>
      <c r="B1554" s="11">
        <f t="shared" si="119"/>
        <v>9</v>
      </c>
      <c r="C1554" s="12">
        <f t="shared" si="126"/>
        <v>40804</v>
      </c>
      <c r="D1554" s="12" t="s">
        <v>1075</v>
      </c>
      <c r="E1554" s="12">
        <v>40804</v>
      </c>
      <c r="F1554" s="15" t="s">
        <v>969</v>
      </c>
      <c r="G1554" s="15"/>
      <c r="H1554" s="242" t="s">
        <v>1037</v>
      </c>
      <c r="I1554" s="141">
        <v>122</v>
      </c>
      <c r="J1554" s="141">
        <v>12041.39873515348</v>
      </c>
      <c r="K1554" s="238">
        <f t="shared" si="127"/>
        <v>1469051</v>
      </c>
      <c r="L1554" s="14" t="s">
        <v>155</v>
      </c>
      <c r="M1554" s="14" t="s">
        <v>153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>x</v>
      </c>
      <c r="Z1554" s="121"/>
    </row>
    <row r="1555" spans="1:26" ht="15.75" customHeight="1">
      <c r="A1555" s="125" t="str">
        <f>IF(B1555&lt;&gt;"",IF(AND(B1555&gt;=_TM1,B1555&lt;=_TM2,OR(TH!L1555="1111",TH!M1555="1111")),TH!D1555,""),"")</f>
        <v/>
      </c>
      <c r="B1555" s="11">
        <f t="shared" si="119"/>
        <v>9</v>
      </c>
      <c r="C1555" s="12">
        <f t="shared" si="126"/>
        <v>40804</v>
      </c>
      <c r="D1555" s="12" t="s">
        <v>1075</v>
      </c>
      <c r="E1555" s="12">
        <v>40804</v>
      </c>
      <c r="F1555" s="116" t="s">
        <v>732</v>
      </c>
      <c r="G1555" s="15"/>
      <c r="H1555" s="242" t="s">
        <v>1037</v>
      </c>
      <c r="I1555" s="141">
        <v>120</v>
      </c>
      <c r="J1555" s="141">
        <v>2681.5987351534782</v>
      </c>
      <c r="K1555" s="238">
        <f t="shared" si="127"/>
        <v>321792</v>
      </c>
      <c r="L1555" s="14" t="s">
        <v>155</v>
      </c>
      <c r="M1555" s="14" t="s">
        <v>153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>x</v>
      </c>
      <c r="Z1555" s="121"/>
    </row>
    <row r="1556" spans="1:26" ht="15.75" customHeight="1">
      <c r="A1556" s="125" t="str">
        <f>IF(B1556&lt;&gt;"",IF(AND(B1556&gt;=_TM1,B1556&lt;=_TM2,OR(TH!L1556="1111",TH!M1556="1111")),TH!D1556,""),"")</f>
        <v/>
      </c>
      <c r="B1556" s="11">
        <f t="shared" si="119"/>
        <v>9</v>
      </c>
      <c r="C1556" s="12">
        <f t="shared" si="126"/>
        <v>40804</v>
      </c>
      <c r="D1556" s="12" t="s">
        <v>1075</v>
      </c>
      <c r="E1556" s="12">
        <v>40804</v>
      </c>
      <c r="F1556" s="15" t="s">
        <v>970</v>
      </c>
      <c r="G1556" s="15"/>
      <c r="H1556" s="242" t="s">
        <v>1037</v>
      </c>
      <c r="I1556" s="141">
        <v>52</v>
      </c>
      <c r="J1556" s="141">
        <v>9362.3987351534779</v>
      </c>
      <c r="K1556" s="238">
        <f t="shared" si="127"/>
        <v>486845</v>
      </c>
      <c r="L1556" s="14" t="s">
        <v>155</v>
      </c>
      <c r="M1556" s="14" t="s">
        <v>153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>x</v>
      </c>
      <c r="Z1556" s="121"/>
    </row>
    <row r="1557" spans="1:26" ht="15.75" customHeight="1">
      <c r="A1557" s="125" t="str">
        <f>IF(B1557&lt;&gt;"",IF(AND(B1557&gt;=_TM1,B1557&lt;=_TM2,OR(TH!L1557="1111",TH!M1557="1111")),TH!D1557,""),"")</f>
        <v/>
      </c>
      <c r="B1557" s="11">
        <f t="shared" si="119"/>
        <v>9</v>
      </c>
      <c r="C1557" s="12">
        <f t="shared" si="126"/>
        <v>40804</v>
      </c>
      <c r="D1557" s="12" t="s">
        <v>1075</v>
      </c>
      <c r="E1557" s="12">
        <v>40804</v>
      </c>
      <c r="F1557" s="116" t="s">
        <v>732</v>
      </c>
      <c r="G1557" s="15"/>
      <c r="H1557" s="242" t="s">
        <v>1037</v>
      </c>
      <c r="I1557" s="141">
        <v>48</v>
      </c>
      <c r="J1557" s="141">
        <v>2685.8362351534784</v>
      </c>
      <c r="K1557" s="238">
        <f t="shared" si="127"/>
        <v>128920</v>
      </c>
      <c r="L1557" s="14" t="s">
        <v>155</v>
      </c>
      <c r="M1557" s="14" t="s">
        <v>153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>x</v>
      </c>
      <c r="Z1557" s="121"/>
    </row>
    <row r="1558" spans="1:26" ht="15.75" customHeight="1">
      <c r="A1558" s="125" t="str">
        <f>IF(B1558&lt;&gt;"",IF(AND(B1558&gt;=_TM1,B1558&lt;=_TM2,OR(TH!L1558="1111",TH!M1558="1111")),TH!D1558,""),"")</f>
        <v/>
      </c>
      <c r="B1558" s="11">
        <f t="shared" ref="B1558:B1621" si="128">IF(C1558&lt;&gt;"",MONTH(C1558),"")</f>
        <v>9</v>
      </c>
      <c r="C1558" s="12">
        <f t="shared" si="126"/>
        <v>40804</v>
      </c>
      <c r="D1558" s="12" t="s">
        <v>1075</v>
      </c>
      <c r="E1558" s="12">
        <v>40804</v>
      </c>
      <c r="F1558" s="15" t="s">
        <v>971</v>
      </c>
      <c r="G1558" s="15"/>
      <c r="H1558" s="242" t="s">
        <v>1037</v>
      </c>
      <c r="I1558" s="141">
        <v>142</v>
      </c>
      <c r="J1558" s="141">
        <v>18714.891692899957</v>
      </c>
      <c r="K1558" s="238">
        <f t="shared" si="127"/>
        <v>2657515</v>
      </c>
      <c r="L1558" s="14" t="s">
        <v>155</v>
      </c>
      <c r="M1558" s="14" t="s">
        <v>153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>x</v>
      </c>
      <c r="Z1558" s="121"/>
    </row>
    <row r="1559" spans="1:26" ht="15.75" customHeight="1">
      <c r="A1559" s="125" t="str">
        <f>IF(B1559&lt;&gt;"",IF(AND(B1559&gt;=_TM1,B1559&lt;=_TM2,OR(TH!L1559="1111",TH!M1559="1111")),TH!D1559,""),"")</f>
        <v/>
      </c>
      <c r="B1559" s="11">
        <f t="shared" si="128"/>
        <v>9</v>
      </c>
      <c r="C1559" s="12">
        <f t="shared" si="126"/>
        <v>40804</v>
      </c>
      <c r="D1559" s="12" t="s">
        <v>1075</v>
      </c>
      <c r="E1559" s="12">
        <v>40804</v>
      </c>
      <c r="F1559" s="15" t="s">
        <v>972</v>
      </c>
      <c r="G1559" s="15"/>
      <c r="H1559" s="242" t="s">
        <v>1037</v>
      </c>
      <c r="I1559" s="141">
        <v>214</v>
      </c>
      <c r="J1559" s="141">
        <v>7394.3987351534779</v>
      </c>
      <c r="K1559" s="238">
        <f t="shared" si="127"/>
        <v>1582401</v>
      </c>
      <c r="L1559" s="14" t="s">
        <v>155</v>
      </c>
      <c r="M1559" s="14" t="s">
        <v>153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/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>x</v>
      </c>
      <c r="Z1559" s="121"/>
    </row>
    <row r="1560" spans="1:26" ht="15.75" customHeight="1">
      <c r="A1560" s="125" t="str">
        <f>IF(B1560&lt;&gt;"",IF(AND(B1560&gt;=_TM1,B1560&lt;=_TM2,OR(TH!L1560="1111",TH!M1560="1111")),TH!D1560,""),"")</f>
        <v/>
      </c>
      <c r="B1560" s="11">
        <f t="shared" si="128"/>
        <v>9</v>
      </c>
      <c r="C1560" s="12">
        <f t="shared" si="126"/>
        <v>40804</v>
      </c>
      <c r="D1560" s="12" t="s">
        <v>1075</v>
      </c>
      <c r="E1560" s="12">
        <v>40804</v>
      </c>
      <c r="F1560" s="15" t="s">
        <v>973</v>
      </c>
      <c r="G1560" s="15"/>
      <c r="H1560" s="242" t="s">
        <v>1037</v>
      </c>
      <c r="I1560" s="141">
        <v>281</v>
      </c>
      <c r="J1560" s="141">
        <v>8748.5909059719834</v>
      </c>
      <c r="K1560" s="238">
        <f t="shared" si="127"/>
        <v>2458354</v>
      </c>
      <c r="L1560" s="14" t="s">
        <v>155</v>
      </c>
      <c r="M1560" s="14" t="s">
        <v>153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>x</v>
      </c>
      <c r="Z1560" s="121"/>
    </row>
    <row r="1561" spans="1:26" ht="15.75" customHeight="1">
      <c r="A1561" s="125" t="str">
        <f>IF(B1561&lt;&gt;"",IF(AND(B1561&gt;=_TM1,B1561&lt;=_TM2,OR(TH!L1561="1111",TH!M1561="1111")),TH!D1561,""),"")</f>
        <v/>
      </c>
      <c r="B1561" s="11">
        <f t="shared" si="128"/>
        <v>9</v>
      </c>
      <c r="C1561" s="12">
        <f t="shared" si="126"/>
        <v>40804</v>
      </c>
      <c r="D1561" s="12" t="s">
        <v>926</v>
      </c>
      <c r="E1561" s="12">
        <v>40804</v>
      </c>
      <c r="F1561" s="15" t="s">
        <v>968</v>
      </c>
      <c r="G1561" s="15" t="s">
        <v>1139</v>
      </c>
      <c r="H1561" s="242" t="s">
        <v>709</v>
      </c>
      <c r="I1561" s="141">
        <v>123</v>
      </c>
      <c r="J1561" s="141">
        <v>18714.902800194133</v>
      </c>
      <c r="K1561" s="238">
        <f t="shared" si="127"/>
        <v>2301933</v>
      </c>
      <c r="L1561" s="14" t="s">
        <v>161</v>
      </c>
      <c r="M1561" s="14" t="s">
        <v>155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/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>x</v>
      </c>
      <c r="Z1561" s="121"/>
    </row>
    <row r="1562" spans="1:26" ht="15.75" customHeight="1">
      <c r="A1562" s="125" t="str">
        <f>IF(B1562&lt;&gt;"",IF(AND(B1562&gt;=_TM1,B1562&lt;=_TM2,OR(TH!L1562="1111",TH!M1562="1111")),TH!D1562,""),"")</f>
        <v/>
      </c>
      <c r="B1562" s="11">
        <f t="shared" si="128"/>
        <v>9</v>
      </c>
      <c r="C1562" s="12">
        <f t="shared" si="126"/>
        <v>40804</v>
      </c>
      <c r="D1562" s="12" t="s">
        <v>926</v>
      </c>
      <c r="E1562" s="12">
        <v>40804</v>
      </c>
      <c r="F1562" s="15" t="s">
        <v>969</v>
      </c>
      <c r="G1562" s="15" t="s">
        <v>1139</v>
      </c>
      <c r="H1562" s="242" t="s">
        <v>709</v>
      </c>
      <c r="I1562" s="141">
        <v>122</v>
      </c>
      <c r="J1562" s="141">
        <v>12041.39873515348</v>
      </c>
      <c r="K1562" s="238">
        <f t="shared" si="127"/>
        <v>1469051</v>
      </c>
      <c r="L1562" s="14" t="s">
        <v>161</v>
      </c>
      <c r="M1562" s="14" t="s">
        <v>155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/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>x</v>
      </c>
      <c r="Z1562" s="121"/>
    </row>
    <row r="1563" spans="1:26" ht="15.75" customHeight="1">
      <c r="A1563" s="125" t="str">
        <f>IF(B1563&lt;&gt;"",IF(AND(B1563&gt;=_TM1,B1563&lt;=_TM2,OR(TH!L1563="1111",TH!M1563="1111")),TH!D1563,""),"")</f>
        <v/>
      </c>
      <c r="B1563" s="11">
        <f t="shared" si="128"/>
        <v>9</v>
      </c>
      <c r="C1563" s="12">
        <f t="shared" si="126"/>
        <v>40804</v>
      </c>
      <c r="D1563" s="12" t="s">
        <v>926</v>
      </c>
      <c r="E1563" s="12">
        <v>40804</v>
      </c>
      <c r="F1563" s="116" t="s">
        <v>732</v>
      </c>
      <c r="G1563" s="15" t="s">
        <v>1139</v>
      </c>
      <c r="H1563" s="242" t="s">
        <v>709</v>
      </c>
      <c r="I1563" s="141">
        <v>120</v>
      </c>
      <c r="J1563" s="141">
        <v>2681.5987351534782</v>
      </c>
      <c r="K1563" s="238">
        <f t="shared" si="127"/>
        <v>321792</v>
      </c>
      <c r="L1563" s="14" t="s">
        <v>161</v>
      </c>
      <c r="M1563" s="14" t="s">
        <v>155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>x</v>
      </c>
      <c r="Z1563" s="121"/>
    </row>
    <row r="1564" spans="1:26" ht="15.75" customHeight="1">
      <c r="A1564" s="125" t="str">
        <f>IF(B1564&lt;&gt;"",IF(AND(B1564&gt;=_TM1,B1564&lt;=_TM2,OR(TH!L1564="1111",TH!M1564="1111")),TH!D1564,""),"")</f>
        <v/>
      </c>
      <c r="B1564" s="11">
        <f t="shared" si="128"/>
        <v>9</v>
      </c>
      <c r="C1564" s="12">
        <f t="shared" si="126"/>
        <v>40804</v>
      </c>
      <c r="D1564" s="12" t="s">
        <v>926</v>
      </c>
      <c r="E1564" s="12">
        <v>40804</v>
      </c>
      <c r="F1564" s="15" t="s">
        <v>970</v>
      </c>
      <c r="G1564" s="15" t="s">
        <v>1139</v>
      </c>
      <c r="H1564" s="242" t="s">
        <v>709</v>
      </c>
      <c r="I1564" s="141">
        <v>52</v>
      </c>
      <c r="J1564" s="141">
        <v>9362.3987351534779</v>
      </c>
      <c r="K1564" s="238">
        <f t="shared" si="127"/>
        <v>486845</v>
      </c>
      <c r="L1564" s="14" t="s">
        <v>161</v>
      </c>
      <c r="M1564" s="14" t="s">
        <v>155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>x</v>
      </c>
      <c r="Z1564" s="121"/>
    </row>
    <row r="1565" spans="1:26" ht="15.75" customHeight="1">
      <c r="A1565" s="125" t="str">
        <f>IF(B1565&lt;&gt;"",IF(AND(B1565&gt;=_TM1,B1565&lt;=_TM2,OR(TH!L1565="1111",TH!M1565="1111")),TH!D1565,""),"")</f>
        <v/>
      </c>
      <c r="B1565" s="11">
        <f t="shared" si="128"/>
        <v>9</v>
      </c>
      <c r="C1565" s="12">
        <f t="shared" si="126"/>
        <v>40804</v>
      </c>
      <c r="D1565" s="12" t="s">
        <v>926</v>
      </c>
      <c r="E1565" s="12">
        <v>40804</v>
      </c>
      <c r="F1565" s="116" t="s">
        <v>732</v>
      </c>
      <c r="G1565" s="15" t="s">
        <v>1139</v>
      </c>
      <c r="H1565" s="242" t="s">
        <v>709</v>
      </c>
      <c r="I1565" s="141">
        <v>48</v>
      </c>
      <c r="J1565" s="141">
        <v>2685.8362351534784</v>
      </c>
      <c r="K1565" s="238">
        <f t="shared" si="127"/>
        <v>128920</v>
      </c>
      <c r="L1565" s="14" t="s">
        <v>161</v>
      </c>
      <c r="M1565" s="14" t="s">
        <v>155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>x</v>
      </c>
      <c r="Z1565" s="121"/>
    </row>
    <row r="1566" spans="1:26" ht="15.75" customHeight="1">
      <c r="A1566" s="125" t="str">
        <f>IF(B1566&lt;&gt;"",IF(AND(B1566&gt;=_TM1,B1566&lt;=_TM2,OR(TH!L1566="1111",TH!M1566="1111")),TH!D1566,""),"")</f>
        <v/>
      </c>
      <c r="B1566" s="11">
        <f t="shared" si="128"/>
        <v>9</v>
      </c>
      <c r="C1566" s="12">
        <f t="shared" si="126"/>
        <v>40804</v>
      </c>
      <c r="D1566" s="12" t="s">
        <v>926</v>
      </c>
      <c r="E1566" s="12">
        <v>40804</v>
      </c>
      <c r="F1566" s="15" t="s">
        <v>971</v>
      </c>
      <c r="G1566" s="15" t="s">
        <v>1139</v>
      </c>
      <c r="H1566" s="242" t="s">
        <v>709</v>
      </c>
      <c r="I1566" s="141">
        <v>142</v>
      </c>
      <c r="J1566" s="141">
        <v>18714.891692899957</v>
      </c>
      <c r="K1566" s="238">
        <f t="shared" si="127"/>
        <v>2657515</v>
      </c>
      <c r="L1566" s="14" t="s">
        <v>161</v>
      </c>
      <c r="M1566" s="14" t="s">
        <v>155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>x</v>
      </c>
      <c r="Z1566" s="121"/>
    </row>
    <row r="1567" spans="1:26" ht="15.75" customHeight="1">
      <c r="A1567" s="125" t="str">
        <f>IF(B1567&lt;&gt;"",IF(AND(B1567&gt;=_TM1,B1567&lt;=_TM2,OR(TH!L1567="1111",TH!M1567="1111")),TH!D1567,""),"")</f>
        <v/>
      </c>
      <c r="B1567" s="11">
        <f t="shared" si="128"/>
        <v>9</v>
      </c>
      <c r="C1567" s="12">
        <f t="shared" si="126"/>
        <v>40804</v>
      </c>
      <c r="D1567" s="12" t="s">
        <v>926</v>
      </c>
      <c r="E1567" s="12">
        <v>40804</v>
      </c>
      <c r="F1567" s="15" t="s">
        <v>972</v>
      </c>
      <c r="G1567" s="15" t="s">
        <v>1139</v>
      </c>
      <c r="H1567" s="242" t="s">
        <v>709</v>
      </c>
      <c r="I1567" s="141">
        <v>214</v>
      </c>
      <c r="J1567" s="141">
        <v>7394.3987351534779</v>
      </c>
      <c r="K1567" s="238">
        <f t="shared" si="127"/>
        <v>1582401</v>
      </c>
      <c r="L1567" s="14" t="s">
        <v>161</v>
      </c>
      <c r="M1567" s="14" t="s">
        <v>155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>x</v>
      </c>
      <c r="Z1567" s="121"/>
    </row>
    <row r="1568" spans="1:26" ht="15.75" customHeight="1">
      <c r="A1568" s="125" t="str">
        <f>IF(B1568&lt;&gt;"",IF(AND(B1568&gt;=_TM1,B1568&lt;=_TM2,OR(TH!L1568="1111",TH!M1568="1111")),TH!D1568,""),"")</f>
        <v/>
      </c>
      <c r="B1568" s="11">
        <f t="shared" si="128"/>
        <v>9</v>
      </c>
      <c r="C1568" s="12">
        <f t="shared" si="126"/>
        <v>40804</v>
      </c>
      <c r="D1568" s="12" t="s">
        <v>926</v>
      </c>
      <c r="E1568" s="12">
        <v>40804</v>
      </c>
      <c r="F1568" s="15" t="s">
        <v>973</v>
      </c>
      <c r="G1568" s="15" t="s">
        <v>1139</v>
      </c>
      <c r="H1568" s="242" t="s">
        <v>709</v>
      </c>
      <c r="I1568" s="141">
        <v>281</v>
      </c>
      <c r="J1568" s="141">
        <v>8748.5909059719834</v>
      </c>
      <c r="K1568" s="238">
        <f t="shared" si="127"/>
        <v>2458354</v>
      </c>
      <c r="L1568" s="14" t="s">
        <v>161</v>
      </c>
      <c r="M1568" s="14" t="s">
        <v>155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>x</v>
      </c>
      <c r="Z1568" s="121"/>
    </row>
    <row r="1569" spans="1:26" ht="15.75" customHeight="1">
      <c r="A1569" s="125" t="str">
        <f>IF(B1569&lt;&gt;"",IF(AND(B1569&gt;=_TM1,B1569&lt;=_TM2,OR(TH!L1569="1111",TH!M1569="1111")),TH!D1569,""),"")</f>
        <v/>
      </c>
      <c r="B1569" s="11">
        <f t="shared" si="128"/>
        <v>9</v>
      </c>
      <c r="C1569" s="115">
        <v>40805</v>
      </c>
      <c r="D1569" s="110" t="s">
        <v>645</v>
      </c>
      <c r="E1569" s="115">
        <v>40805</v>
      </c>
      <c r="F1569" s="116" t="s">
        <v>1107</v>
      </c>
      <c r="G1569" s="224" t="s">
        <v>1108</v>
      </c>
      <c r="H1569" s="117" t="s">
        <v>1109</v>
      </c>
      <c r="I1569" s="141"/>
      <c r="J1569" s="141"/>
      <c r="K1569" s="238">
        <v>2640000</v>
      </c>
      <c r="L1569" s="118" t="s">
        <v>153</v>
      </c>
      <c r="M1569" s="118" t="s">
        <v>44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>x</v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>x</v>
      </c>
      <c r="Z1569" s="121">
        <v>9</v>
      </c>
    </row>
    <row r="1570" spans="1:26" ht="15.75" customHeight="1">
      <c r="A1570" s="125" t="str">
        <f>IF(B1570&lt;&gt;"",IF(AND(B1570&gt;=_TM1,B1570&lt;=_TM2,OR(TH!L1570="1111",TH!M1570="1111")),TH!D1570,""),"")</f>
        <v/>
      </c>
      <c r="B1570" s="11">
        <f t="shared" si="128"/>
        <v>9</v>
      </c>
      <c r="C1570" s="115">
        <v>40805</v>
      </c>
      <c r="D1570" s="110" t="s">
        <v>645</v>
      </c>
      <c r="E1570" s="115">
        <v>40805</v>
      </c>
      <c r="F1570" s="116" t="s">
        <v>1110</v>
      </c>
      <c r="G1570" s="224" t="s">
        <v>1108</v>
      </c>
      <c r="H1570" s="117" t="s">
        <v>1109</v>
      </c>
      <c r="I1570" s="141"/>
      <c r="J1570" s="141"/>
      <c r="K1570" s="13">
        <v>264000</v>
      </c>
      <c r="L1570" s="118" t="s">
        <v>9</v>
      </c>
      <c r="M1570" s="118" t="s">
        <v>44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>x</v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>x</v>
      </c>
      <c r="Z1570" s="121">
        <v>9</v>
      </c>
    </row>
    <row r="1571" spans="1:26" ht="15.75" customHeight="1">
      <c r="A1571" s="125" t="str">
        <f>IF(B1571&lt;&gt;"",IF(AND(B1571&gt;=_TM1,B1571&lt;=_TM2,OR(TH!L1571="1111",TH!M1571="1111")),TH!D1571,""),"")</f>
        <v/>
      </c>
      <c r="B1571" s="11">
        <f t="shared" si="128"/>
        <v>9</v>
      </c>
      <c r="C1571" s="115">
        <v>40807</v>
      </c>
      <c r="D1571" s="110" t="s">
        <v>646</v>
      </c>
      <c r="E1571" s="115">
        <v>40807</v>
      </c>
      <c r="F1571" s="116" t="s">
        <v>445</v>
      </c>
      <c r="G1571" s="221" t="s">
        <v>1111</v>
      </c>
      <c r="H1571" s="20" t="s">
        <v>449</v>
      </c>
      <c r="I1571" s="143"/>
      <c r="J1571" s="141"/>
      <c r="K1571" s="13">
        <v>642847</v>
      </c>
      <c r="L1571" s="118" t="s">
        <v>73</v>
      </c>
      <c r="M1571" s="239" t="s">
        <v>44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>x</v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>x</v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>x</v>
      </c>
      <c r="Z1571" s="121">
        <v>9</v>
      </c>
    </row>
    <row r="1572" spans="1:26" ht="15.75" customHeight="1">
      <c r="A1572" s="125" t="str">
        <f>IF(B1572&lt;&gt;"",IF(AND(B1572&gt;=_TM1,B1572&lt;=_TM2,OR(TH!L1572="1111",TH!M1572="1111")),TH!D1572,""),"")</f>
        <v/>
      </c>
      <c r="B1572" s="11">
        <f t="shared" si="128"/>
        <v>9</v>
      </c>
      <c r="C1572" s="115">
        <v>40807</v>
      </c>
      <c r="D1572" s="110" t="s">
        <v>646</v>
      </c>
      <c r="E1572" s="115">
        <v>40807</v>
      </c>
      <c r="F1572" s="116" t="s">
        <v>448</v>
      </c>
      <c r="G1572" s="221" t="s">
        <v>1111</v>
      </c>
      <c r="H1572" s="20" t="s">
        <v>449</v>
      </c>
      <c r="I1572" s="143"/>
      <c r="J1572" s="141"/>
      <c r="K1572" s="13">
        <v>64285</v>
      </c>
      <c r="L1572" s="118" t="s">
        <v>9</v>
      </c>
      <c r="M1572" s="239" t="s">
        <v>44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>x</v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>x</v>
      </c>
      <c r="Z1572" s="121">
        <v>9</v>
      </c>
    </row>
    <row r="1573" spans="1:26" ht="15.75" customHeight="1">
      <c r="A1573" s="125" t="str">
        <f>IF(B1573&lt;&gt;"",IF(AND(B1573&gt;=_TM1,B1573&lt;=_TM2,OR(TH!L1573="1111",TH!M1573="1111")),TH!D1573,""),"")</f>
        <v/>
      </c>
      <c r="B1573" s="11">
        <f t="shared" si="128"/>
        <v>9</v>
      </c>
      <c r="C1573" s="12">
        <f t="shared" ref="C1573:C1580" si="129">E1573</f>
        <v>40807</v>
      </c>
      <c r="D1573" s="12" t="s">
        <v>1160</v>
      </c>
      <c r="E1573" s="304">
        <v>40807</v>
      </c>
      <c r="F1573" s="114" t="s">
        <v>465</v>
      </c>
      <c r="G1573" s="15"/>
      <c r="H1573" s="242" t="s">
        <v>1037</v>
      </c>
      <c r="I1573" s="141">
        <v>2.5</v>
      </c>
      <c r="J1573" s="141">
        <v>16173</v>
      </c>
      <c r="K1573" s="238">
        <f t="shared" ref="K1573:K1580" si="130">ROUND(I1573*J1573,0)</f>
        <v>40433</v>
      </c>
      <c r="L1573" s="14" t="s">
        <v>153</v>
      </c>
      <c r="M1573" s="14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>x</v>
      </c>
      <c r="Z1573" s="121"/>
    </row>
    <row r="1574" spans="1:26" ht="15.75" customHeight="1">
      <c r="A1574" s="125" t="str">
        <f>IF(B1574&lt;&gt;"",IF(AND(B1574&gt;=_TM1,B1574&lt;=_TM2,OR(TH!L1574="1111",TH!M1574="1111")),TH!D1574,""),"")</f>
        <v/>
      </c>
      <c r="B1574" s="11">
        <f t="shared" si="128"/>
        <v>9</v>
      </c>
      <c r="C1574" s="12">
        <f t="shared" si="129"/>
        <v>40807</v>
      </c>
      <c r="D1574" s="12" t="s">
        <v>1160</v>
      </c>
      <c r="E1574" s="304">
        <v>40807</v>
      </c>
      <c r="F1574" s="15" t="s">
        <v>578</v>
      </c>
      <c r="G1574" s="15"/>
      <c r="H1574" s="242" t="s">
        <v>1037</v>
      </c>
      <c r="I1574" s="141">
        <v>0.5</v>
      </c>
      <c r="J1574" s="141">
        <v>16303</v>
      </c>
      <c r="K1574" s="238">
        <f t="shared" si="130"/>
        <v>8152</v>
      </c>
      <c r="L1574" s="14" t="s">
        <v>153</v>
      </c>
      <c r="M1574" s="14" t="s">
        <v>147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>x</v>
      </c>
      <c r="Z1574" s="121"/>
    </row>
    <row r="1575" spans="1:26" ht="15.75" customHeight="1">
      <c r="A1575" s="125" t="str">
        <f>IF(B1575&lt;&gt;"",IF(AND(B1575&gt;=_TM1,B1575&lt;=_TM2,OR(TH!L1575="1111",TH!M1575="1111")),TH!D1575,""),"")</f>
        <v/>
      </c>
      <c r="B1575" s="11">
        <f t="shared" si="128"/>
        <v>9</v>
      </c>
      <c r="C1575" s="12">
        <f t="shared" si="129"/>
        <v>40807</v>
      </c>
      <c r="D1575" s="12" t="s">
        <v>1160</v>
      </c>
      <c r="E1575" s="304">
        <v>40807</v>
      </c>
      <c r="F1575" s="114" t="s">
        <v>496</v>
      </c>
      <c r="G1575" s="15"/>
      <c r="H1575" s="242" t="s">
        <v>1037</v>
      </c>
      <c r="I1575" s="141">
        <v>1</v>
      </c>
      <c r="J1575" s="141">
        <v>10603</v>
      </c>
      <c r="K1575" s="238">
        <f t="shared" si="130"/>
        <v>10603</v>
      </c>
      <c r="L1575" s="14" t="s">
        <v>153</v>
      </c>
      <c r="M1575" s="14" t="s">
        <v>147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>x</v>
      </c>
      <c r="Z1575" s="121"/>
    </row>
    <row r="1576" spans="1:26" ht="15.75" customHeight="1">
      <c r="A1576" s="125" t="str">
        <f>IF(B1576&lt;&gt;"",IF(AND(B1576&gt;=_TM1,B1576&lt;=_TM2,OR(TH!L1576="1111",TH!M1576="1111")),TH!D1576,""),"")</f>
        <v/>
      </c>
      <c r="B1576" s="11">
        <f t="shared" si="128"/>
        <v>9</v>
      </c>
      <c r="C1576" s="12">
        <f t="shared" si="129"/>
        <v>40807</v>
      </c>
      <c r="D1576" s="12" t="s">
        <v>1160</v>
      </c>
      <c r="E1576" s="304">
        <v>40807</v>
      </c>
      <c r="F1576" s="154" t="s">
        <v>456</v>
      </c>
      <c r="G1576" s="15"/>
      <c r="H1576" s="242" t="s">
        <v>1037</v>
      </c>
      <c r="I1576" s="141">
        <v>3</v>
      </c>
      <c r="J1576" s="141">
        <v>6026</v>
      </c>
      <c r="K1576" s="238">
        <f t="shared" si="130"/>
        <v>18078</v>
      </c>
      <c r="L1576" s="14" t="s">
        <v>153</v>
      </c>
      <c r="M1576" s="14" t="s">
        <v>147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>x</v>
      </c>
      <c r="Z1576" s="121"/>
    </row>
    <row r="1577" spans="1:26" ht="15.75" customHeight="1">
      <c r="A1577" s="125" t="str">
        <f>IF(B1577&lt;&gt;"",IF(AND(B1577&gt;=_TM1,B1577&lt;=_TM2,OR(TH!L1577="1111",TH!M1577="1111")),TH!D1577,""),"")</f>
        <v/>
      </c>
      <c r="B1577" s="11">
        <f t="shared" si="128"/>
        <v>9</v>
      </c>
      <c r="C1577" s="12">
        <f t="shared" si="129"/>
        <v>40807</v>
      </c>
      <c r="D1577" s="12" t="s">
        <v>1160</v>
      </c>
      <c r="E1577" s="304">
        <v>40807</v>
      </c>
      <c r="F1577" s="154" t="s">
        <v>456</v>
      </c>
      <c r="G1577" s="15"/>
      <c r="H1577" s="242" t="s">
        <v>1037</v>
      </c>
      <c r="I1577" s="141">
        <v>3</v>
      </c>
      <c r="J1577" s="141">
        <v>6026</v>
      </c>
      <c r="K1577" s="238">
        <f t="shared" si="130"/>
        <v>18078</v>
      </c>
      <c r="L1577" s="14" t="s">
        <v>153</v>
      </c>
      <c r="M1577" s="14" t="s">
        <v>147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>x</v>
      </c>
      <c r="Z1577" s="121"/>
    </row>
    <row r="1578" spans="1:26" ht="15.75" customHeight="1">
      <c r="A1578" s="125" t="str">
        <f>IF(B1578&lt;&gt;"",IF(AND(B1578&gt;=_TM1,B1578&lt;=_TM2,OR(TH!L1578="1111",TH!M1578="1111")),TH!D1578,""),"")</f>
        <v/>
      </c>
      <c r="B1578" s="11">
        <f t="shared" si="128"/>
        <v>9</v>
      </c>
      <c r="C1578" s="12">
        <f t="shared" si="129"/>
        <v>40807</v>
      </c>
      <c r="D1578" s="12" t="s">
        <v>1160</v>
      </c>
      <c r="E1578" s="304">
        <v>40807</v>
      </c>
      <c r="F1578" s="114" t="s">
        <v>364</v>
      </c>
      <c r="G1578" s="15"/>
      <c r="H1578" s="242" t="s">
        <v>1037</v>
      </c>
      <c r="I1578" s="315">
        <v>1</v>
      </c>
      <c r="J1578" s="141">
        <v>4449</v>
      </c>
      <c r="K1578" s="238">
        <f t="shared" si="130"/>
        <v>4449</v>
      </c>
      <c r="L1578" s="14" t="s">
        <v>153</v>
      </c>
      <c r="M1578" s="14" t="s">
        <v>147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>x</v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>x</v>
      </c>
      <c r="Z1578" s="121"/>
    </row>
    <row r="1579" spans="1:26" ht="15.75" customHeight="1">
      <c r="A1579" s="125" t="str">
        <f>IF(B1579&lt;&gt;"",IF(AND(B1579&gt;=_TM1,B1579&lt;=_TM2,OR(TH!L1579="1111",TH!M1579="1111")),TH!D1579,""),"")</f>
        <v/>
      </c>
      <c r="B1579" s="11">
        <f t="shared" si="128"/>
        <v>9</v>
      </c>
      <c r="C1579" s="12">
        <f t="shared" si="129"/>
        <v>40807</v>
      </c>
      <c r="D1579" s="12" t="s">
        <v>1160</v>
      </c>
      <c r="E1579" s="304">
        <v>40807</v>
      </c>
      <c r="F1579" s="114" t="s">
        <v>465</v>
      </c>
      <c r="G1579" s="15"/>
      <c r="H1579" s="242" t="s">
        <v>1037</v>
      </c>
      <c r="I1579" s="141">
        <v>0.5</v>
      </c>
      <c r="J1579" s="141">
        <v>16173</v>
      </c>
      <c r="K1579" s="238">
        <f t="shared" si="130"/>
        <v>8087</v>
      </c>
      <c r="L1579" s="14" t="s">
        <v>153</v>
      </c>
      <c r="M1579" s="14" t="s">
        <v>147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>x</v>
      </c>
      <c r="Z1579" s="121"/>
    </row>
    <row r="1580" spans="1:26" ht="15.75" customHeight="1">
      <c r="A1580" s="125" t="str">
        <f>IF(B1580&lt;&gt;"",IF(AND(B1580&gt;=_TM1,B1580&lt;=_TM2,OR(TH!L1580="1111",TH!M1580="1111")),TH!D1580,""),"")</f>
        <v/>
      </c>
      <c r="B1580" s="11">
        <f t="shared" si="128"/>
        <v>9</v>
      </c>
      <c r="C1580" s="12">
        <f t="shared" si="129"/>
        <v>40807</v>
      </c>
      <c r="D1580" s="12" t="s">
        <v>1160</v>
      </c>
      <c r="E1580" s="304">
        <v>40807</v>
      </c>
      <c r="F1580" s="114" t="s">
        <v>364</v>
      </c>
      <c r="G1580" s="15"/>
      <c r="H1580" s="242" t="s">
        <v>1037</v>
      </c>
      <c r="I1580" s="315">
        <v>5</v>
      </c>
      <c r="J1580" s="141">
        <v>4449</v>
      </c>
      <c r="K1580" s="238">
        <f t="shared" si="130"/>
        <v>22245</v>
      </c>
      <c r="L1580" s="14" t="s">
        <v>153</v>
      </c>
      <c r="M1580" s="14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>x</v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>x</v>
      </c>
      <c r="Z1580" s="121"/>
    </row>
    <row r="1581" spans="1:26" ht="15.75" customHeight="1">
      <c r="A1581" s="125" t="str">
        <f>IF(B1581&lt;&gt;"",IF(AND(B1581&gt;=_TM1,B1581&lt;=_TM2,OR(TH!L1581="1111",TH!M1581="1111")),TH!D1581,""),"")</f>
        <v/>
      </c>
      <c r="B1581" s="11">
        <f t="shared" si="128"/>
        <v>9</v>
      </c>
      <c r="C1581" s="115">
        <v>40808</v>
      </c>
      <c r="D1581" s="110" t="s">
        <v>647</v>
      </c>
      <c r="E1581" s="115">
        <v>40808</v>
      </c>
      <c r="F1581" s="116" t="s">
        <v>614</v>
      </c>
      <c r="G1581" s="224" t="s">
        <v>1112</v>
      </c>
      <c r="H1581" s="4" t="s">
        <v>368</v>
      </c>
      <c r="I1581" s="143"/>
      <c r="J1581" s="143"/>
      <c r="K1581" s="13">
        <v>1375000</v>
      </c>
      <c r="L1581" s="118" t="s">
        <v>8</v>
      </c>
      <c r="M1581" s="118" t="s">
        <v>44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>x</v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>x</v>
      </c>
      <c r="Z1581" s="121"/>
    </row>
    <row r="1582" spans="1:26" ht="15.75" customHeight="1">
      <c r="A1582" s="125" t="str">
        <f>IF(B1582&lt;&gt;"",IF(AND(B1582&gt;=_TM1,B1582&lt;=_TM2,OR(TH!L1582="1111",TH!M1582="1111")),TH!D1582,""),"")</f>
        <v/>
      </c>
      <c r="B1582" s="11">
        <f t="shared" si="128"/>
        <v>9</v>
      </c>
      <c r="C1582" s="115">
        <v>40808</v>
      </c>
      <c r="D1582" s="110" t="s">
        <v>648</v>
      </c>
      <c r="E1582" s="115">
        <v>40808</v>
      </c>
      <c r="F1582" s="116" t="s">
        <v>1113</v>
      </c>
      <c r="G1582" s="224" t="s">
        <v>1114</v>
      </c>
      <c r="H1582" s="117" t="s">
        <v>1091</v>
      </c>
      <c r="I1582" s="141"/>
      <c r="J1582" s="141"/>
      <c r="K1582" s="13">
        <v>500011</v>
      </c>
      <c r="L1582" s="118" t="s">
        <v>239</v>
      </c>
      <c r="M1582" s="239" t="s">
        <v>44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>x</v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>x</v>
      </c>
      <c r="Z1582" s="121"/>
    </row>
    <row r="1583" spans="1:26" ht="15.75" customHeight="1">
      <c r="A1583" s="125" t="str">
        <f>IF(B1583&lt;&gt;"",IF(AND(B1583&gt;=_TM1,B1583&lt;=_TM2,OR(TH!L1583="1111",TH!M1583="1111")),TH!D1583,""),"")</f>
        <v/>
      </c>
      <c r="B1583" s="11">
        <f t="shared" si="128"/>
        <v>9</v>
      </c>
      <c r="C1583" s="115">
        <v>40808</v>
      </c>
      <c r="D1583" s="110" t="s">
        <v>672</v>
      </c>
      <c r="E1583" s="115">
        <v>40808</v>
      </c>
      <c r="F1583" s="114" t="s">
        <v>365</v>
      </c>
      <c r="G1583" s="224" t="s">
        <v>1112</v>
      </c>
      <c r="H1583" s="4" t="s">
        <v>368</v>
      </c>
      <c r="I1583" s="141">
        <v>50</v>
      </c>
      <c r="J1583" s="141">
        <v>25000</v>
      </c>
      <c r="K1583" s="238">
        <v>1250000</v>
      </c>
      <c r="L1583" s="118" t="s">
        <v>149</v>
      </c>
      <c r="M1583" s="118" t="s">
        <v>8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>x</v>
      </c>
      <c r="Y1583" s="25" t="str">
        <f>IF(AND(B1583&lt;=NKC!$N$8,B1583&gt;=NKC!$M$8),"x","")</f>
        <v>x</v>
      </c>
      <c r="Z1583" s="121">
        <v>9</v>
      </c>
    </row>
    <row r="1584" spans="1:26" ht="15.75" customHeight="1">
      <c r="A1584" s="125" t="str">
        <f>IF(B1584&lt;&gt;"",IF(AND(B1584&gt;=_TM1,B1584&lt;=_TM2,OR(TH!L1584="1111",TH!M1584="1111")),TH!D1584,""),"")</f>
        <v/>
      </c>
      <c r="B1584" s="11">
        <f t="shared" si="128"/>
        <v>9</v>
      </c>
      <c r="C1584" s="115">
        <v>40808</v>
      </c>
      <c r="D1584" s="110" t="s">
        <v>672</v>
      </c>
      <c r="E1584" s="115">
        <v>40808</v>
      </c>
      <c r="F1584" s="114" t="s">
        <v>366</v>
      </c>
      <c r="G1584" s="224" t="s">
        <v>1112</v>
      </c>
      <c r="H1584" s="4" t="s">
        <v>368</v>
      </c>
      <c r="I1584" s="141"/>
      <c r="J1584" s="141"/>
      <c r="K1584" s="13">
        <v>125000</v>
      </c>
      <c r="L1584" s="118" t="s">
        <v>9</v>
      </c>
      <c r="M1584" s="118" t="s">
        <v>8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/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>x</v>
      </c>
      <c r="Z1584" s="121">
        <v>9</v>
      </c>
    </row>
    <row r="1585" spans="1:26" ht="15.75" customHeight="1">
      <c r="A1585" s="125" t="str">
        <f>IF(B1585&lt;&gt;"",IF(AND(B1585&gt;=_TM1,B1585&lt;=_TM2,OR(TH!L1585="1111",TH!M1585="1111")),TH!D1585,""),"")</f>
        <v/>
      </c>
      <c r="B1585" s="11">
        <f t="shared" si="128"/>
        <v>9</v>
      </c>
      <c r="C1585" s="115">
        <v>40809</v>
      </c>
      <c r="D1585" s="115" t="s">
        <v>899</v>
      </c>
      <c r="E1585" s="115">
        <v>40809</v>
      </c>
      <c r="F1585" s="116" t="s">
        <v>312</v>
      </c>
      <c r="G1585" s="224" t="s">
        <v>1140</v>
      </c>
      <c r="H1585" s="131" t="s">
        <v>737</v>
      </c>
      <c r="I1585" s="141"/>
      <c r="J1585" s="141"/>
      <c r="K1585" s="238">
        <v>1610294</v>
      </c>
      <c r="L1585" s="118" t="s">
        <v>44</v>
      </c>
      <c r="M1585" s="118" t="s">
        <v>237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>x</v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/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>x</v>
      </c>
      <c r="Z1585" s="121"/>
    </row>
    <row r="1586" spans="1:26" ht="15.75" customHeight="1">
      <c r="A1586" s="125" t="str">
        <f>IF(B1586&lt;&gt;"",IF(AND(B1586&gt;=_TM1,B1586&lt;=_TM2,OR(TH!L1586="1111",TH!M1586="1111")),TH!D1586,""),"")</f>
        <v/>
      </c>
      <c r="B1586" s="11">
        <f t="shared" si="128"/>
        <v>9</v>
      </c>
      <c r="C1586" s="115">
        <v>40809</v>
      </c>
      <c r="D1586" s="115" t="s">
        <v>927</v>
      </c>
      <c r="E1586" s="115">
        <v>40809</v>
      </c>
      <c r="F1586" s="116" t="s">
        <v>974</v>
      </c>
      <c r="G1586" s="224" t="s">
        <v>1140</v>
      </c>
      <c r="H1586" s="131" t="s">
        <v>737</v>
      </c>
      <c r="I1586" s="141">
        <v>104</v>
      </c>
      <c r="J1586" s="141">
        <v>14076</v>
      </c>
      <c r="K1586" s="238">
        <v>1463904</v>
      </c>
      <c r="L1586" s="118" t="s">
        <v>237</v>
      </c>
      <c r="M1586" s="118" t="s">
        <v>163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/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>x</v>
      </c>
      <c r="Z1586" s="121"/>
    </row>
    <row r="1587" spans="1:26" ht="15.75" customHeight="1">
      <c r="A1587" s="125" t="str">
        <f>IF(B1587&lt;&gt;"",IF(AND(B1587&gt;=_TM1,B1587&lt;=_TM2,OR(TH!L1587="1111",TH!M1587="1111")),TH!D1587,""),"")</f>
        <v/>
      </c>
      <c r="B1587" s="11">
        <f t="shared" si="128"/>
        <v>9</v>
      </c>
      <c r="C1587" s="115">
        <v>40809</v>
      </c>
      <c r="D1587" s="115" t="s">
        <v>927</v>
      </c>
      <c r="E1587" s="115">
        <v>40809</v>
      </c>
      <c r="F1587" s="116" t="s">
        <v>1141</v>
      </c>
      <c r="G1587" s="224" t="s">
        <v>1140</v>
      </c>
      <c r="H1587" s="131" t="s">
        <v>737</v>
      </c>
      <c r="I1587" s="141"/>
      <c r="J1587" s="141"/>
      <c r="K1587" s="238">
        <v>146390</v>
      </c>
      <c r="L1587" s="118" t="s">
        <v>237</v>
      </c>
      <c r="M1587" s="118" t="s">
        <v>707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/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>x</v>
      </c>
      <c r="Z1587" s="121"/>
    </row>
    <row r="1588" spans="1:26" ht="15.75" customHeight="1">
      <c r="A1588" s="125" t="str">
        <f>IF(B1588&lt;&gt;"",IF(AND(B1588&gt;=_TM1,B1588&lt;=_TM2,OR(TH!L1588="1111",TH!M1588="1111")),TH!D1588,""),"")</f>
        <v/>
      </c>
      <c r="B1588" s="11">
        <f t="shared" si="128"/>
        <v>9</v>
      </c>
      <c r="C1588" s="12">
        <f t="shared" ref="C1588:C1596" si="131">E1588</f>
        <v>40809</v>
      </c>
      <c r="D1588" s="12" t="s">
        <v>1161</v>
      </c>
      <c r="E1588" s="304">
        <v>40809</v>
      </c>
      <c r="F1588" s="15" t="s">
        <v>597</v>
      </c>
      <c r="G1588" s="15"/>
      <c r="H1588" s="242" t="s">
        <v>1037</v>
      </c>
      <c r="I1588" s="141">
        <v>192</v>
      </c>
      <c r="J1588" s="141">
        <v>20440</v>
      </c>
      <c r="K1588" s="238">
        <f t="shared" ref="K1588:K1596" si="132">ROUND(I1588*J1588,0)</f>
        <v>3924480</v>
      </c>
      <c r="L1588" s="14" t="s">
        <v>153</v>
      </c>
      <c r="M1588" s="14" t="s">
        <v>147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/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>x</v>
      </c>
      <c r="Z1588" s="121"/>
    </row>
    <row r="1589" spans="1:26" ht="15.75" customHeight="1">
      <c r="A1589" s="125" t="str">
        <f>IF(B1589&lt;&gt;"",IF(AND(B1589&gt;=_TM1,B1589&lt;=_TM2,OR(TH!L1589="1111",TH!M1589="1111")),TH!D1589,""),"")</f>
        <v/>
      </c>
      <c r="B1589" s="11">
        <f t="shared" si="128"/>
        <v>9</v>
      </c>
      <c r="C1589" s="12">
        <f t="shared" si="131"/>
        <v>40809</v>
      </c>
      <c r="D1589" s="12" t="s">
        <v>1161</v>
      </c>
      <c r="E1589" s="304">
        <v>40809</v>
      </c>
      <c r="F1589" s="114" t="s">
        <v>559</v>
      </c>
      <c r="G1589" s="15"/>
      <c r="H1589" s="242" t="s">
        <v>1037</v>
      </c>
      <c r="I1589" s="141">
        <v>62.5</v>
      </c>
      <c r="J1589" s="141">
        <v>19639</v>
      </c>
      <c r="K1589" s="238">
        <f t="shared" si="132"/>
        <v>1227438</v>
      </c>
      <c r="L1589" s="14" t="s">
        <v>153</v>
      </c>
      <c r="M1589" s="14" t="s">
        <v>147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/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>x</v>
      </c>
      <c r="Z1589" s="121"/>
    </row>
    <row r="1590" spans="1:26" ht="15.75" customHeight="1">
      <c r="A1590" s="125" t="str">
        <f>IF(B1590&lt;&gt;"",IF(AND(B1590&gt;=_TM1,B1590&lt;=_TM2,OR(TH!L1590="1111",TH!M1590="1111")),TH!D1590,""),"")</f>
        <v/>
      </c>
      <c r="B1590" s="11">
        <f t="shared" si="128"/>
        <v>9</v>
      </c>
      <c r="C1590" s="12">
        <f t="shared" si="131"/>
        <v>40809</v>
      </c>
      <c r="D1590" s="12" t="s">
        <v>1161</v>
      </c>
      <c r="E1590" s="304">
        <v>40809</v>
      </c>
      <c r="F1590" s="15" t="s">
        <v>603</v>
      </c>
      <c r="G1590" s="15"/>
      <c r="H1590" s="242" t="s">
        <v>1037</v>
      </c>
      <c r="I1590" s="141">
        <v>288</v>
      </c>
      <c r="J1590" s="141">
        <v>23975</v>
      </c>
      <c r="K1590" s="238">
        <f t="shared" si="132"/>
        <v>6904800</v>
      </c>
      <c r="L1590" s="14" t="s">
        <v>153</v>
      </c>
      <c r="M1590" s="14" t="s">
        <v>147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>x</v>
      </c>
      <c r="Z1590" s="121"/>
    </row>
    <row r="1591" spans="1:26" ht="15.75" customHeight="1">
      <c r="A1591" s="125" t="str">
        <f>IF(B1591&lt;&gt;"",IF(AND(B1591&gt;=_TM1,B1591&lt;=_TM2,OR(TH!L1591="1111",TH!M1591="1111")),TH!D1591,""),"")</f>
        <v/>
      </c>
      <c r="B1591" s="11">
        <f t="shared" si="128"/>
        <v>9</v>
      </c>
      <c r="C1591" s="12">
        <f t="shared" si="131"/>
        <v>40809</v>
      </c>
      <c r="D1591" s="12" t="s">
        <v>1161</v>
      </c>
      <c r="E1591" s="304">
        <v>40809</v>
      </c>
      <c r="F1591" s="15" t="s">
        <v>603</v>
      </c>
      <c r="G1591" s="15"/>
      <c r="H1591" s="242" t="s">
        <v>1037</v>
      </c>
      <c r="I1591" s="141">
        <v>300</v>
      </c>
      <c r="J1591" s="141">
        <v>23975</v>
      </c>
      <c r="K1591" s="238">
        <f t="shared" si="132"/>
        <v>7192500</v>
      </c>
      <c r="L1591" s="14" t="s">
        <v>153</v>
      </c>
      <c r="M1591" s="14" t="s">
        <v>147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/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>x</v>
      </c>
      <c r="Z1591" s="121"/>
    </row>
    <row r="1592" spans="1:26" ht="15.75" customHeight="1">
      <c r="A1592" s="125" t="str">
        <f>IF(B1592&lt;&gt;"",IF(AND(B1592&gt;=_TM1,B1592&lt;=_TM2,OR(TH!L1592="1111",TH!M1592="1111")),TH!D1592,""),"")</f>
        <v/>
      </c>
      <c r="B1592" s="11">
        <f t="shared" si="128"/>
        <v>9</v>
      </c>
      <c r="C1592" s="12">
        <f t="shared" si="131"/>
        <v>40809</v>
      </c>
      <c r="D1592" s="12" t="s">
        <v>1161</v>
      </c>
      <c r="E1592" s="304">
        <v>40809</v>
      </c>
      <c r="F1592" s="114" t="s">
        <v>559</v>
      </c>
      <c r="G1592" s="15"/>
      <c r="H1592" s="242" t="s">
        <v>1037</v>
      </c>
      <c r="I1592" s="141">
        <v>62.5</v>
      </c>
      <c r="J1592" s="141">
        <v>19638.991999999998</v>
      </c>
      <c r="K1592" s="238">
        <f t="shared" si="132"/>
        <v>1227437</v>
      </c>
      <c r="L1592" s="14" t="s">
        <v>153</v>
      </c>
      <c r="M1592" s="14" t="s">
        <v>147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/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>x</v>
      </c>
      <c r="Z1592" s="121"/>
    </row>
    <row r="1593" spans="1:26" ht="15.75" customHeight="1">
      <c r="A1593" s="125" t="str">
        <f>IF(B1593&lt;&gt;"",IF(AND(B1593&gt;=_TM1,B1593&lt;=_TM2,OR(TH!L1593="1111",TH!M1593="1111")),TH!D1593,""),"")</f>
        <v/>
      </c>
      <c r="B1593" s="11">
        <f t="shared" si="128"/>
        <v>9</v>
      </c>
      <c r="C1593" s="12">
        <f t="shared" si="131"/>
        <v>40809</v>
      </c>
      <c r="D1593" s="12" t="s">
        <v>1161</v>
      </c>
      <c r="E1593" s="304">
        <v>40809</v>
      </c>
      <c r="F1593" s="15" t="s">
        <v>601</v>
      </c>
      <c r="G1593" s="15"/>
      <c r="H1593" s="242" t="s">
        <v>1037</v>
      </c>
      <c r="I1593" s="141">
        <v>75</v>
      </c>
      <c r="J1593" s="141">
        <v>23688</v>
      </c>
      <c r="K1593" s="238">
        <f t="shared" si="132"/>
        <v>1776600</v>
      </c>
      <c r="L1593" s="14" t="s">
        <v>153</v>
      </c>
      <c r="M1593" s="14" t="s">
        <v>147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/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>x</v>
      </c>
      <c r="Z1593" s="121"/>
    </row>
    <row r="1594" spans="1:26" ht="15.75" customHeight="1">
      <c r="A1594" s="125" t="str">
        <f>IF(B1594&lt;&gt;"",IF(AND(B1594&gt;=_TM1,B1594&lt;=_TM2,OR(TH!L1594="1111",TH!M1594="1111")),TH!D1594,""),"")</f>
        <v/>
      </c>
      <c r="B1594" s="11">
        <f t="shared" si="128"/>
        <v>9</v>
      </c>
      <c r="C1594" s="12">
        <f t="shared" si="131"/>
        <v>40809</v>
      </c>
      <c r="D1594" s="12" t="s">
        <v>1161</v>
      </c>
      <c r="E1594" s="304">
        <v>40809</v>
      </c>
      <c r="F1594" s="114" t="s">
        <v>532</v>
      </c>
      <c r="G1594" s="15"/>
      <c r="H1594" s="242" t="s">
        <v>1037</v>
      </c>
      <c r="I1594" s="141">
        <v>45</v>
      </c>
      <c r="J1594" s="141">
        <v>15345</v>
      </c>
      <c r="K1594" s="238">
        <f t="shared" si="132"/>
        <v>690525</v>
      </c>
      <c r="L1594" s="14" t="s">
        <v>153</v>
      </c>
      <c r="M1594" s="14" t="s">
        <v>147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/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>x</v>
      </c>
      <c r="Z1594" s="121"/>
    </row>
    <row r="1595" spans="1:26" ht="15.75" customHeight="1">
      <c r="A1595" s="125" t="str">
        <f>IF(B1595&lt;&gt;"",IF(AND(B1595&gt;=_TM1,B1595&lt;=_TM2,OR(TH!L1595="1111",TH!M1595="1111")),TH!D1595,""),"")</f>
        <v/>
      </c>
      <c r="B1595" s="11">
        <f t="shared" si="128"/>
        <v>9</v>
      </c>
      <c r="C1595" s="12">
        <f t="shared" si="131"/>
        <v>40809</v>
      </c>
      <c r="D1595" s="12" t="s">
        <v>1076</v>
      </c>
      <c r="E1595" s="12">
        <v>40809</v>
      </c>
      <c r="F1595" s="15" t="s">
        <v>974</v>
      </c>
      <c r="G1595" s="15"/>
      <c r="H1595" s="242" t="s">
        <v>1037</v>
      </c>
      <c r="I1595" s="141">
        <v>104</v>
      </c>
      <c r="J1595" s="141">
        <v>10643.937196691939</v>
      </c>
      <c r="K1595" s="238">
        <f t="shared" si="132"/>
        <v>1106969</v>
      </c>
      <c r="L1595" s="14" t="s">
        <v>155</v>
      </c>
      <c r="M1595" s="14" t="s">
        <v>153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/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>x</v>
      </c>
      <c r="Z1595" s="121"/>
    </row>
    <row r="1596" spans="1:26" ht="15.75" customHeight="1">
      <c r="A1596" s="125" t="str">
        <f>IF(B1596&lt;&gt;"",IF(AND(B1596&gt;=_TM1,B1596&lt;=_TM2,OR(TH!L1596="1111",TH!M1596="1111")),TH!D1596,""),"")</f>
        <v/>
      </c>
      <c r="B1596" s="11">
        <f t="shared" si="128"/>
        <v>9</v>
      </c>
      <c r="C1596" s="12">
        <f t="shared" si="131"/>
        <v>40809</v>
      </c>
      <c r="D1596" s="12" t="s">
        <v>927</v>
      </c>
      <c r="E1596" s="12">
        <v>40809</v>
      </c>
      <c r="F1596" s="15" t="s">
        <v>974</v>
      </c>
      <c r="G1596" s="15" t="s">
        <v>1140</v>
      </c>
      <c r="H1596" s="242" t="s">
        <v>737</v>
      </c>
      <c r="I1596" s="141">
        <v>104</v>
      </c>
      <c r="J1596" s="141">
        <v>10643.937196691939</v>
      </c>
      <c r="K1596" s="238">
        <f t="shared" si="132"/>
        <v>1106969</v>
      </c>
      <c r="L1596" s="14" t="s">
        <v>161</v>
      </c>
      <c r="M1596" s="14" t="s">
        <v>155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/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>x</v>
      </c>
      <c r="Z1596" s="121"/>
    </row>
    <row r="1597" spans="1:26" ht="15.75" customHeight="1">
      <c r="A1597" s="125" t="str">
        <f>IF(B1597&lt;&gt;"",IF(AND(B1597&gt;=_TM1,B1597&lt;=_TM2,OR(TH!L1597="1111",TH!M1597="1111")),TH!D1597,""),"")</f>
        <v/>
      </c>
      <c r="B1597" s="11">
        <f t="shared" si="128"/>
        <v>9</v>
      </c>
      <c r="C1597" s="110">
        <v>40810</v>
      </c>
      <c r="D1597" s="110" t="s">
        <v>310</v>
      </c>
      <c r="E1597" s="110">
        <v>40810</v>
      </c>
      <c r="F1597" s="114" t="s">
        <v>341</v>
      </c>
      <c r="G1597" s="240" t="s">
        <v>307</v>
      </c>
      <c r="H1597" s="4"/>
      <c r="I1597" s="141"/>
      <c r="J1597" s="141"/>
      <c r="K1597" s="238">
        <v>44733</v>
      </c>
      <c r="L1597" s="239" t="s">
        <v>23</v>
      </c>
      <c r="M1597" s="239" t="s">
        <v>37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/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>x</v>
      </c>
      <c r="Z1597" s="121"/>
    </row>
    <row r="1598" spans="1:26" ht="15.75" customHeight="1">
      <c r="A1598" s="125" t="str">
        <f>IF(B1598&lt;&gt;"",IF(AND(B1598&gt;=_TM1,B1598&lt;=_TM2,OR(TH!L1598="1111",TH!M1598="1111")),TH!D1598,""),"")</f>
        <v/>
      </c>
      <c r="B1598" s="11">
        <f t="shared" si="128"/>
        <v>9</v>
      </c>
      <c r="C1598" s="115">
        <v>40810</v>
      </c>
      <c r="D1598" s="115" t="s">
        <v>900</v>
      </c>
      <c r="E1598" s="115">
        <v>40810</v>
      </c>
      <c r="F1598" s="116" t="s">
        <v>312</v>
      </c>
      <c r="G1598" s="224" t="s">
        <v>1142</v>
      </c>
      <c r="H1598" s="131" t="s">
        <v>738</v>
      </c>
      <c r="I1598" s="141"/>
      <c r="J1598" s="141"/>
      <c r="K1598" s="238">
        <v>5078546</v>
      </c>
      <c r="L1598" s="118" t="s">
        <v>44</v>
      </c>
      <c r="M1598" s="118" t="s">
        <v>237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>x</v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>x</v>
      </c>
      <c r="Z1598" s="121"/>
    </row>
    <row r="1599" spans="1:26" ht="15.75" customHeight="1">
      <c r="A1599" s="125" t="str">
        <f>IF(B1599&lt;&gt;"",IF(AND(B1599&gt;=_TM1,B1599&lt;=_TM2,OR(TH!L1599="1111",TH!M1599="1111")),TH!D1599,""),"")</f>
        <v/>
      </c>
      <c r="B1599" s="11">
        <f t="shared" si="128"/>
        <v>9</v>
      </c>
      <c r="C1599" s="115">
        <v>40810</v>
      </c>
      <c r="D1599" s="115" t="s">
        <v>928</v>
      </c>
      <c r="E1599" s="115">
        <v>40810</v>
      </c>
      <c r="F1599" s="116" t="s">
        <v>975</v>
      </c>
      <c r="G1599" s="224" t="s">
        <v>1142</v>
      </c>
      <c r="H1599" s="131" t="s">
        <v>738</v>
      </c>
      <c r="I1599" s="141">
        <v>200</v>
      </c>
      <c r="J1599" s="141">
        <v>7340</v>
      </c>
      <c r="K1599" s="238">
        <v>1468000</v>
      </c>
      <c r="L1599" s="118" t="s">
        <v>237</v>
      </c>
      <c r="M1599" s="118" t="s">
        <v>163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>x</v>
      </c>
      <c r="Z1599" s="121"/>
    </row>
    <row r="1600" spans="1:26" ht="15.75" customHeight="1">
      <c r="A1600" s="125" t="str">
        <f>IF(B1600&lt;&gt;"",IF(AND(B1600&gt;=_TM1,B1600&lt;=_TM2,OR(TH!L1600="1111",TH!M1600="1111")),TH!D1600,""),"")</f>
        <v/>
      </c>
      <c r="B1600" s="11">
        <f t="shared" si="128"/>
        <v>9</v>
      </c>
      <c r="C1600" s="115">
        <v>40810</v>
      </c>
      <c r="D1600" s="115" t="s">
        <v>928</v>
      </c>
      <c r="E1600" s="115">
        <v>40810</v>
      </c>
      <c r="F1600" s="116" t="s">
        <v>976</v>
      </c>
      <c r="G1600" s="224" t="s">
        <v>1142</v>
      </c>
      <c r="H1600" s="131" t="s">
        <v>738</v>
      </c>
      <c r="I1600" s="141">
        <v>385</v>
      </c>
      <c r="J1600" s="141">
        <v>7340</v>
      </c>
      <c r="K1600" s="238">
        <v>2825900</v>
      </c>
      <c r="L1600" s="118" t="s">
        <v>237</v>
      </c>
      <c r="M1600" s="118" t="s">
        <v>163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>x</v>
      </c>
      <c r="Z1600" s="121"/>
    </row>
    <row r="1601" spans="1:26" ht="15.75" customHeight="1">
      <c r="A1601" s="125" t="str">
        <f>IF(B1601&lt;&gt;"",IF(AND(B1601&gt;=_TM1,B1601&lt;=_TM2,OR(TH!L1601="1111",TH!M1601="1111")),TH!D1601,""),"")</f>
        <v/>
      </c>
      <c r="B1601" s="11">
        <f t="shared" si="128"/>
        <v>9</v>
      </c>
      <c r="C1601" s="115">
        <v>40810</v>
      </c>
      <c r="D1601" s="115" t="s">
        <v>928</v>
      </c>
      <c r="E1601" s="115">
        <v>40810</v>
      </c>
      <c r="F1601" s="116" t="s">
        <v>977</v>
      </c>
      <c r="G1601" s="224" t="s">
        <v>1142</v>
      </c>
      <c r="H1601" s="131" t="s">
        <v>738</v>
      </c>
      <c r="I1601" s="141">
        <v>44</v>
      </c>
      <c r="J1601" s="141">
        <v>7340</v>
      </c>
      <c r="K1601" s="238">
        <v>322960</v>
      </c>
      <c r="L1601" s="118" t="s">
        <v>237</v>
      </c>
      <c r="M1601" s="118" t="s">
        <v>163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>x</v>
      </c>
      <c r="Z1601" s="121"/>
    </row>
    <row r="1602" spans="1:26" ht="15.75" customHeight="1">
      <c r="A1602" s="125" t="str">
        <f>IF(B1602&lt;&gt;"",IF(AND(B1602&gt;=_TM1,B1602&lt;=_TM2,OR(TH!L1602="1111",TH!M1602="1111")),TH!D1602,""),"")</f>
        <v/>
      </c>
      <c r="B1602" s="11">
        <f t="shared" si="128"/>
        <v>9</v>
      </c>
      <c r="C1602" s="115">
        <v>40810</v>
      </c>
      <c r="D1602" s="115" t="s">
        <v>928</v>
      </c>
      <c r="E1602" s="115">
        <v>40810</v>
      </c>
      <c r="F1602" s="116" t="s">
        <v>1121</v>
      </c>
      <c r="G1602" s="224" t="s">
        <v>1142</v>
      </c>
      <c r="H1602" s="131" t="s">
        <v>738</v>
      </c>
      <c r="I1602" s="141"/>
      <c r="J1602" s="141"/>
      <c r="K1602" s="238">
        <v>461686</v>
      </c>
      <c r="L1602" s="118" t="s">
        <v>237</v>
      </c>
      <c r="M1602" s="118" t="s">
        <v>707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>x</v>
      </c>
      <c r="Z1602" s="121"/>
    </row>
    <row r="1603" spans="1:26" ht="15.75" customHeight="1">
      <c r="A1603" s="125" t="str">
        <f>IF(B1603&lt;&gt;"",IF(AND(B1603&gt;=_TM1,B1603&lt;=_TM2,OR(TH!L1603="1111",TH!M1603="1111")),TH!D1603,""),"")</f>
        <v/>
      </c>
      <c r="B1603" s="11">
        <f t="shared" si="128"/>
        <v>9</v>
      </c>
      <c r="C1603" s="115">
        <v>40810</v>
      </c>
      <c r="D1603" s="115" t="s">
        <v>929</v>
      </c>
      <c r="E1603" s="115">
        <v>40810</v>
      </c>
      <c r="F1603" s="116" t="s">
        <v>950</v>
      </c>
      <c r="G1603" s="224" t="s">
        <v>1143</v>
      </c>
      <c r="H1603" s="117" t="s">
        <v>709</v>
      </c>
      <c r="I1603" s="141">
        <v>727</v>
      </c>
      <c r="J1603" s="141">
        <v>14369</v>
      </c>
      <c r="K1603" s="238">
        <v>10446263</v>
      </c>
      <c r="L1603" s="118" t="s">
        <v>237</v>
      </c>
      <c r="M1603" s="118" t="s">
        <v>163</v>
      </c>
      <c r="N1603" s="25" t="str">
        <f>IF(AND('331-CT'!$E$7=TH!H1603,OR(L1603="331",M1603="331")),"331",IF(AND(OR(L1603="131",M1603="131"),H1603='131-CT'!$E$7),"131",""))</f>
        <v>131</v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>x</v>
      </c>
      <c r="Z1603" s="121"/>
    </row>
    <row r="1604" spans="1:26" ht="15.75" customHeight="1">
      <c r="A1604" s="125" t="str">
        <f>IF(B1604&lt;&gt;"",IF(AND(B1604&gt;=_TM1,B1604&lt;=_TM2,OR(TH!L1604="1111",TH!M1604="1111")),TH!D1604,""),"")</f>
        <v/>
      </c>
      <c r="B1604" s="11">
        <f t="shared" si="128"/>
        <v>9</v>
      </c>
      <c r="C1604" s="115">
        <v>40810</v>
      </c>
      <c r="D1604" s="115" t="s">
        <v>929</v>
      </c>
      <c r="E1604" s="115">
        <v>40810</v>
      </c>
      <c r="F1604" s="116" t="s">
        <v>727</v>
      </c>
      <c r="G1604" s="224" t="s">
        <v>1143</v>
      </c>
      <c r="H1604" s="117" t="s">
        <v>709</v>
      </c>
      <c r="I1604" s="141">
        <v>2088</v>
      </c>
      <c r="J1604" s="141">
        <v>13939</v>
      </c>
      <c r="K1604" s="238">
        <v>29104632</v>
      </c>
      <c r="L1604" s="118" t="s">
        <v>237</v>
      </c>
      <c r="M1604" s="118" t="s">
        <v>163</v>
      </c>
      <c r="N1604" s="25" t="str">
        <f>IF(AND('331-CT'!$E$7=TH!H1604,OR(L1604="331",M1604="331")),"331",IF(AND(OR(L1604="131",M1604="131"),H1604='131-CT'!$E$7),"131",""))</f>
        <v>131</v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>x</v>
      </c>
      <c r="Z1604" s="121"/>
    </row>
    <row r="1605" spans="1:26" ht="15.75" customHeight="1">
      <c r="A1605" s="125" t="str">
        <f>IF(B1605&lt;&gt;"",IF(AND(B1605&gt;=_TM1,B1605&lt;=_TM2,OR(TH!L1605="1111",TH!M1605="1111")),TH!D1605,""),"")</f>
        <v/>
      </c>
      <c r="B1605" s="11">
        <f t="shared" si="128"/>
        <v>9</v>
      </c>
      <c r="C1605" s="115">
        <v>40810</v>
      </c>
      <c r="D1605" s="115" t="s">
        <v>929</v>
      </c>
      <c r="E1605" s="115">
        <v>40810</v>
      </c>
      <c r="F1605" s="116" t="s">
        <v>950</v>
      </c>
      <c r="G1605" s="224" t="s">
        <v>1143</v>
      </c>
      <c r="H1605" s="117" t="s">
        <v>709</v>
      </c>
      <c r="I1605" s="141">
        <v>1514</v>
      </c>
      <c r="J1605" s="141">
        <v>14369</v>
      </c>
      <c r="K1605" s="238">
        <v>21754666</v>
      </c>
      <c r="L1605" s="118" t="s">
        <v>237</v>
      </c>
      <c r="M1605" s="118" t="s">
        <v>163</v>
      </c>
      <c r="N1605" s="25" t="str">
        <f>IF(AND('331-CT'!$E$7=TH!H1605,OR(L1605="331",M1605="331")),"331",IF(AND(OR(L1605="131",M1605="131"),H1605='131-CT'!$E$7),"131",""))</f>
        <v>131</v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>x</v>
      </c>
      <c r="Z1605" s="121"/>
    </row>
    <row r="1606" spans="1:26" ht="15.75" customHeight="1">
      <c r="A1606" s="125" t="str">
        <f>IF(B1606&lt;&gt;"",IF(AND(B1606&gt;=_TM1,B1606&lt;=_TM2,OR(TH!L1606="1111",TH!M1606="1111")),TH!D1606,""),"")</f>
        <v/>
      </c>
      <c r="B1606" s="11">
        <f t="shared" si="128"/>
        <v>9</v>
      </c>
      <c r="C1606" s="115">
        <v>40810</v>
      </c>
      <c r="D1606" s="115" t="s">
        <v>929</v>
      </c>
      <c r="E1606" s="115">
        <v>40810</v>
      </c>
      <c r="F1606" s="116" t="s">
        <v>722</v>
      </c>
      <c r="G1606" s="224" t="s">
        <v>1143</v>
      </c>
      <c r="H1606" s="117" t="s">
        <v>709</v>
      </c>
      <c r="I1606" s="141">
        <v>548</v>
      </c>
      <c r="J1606" s="141">
        <v>10534</v>
      </c>
      <c r="K1606" s="238">
        <v>5772632</v>
      </c>
      <c r="L1606" s="118" t="s">
        <v>237</v>
      </c>
      <c r="M1606" s="118" t="s">
        <v>163</v>
      </c>
      <c r="N1606" s="25" t="str">
        <f>IF(AND('331-CT'!$E$7=TH!H1606,OR(L1606="331",M1606="331")),"331",IF(AND(OR(L1606="131",M1606="131"),H1606='131-CT'!$E$7),"131",""))</f>
        <v>131</v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>x</v>
      </c>
      <c r="Z1606" s="121"/>
    </row>
    <row r="1607" spans="1:26" ht="15.75" customHeight="1">
      <c r="A1607" s="125" t="str">
        <f>IF(B1607&lt;&gt;"",IF(AND(B1607&gt;=_TM1,B1607&lt;=_TM2,OR(TH!L1607="1111",TH!M1607="1111")),TH!D1607,""),"")</f>
        <v/>
      </c>
      <c r="B1607" s="11">
        <f t="shared" si="128"/>
        <v>9</v>
      </c>
      <c r="C1607" s="115">
        <v>40810</v>
      </c>
      <c r="D1607" s="115" t="s">
        <v>929</v>
      </c>
      <c r="E1607" s="115">
        <v>40810</v>
      </c>
      <c r="F1607" s="116" t="s">
        <v>726</v>
      </c>
      <c r="G1607" s="224" t="s">
        <v>1143</v>
      </c>
      <c r="H1607" s="117" t="s">
        <v>709</v>
      </c>
      <c r="I1607" s="141">
        <v>41</v>
      </c>
      <c r="J1607" s="141">
        <v>15549</v>
      </c>
      <c r="K1607" s="238">
        <v>637509</v>
      </c>
      <c r="L1607" s="118" t="s">
        <v>237</v>
      </c>
      <c r="M1607" s="118" t="s">
        <v>163</v>
      </c>
      <c r="N1607" s="25" t="str">
        <f>IF(AND('331-CT'!$E$7=TH!H1607,OR(L1607="331",M1607="331")),"331",IF(AND(OR(L1607="131",M1607="131"),H1607='131-CT'!$E$7),"131",""))</f>
        <v>131</v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>x</v>
      </c>
      <c r="Z1607" s="121"/>
    </row>
    <row r="1608" spans="1:26" ht="15.75" customHeight="1">
      <c r="A1608" s="125" t="str">
        <f>IF(B1608&lt;&gt;"",IF(AND(B1608&gt;=_TM1,B1608&lt;=_TM2,OR(TH!L1608="1111",TH!M1608="1111")),TH!D1608,""),"")</f>
        <v/>
      </c>
      <c r="B1608" s="11">
        <f t="shared" si="128"/>
        <v>9</v>
      </c>
      <c r="C1608" s="115">
        <v>40810</v>
      </c>
      <c r="D1608" s="115" t="s">
        <v>929</v>
      </c>
      <c r="E1608" s="115">
        <v>40810</v>
      </c>
      <c r="F1608" s="116" t="s">
        <v>723</v>
      </c>
      <c r="G1608" s="224" t="s">
        <v>1143</v>
      </c>
      <c r="H1608" s="117" t="s">
        <v>709</v>
      </c>
      <c r="I1608" s="141">
        <v>20</v>
      </c>
      <c r="J1608" s="141">
        <v>11621</v>
      </c>
      <c r="K1608" s="238">
        <v>232420</v>
      </c>
      <c r="L1608" s="118" t="s">
        <v>237</v>
      </c>
      <c r="M1608" s="118" t="s">
        <v>163</v>
      </c>
      <c r="N1608" s="25" t="str">
        <f>IF(AND('331-CT'!$E$7=TH!H1608,OR(L1608="331",M1608="331")),"331",IF(AND(OR(L1608="131",M1608="131"),H1608='131-CT'!$E$7),"131",""))</f>
        <v>131</v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>x</v>
      </c>
      <c r="Z1608" s="121"/>
    </row>
    <row r="1609" spans="1:26" ht="15.75" customHeight="1">
      <c r="A1609" s="125" t="str">
        <f>IF(B1609&lt;&gt;"",IF(AND(B1609&gt;=_TM1,B1609&lt;=_TM2,OR(TH!L1609="1111",TH!M1609="1111")),TH!D1609,""),"")</f>
        <v/>
      </c>
      <c r="B1609" s="11">
        <f t="shared" si="128"/>
        <v>9</v>
      </c>
      <c r="C1609" s="115">
        <v>40810</v>
      </c>
      <c r="D1609" s="115" t="s">
        <v>929</v>
      </c>
      <c r="E1609" s="115">
        <v>40810</v>
      </c>
      <c r="F1609" s="116" t="s">
        <v>1121</v>
      </c>
      <c r="G1609" s="224" t="s">
        <v>1143</v>
      </c>
      <c r="H1609" s="117" t="s">
        <v>709</v>
      </c>
      <c r="I1609" s="141"/>
      <c r="J1609" s="141"/>
      <c r="K1609" s="238">
        <f>6794812+1</f>
        <v>6794813</v>
      </c>
      <c r="L1609" s="118" t="s">
        <v>237</v>
      </c>
      <c r="M1609" s="118" t="s">
        <v>707</v>
      </c>
      <c r="N1609" s="25" t="str">
        <f>IF(AND('331-CT'!$E$7=TH!H1609,OR(L1609="331",M1609="331")),"331",IF(AND(OR(L1609="131",M1609="131"),H1609='131-CT'!$E$7),"131",""))</f>
        <v>131</v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>x</v>
      </c>
      <c r="Z1609" s="121"/>
    </row>
    <row r="1610" spans="1:26" ht="15.75" customHeight="1">
      <c r="A1610" s="125" t="str">
        <f>IF(B1610&lt;&gt;"",IF(AND(B1610&gt;=_TM1,B1610&lt;=_TM2,OR(TH!L1610="1111",TH!M1610="1111")),TH!D1610,""),"")</f>
        <v/>
      </c>
      <c r="B1610" s="11">
        <f t="shared" si="128"/>
        <v>9</v>
      </c>
      <c r="C1610" s="12">
        <f t="shared" ref="C1610:C1627" si="133">E1610</f>
        <v>40810</v>
      </c>
      <c r="D1610" s="12" t="s">
        <v>1077</v>
      </c>
      <c r="E1610" s="12">
        <v>40810</v>
      </c>
      <c r="F1610" s="15" t="s">
        <v>975</v>
      </c>
      <c r="G1610" s="15"/>
      <c r="H1610" s="242" t="s">
        <v>1037</v>
      </c>
      <c r="I1610" s="141">
        <v>200</v>
      </c>
      <c r="J1610" s="141">
        <v>7394.3987351534779</v>
      </c>
      <c r="K1610" s="238">
        <f t="shared" ref="K1610:K1627" si="134">ROUND(I1610*J1610,0)</f>
        <v>1478880</v>
      </c>
      <c r="L1610" s="14" t="s">
        <v>155</v>
      </c>
      <c r="M1610" s="14" t="s">
        <v>153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>x</v>
      </c>
      <c r="Z1610" s="121"/>
    </row>
    <row r="1611" spans="1:26" ht="15.75" customHeight="1">
      <c r="A1611" s="125" t="str">
        <f>IF(B1611&lt;&gt;"",IF(AND(B1611&gt;=_TM1,B1611&lt;=_TM2,OR(TH!L1611="1111",TH!M1611="1111")),TH!D1611,""),"")</f>
        <v/>
      </c>
      <c r="B1611" s="11">
        <f t="shared" si="128"/>
        <v>9</v>
      </c>
      <c r="C1611" s="12">
        <f t="shared" si="133"/>
        <v>40810</v>
      </c>
      <c r="D1611" s="12" t="s">
        <v>1077</v>
      </c>
      <c r="E1611" s="12">
        <v>40810</v>
      </c>
      <c r="F1611" s="15" t="s">
        <v>976</v>
      </c>
      <c r="G1611" s="15"/>
      <c r="H1611" s="242" t="s">
        <v>1037</v>
      </c>
      <c r="I1611" s="141">
        <v>385</v>
      </c>
      <c r="J1611" s="141">
        <v>7537.6688650236092</v>
      </c>
      <c r="K1611" s="238">
        <f t="shared" si="134"/>
        <v>2902003</v>
      </c>
      <c r="L1611" s="14" t="s">
        <v>155</v>
      </c>
      <c r="M1611" s="14" t="s">
        <v>153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>x</v>
      </c>
      <c r="Z1611" s="121"/>
    </row>
    <row r="1612" spans="1:26" ht="15.75" customHeight="1">
      <c r="A1612" s="125" t="str">
        <f>IF(B1612&lt;&gt;"",IF(AND(B1612&gt;=_TM1,B1612&lt;=_TM2,OR(TH!L1612="1111",TH!M1612="1111")),TH!D1612,""),"")</f>
        <v/>
      </c>
      <c r="B1612" s="11">
        <f t="shared" si="128"/>
        <v>9</v>
      </c>
      <c r="C1612" s="12">
        <f t="shared" si="133"/>
        <v>40810</v>
      </c>
      <c r="D1612" s="12" t="s">
        <v>1077</v>
      </c>
      <c r="E1612" s="12">
        <v>40810</v>
      </c>
      <c r="F1612" s="15" t="s">
        <v>977</v>
      </c>
      <c r="G1612" s="15"/>
      <c r="H1612" s="242" t="s">
        <v>1037</v>
      </c>
      <c r="I1612" s="141">
        <v>44</v>
      </c>
      <c r="J1612" s="141">
        <v>6671.398735153477</v>
      </c>
      <c r="K1612" s="238">
        <f t="shared" si="134"/>
        <v>293542</v>
      </c>
      <c r="L1612" s="14" t="s">
        <v>155</v>
      </c>
      <c r="M1612" s="14" t="s">
        <v>153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/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>x</v>
      </c>
      <c r="Z1612" s="121"/>
    </row>
    <row r="1613" spans="1:26" ht="15.75" customHeight="1">
      <c r="A1613" s="125" t="str">
        <f>IF(B1613&lt;&gt;"",IF(AND(B1613&gt;=_TM1,B1613&lt;=_TM2,OR(TH!L1613="1111",TH!M1613="1111")),TH!D1613,""),"")</f>
        <v/>
      </c>
      <c r="B1613" s="11">
        <f t="shared" si="128"/>
        <v>9</v>
      </c>
      <c r="C1613" s="12">
        <f t="shared" si="133"/>
        <v>40810</v>
      </c>
      <c r="D1613" s="12" t="s">
        <v>1077</v>
      </c>
      <c r="E1613" s="12">
        <v>40810</v>
      </c>
      <c r="F1613" s="15" t="s">
        <v>950</v>
      </c>
      <c r="G1613" s="15"/>
      <c r="H1613" s="242" t="s">
        <v>1037</v>
      </c>
      <c r="I1613" s="141">
        <v>727</v>
      </c>
      <c r="J1613" s="141">
        <v>12964.654581095709</v>
      </c>
      <c r="K1613" s="238">
        <f t="shared" si="134"/>
        <v>9425304</v>
      </c>
      <c r="L1613" s="14" t="s">
        <v>155</v>
      </c>
      <c r="M1613" s="14" t="s">
        <v>153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/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>x</v>
      </c>
      <c r="Z1613" s="121"/>
    </row>
    <row r="1614" spans="1:26" ht="15.75" customHeight="1">
      <c r="A1614" s="125" t="str">
        <f>IF(B1614&lt;&gt;"",IF(AND(B1614&gt;=_TM1,B1614&lt;=_TM2,OR(TH!L1614="1111",TH!M1614="1111")),TH!D1614,""),"")</f>
        <v/>
      </c>
      <c r="B1614" s="11">
        <f t="shared" si="128"/>
        <v>9</v>
      </c>
      <c r="C1614" s="12">
        <f t="shared" si="133"/>
        <v>40810</v>
      </c>
      <c r="D1614" s="12" t="s">
        <v>1077</v>
      </c>
      <c r="E1614" s="12">
        <v>40810</v>
      </c>
      <c r="F1614" s="15" t="s">
        <v>727</v>
      </c>
      <c r="G1614" s="15"/>
      <c r="H1614" s="242" t="s">
        <v>1037</v>
      </c>
      <c r="I1614" s="141">
        <v>2088</v>
      </c>
      <c r="J1614" s="141">
        <v>8037.1975857281905</v>
      </c>
      <c r="K1614" s="238">
        <f t="shared" si="134"/>
        <v>16781669</v>
      </c>
      <c r="L1614" s="14" t="s">
        <v>155</v>
      </c>
      <c r="M1614" s="14" t="s">
        <v>153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/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>x</v>
      </c>
      <c r="Z1614" s="121"/>
    </row>
    <row r="1615" spans="1:26" ht="15.75" customHeight="1">
      <c r="A1615" s="125" t="str">
        <f>IF(B1615&lt;&gt;"",IF(AND(B1615&gt;=_TM1,B1615&lt;=_TM2,OR(TH!L1615="1111",TH!M1615="1111")),TH!D1615,""),"")</f>
        <v/>
      </c>
      <c r="B1615" s="11">
        <f t="shared" si="128"/>
        <v>9</v>
      </c>
      <c r="C1615" s="12">
        <f t="shared" si="133"/>
        <v>40810</v>
      </c>
      <c r="D1615" s="12" t="s">
        <v>1077</v>
      </c>
      <c r="E1615" s="12">
        <v>40810</v>
      </c>
      <c r="F1615" s="15" t="s">
        <v>950</v>
      </c>
      <c r="G1615" s="15"/>
      <c r="H1615" s="242" t="s">
        <v>1037</v>
      </c>
      <c r="I1615" s="141">
        <v>1514</v>
      </c>
      <c r="J1615" s="141">
        <v>12949.89873515348</v>
      </c>
      <c r="K1615" s="238">
        <f t="shared" si="134"/>
        <v>19606147</v>
      </c>
      <c r="L1615" s="14" t="s">
        <v>155</v>
      </c>
      <c r="M1615" s="14" t="s">
        <v>153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>x</v>
      </c>
      <c r="Z1615" s="121"/>
    </row>
    <row r="1616" spans="1:26" ht="15.75" customHeight="1">
      <c r="A1616" s="125" t="str">
        <f>IF(B1616&lt;&gt;"",IF(AND(B1616&gt;=_TM1,B1616&lt;=_TM2,OR(TH!L1616="1111",TH!M1616="1111")),TH!D1616,""),"")</f>
        <v/>
      </c>
      <c r="B1616" s="11">
        <f t="shared" si="128"/>
        <v>9</v>
      </c>
      <c r="C1616" s="12">
        <f t="shared" si="133"/>
        <v>40810</v>
      </c>
      <c r="D1616" s="12" t="s">
        <v>1077</v>
      </c>
      <c r="E1616" s="12">
        <v>40810</v>
      </c>
      <c r="F1616" s="15" t="s">
        <v>722</v>
      </c>
      <c r="G1616" s="15"/>
      <c r="H1616" s="242" t="s">
        <v>1037</v>
      </c>
      <c r="I1616" s="141">
        <v>548</v>
      </c>
      <c r="J1616" s="141">
        <v>8878.7308519417984</v>
      </c>
      <c r="K1616" s="238">
        <f t="shared" si="134"/>
        <v>4865545</v>
      </c>
      <c r="L1616" s="14" t="s">
        <v>155</v>
      </c>
      <c r="M1616" s="14" t="s">
        <v>153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>x</v>
      </c>
      <c r="Z1616" s="121"/>
    </row>
    <row r="1617" spans="1:26" ht="15.75" customHeight="1">
      <c r="A1617" s="125" t="str">
        <f>IF(B1617&lt;&gt;"",IF(AND(B1617&gt;=_TM1,B1617&lt;=_TM2,OR(TH!L1617="1111",TH!M1617="1111")),TH!D1617,""),"")</f>
        <v/>
      </c>
      <c r="B1617" s="11">
        <f t="shared" si="128"/>
        <v>9</v>
      </c>
      <c r="C1617" s="12">
        <f t="shared" si="133"/>
        <v>40810</v>
      </c>
      <c r="D1617" s="12" t="s">
        <v>1077</v>
      </c>
      <c r="E1617" s="12">
        <v>40810</v>
      </c>
      <c r="F1617" s="15" t="s">
        <v>726</v>
      </c>
      <c r="G1617" s="15"/>
      <c r="H1617" s="242" t="s">
        <v>1037</v>
      </c>
      <c r="I1617" s="141">
        <v>41</v>
      </c>
      <c r="J1617" s="141">
        <v>14530.447515641283</v>
      </c>
      <c r="K1617" s="238">
        <f t="shared" si="134"/>
        <v>595748</v>
      </c>
      <c r="L1617" s="14" t="s">
        <v>155</v>
      </c>
      <c r="M1617" s="14" t="s">
        <v>153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>x</v>
      </c>
      <c r="Z1617" s="121"/>
    </row>
    <row r="1618" spans="1:26" ht="15.75" customHeight="1">
      <c r="A1618" s="125" t="str">
        <f>IF(B1618&lt;&gt;"",IF(AND(B1618&gt;=_TM1,B1618&lt;=_TM2,OR(TH!L1618="1111",TH!M1618="1111")),TH!D1618,""),"")</f>
        <v/>
      </c>
      <c r="B1618" s="11">
        <f t="shared" si="128"/>
        <v>9</v>
      </c>
      <c r="C1618" s="12">
        <f t="shared" si="133"/>
        <v>40810</v>
      </c>
      <c r="D1618" s="12" t="s">
        <v>1077</v>
      </c>
      <c r="E1618" s="12">
        <v>40810</v>
      </c>
      <c r="F1618" s="15" t="s">
        <v>723</v>
      </c>
      <c r="G1618" s="15"/>
      <c r="H1618" s="242" t="s">
        <v>1037</v>
      </c>
      <c r="I1618" s="141">
        <v>20</v>
      </c>
      <c r="J1618" s="141">
        <v>10708.89873515348</v>
      </c>
      <c r="K1618" s="238">
        <f t="shared" si="134"/>
        <v>214178</v>
      </c>
      <c r="L1618" s="14" t="s">
        <v>155</v>
      </c>
      <c r="M1618" s="14" t="s">
        <v>153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>x</v>
      </c>
      <c r="Z1618" s="121"/>
    </row>
    <row r="1619" spans="1:26" ht="15.75" customHeight="1">
      <c r="A1619" s="125" t="str">
        <f>IF(B1619&lt;&gt;"",IF(AND(B1619&gt;=_TM1,B1619&lt;=_TM2,OR(TH!L1619="1111",TH!M1619="1111")),TH!D1619,""),"")</f>
        <v/>
      </c>
      <c r="B1619" s="11">
        <f t="shared" si="128"/>
        <v>9</v>
      </c>
      <c r="C1619" s="12">
        <f t="shared" si="133"/>
        <v>40810</v>
      </c>
      <c r="D1619" s="12" t="s">
        <v>928</v>
      </c>
      <c r="E1619" s="12">
        <v>40810</v>
      </c>
      <c r="F1619" s="15" t="s">
        <v>975</v>
      </c>
      <c r="G1619" s="15" t="s">
        <v>1142</v>
      </c>
      <c r="H1619" s="242" t="s">
        <v>738</v>
      </c>
      <c r="I1619" s="141">
        <v>200</v>
      </c>
      <c r="J1619" s="141">
        <v>7394.3987351534779</v>
      </c>
      <c r="K1619" s="238">
        <f t="shared" si="134"/>
        <v>1478880</v>
      </c>
      <c r="L1619" s="14" t="s">
        <v>161</v>
      </c>
      <c r="M1619" s="14" t="s">
        <v>155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>x</v>
      </c>
      <c r="Z1619" s="121"/>
    </row>
    <row r="1620" spans="1:26" ht="15.75" customHeight="1">
      <c r="A1620" s="125" t="str">
        <f>IF(B1620&lt;&gt;"",IF(AND(B1620&gt;=_TM1,B1620&lt;=_TM2,OR(TH!L1620="1111",TH!M1620="1111")),TH!D1620,""),"")</f>
        <v/>
      </c>
      <c r="B1620" s="11">
        <f t="shared" si="128"/>
        <v>9</v>
      </c>
      <c r="C1620" s="12">
        <f t="shared" si="133"/>
        <v>40810</v>
      </c>
      <c r="D1620" s="12" t="s">
        <v>928</v>
      </c>
      <c r="E1620" s="12">
        <v>40810</v>
      </c>
      <c r="F1620" s="15" t="s">
        <v>976</v>
      </c>
      <c r="G1620" s="15" t="s">
        <v>1142</v>
      </c>
      <c r="H1620" s="242" t="s">
        <v>738</v>
      </c>
      <c r="I1620" s="141">
        <v>385</v>
      </c>
      <c r="J1620" s="141">
        <v>7537.6688650236092</v>
      </c>
      <c r="K1620" s="238">
        <f t="shared" si="134"/>
        <v>2902003</v>
      </c>
      <c r="L1620" s="14" t="s">
        <v>161</v>
      </c>
      <c r="M1620" s="14" t="s">
        <v>155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>x</v>
      </c>
      <c r="Z1620" s="121"/>
    </row>
    <row r="1621" spans="1:26" ht="15.75" customHeight="1">
      <c r="A1621" s="125" t="str">
        <f>IF(B1621&lt;&gt;"",IF(AND(B1621&gt;=_TM1,B1621&lt;=_TM2,OR(TH!L1621="1111",TH!M1621="1111")),TH!D1621,""),"")</f>
        <v/>
      </c>
      <c r="B1621" s="11">
        <f t="shared" si="128"/>
        <v>9</v>
      </c>
      <c r="C1621" s="12">
        <f t="shared" si="133"/>
        <v>40810</v>
      </c>
      <c r="D1621" s="12" t="s">
        <v>928</v>
      </c>
      <c r="E1621" s="12">
        <v>40810</v>
      </c>
      <c r="F1621" s="15" t="s">
        <v>977</v>
      </c>
      <c r="G1621" s="15" t="s">
        <v>1142</v>
      </c>
      <c r="H1621" s="242" t="s">
        <v>738</v>
      </c>
      <c r="I1621" s="141">
        <v>44</v>
      </c>
      <c r="J1621" s="141">
        <v>6671.398735153477</v>
      </c>
      <c r="K1621" s="238">
        <f t="shared" si="134"/>
        <v>293542</v>
      </c>
      <c r="L1621" s="14" t="s">
        <v>161</v>
      </c>
      <c r="M1621" s="14" t="s">
        <v>155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>x</v>
      </c>
      <c r="Z1621" s="121"/>
    </row>
    <row r="1622" spans="1:26" ht="15.75" customHeight="1">
      <c r="A1622" s="125" t="str">
        <f>IF(B1622&lt;&gt;"",IF(AND(B1622&gt;=_TM1,B1622&lt;=_TM2,OR(TH!L1622="1111",TH!M1622="1111")),TH!D1622,""),"")</f>
        <v/>
      </c>
      <c r="B1622" s="11">
        <f t="shared" ref="B1622:B1685" si="135">IF(C1622&lt;&gt;"",MONTH(C1622),"")</f>
        <v>9</v>
      </c>
      <c r="C1622" s="12">
        <f t="shared" si="133"/>
        <v>40810</v>
      </c>
      <c r="D1622" s="12" t="s">
        <v>929</v>
      </c>
      <c r="E1622" s="12">
        <v>40810</v>
      </c>
      <c r="F1622" s="15" t="s">
        <v>950</v>
      </c>
      <c r="G1622" s="15" t="s">
        <v>1143</v>
      </c>
      <c r="H1622" s="242" t="s">
        <v>709</v>
      </c>
      <c r="I1622" s="141">
        <v>727</v>
      </c>
      <c r="J1622" s="141">
        <v>12964.654581095709</v>
      </c>
      <c r="K1622" s="238">
        <f t="shared" si="134"/>
        <v>9425304</v>
      </c>
      <c r="L1622" s="14" t="s">
        <v>161</v>
      </c>
      <c r="M1622" s="14" t="s">
        <v>155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>x</v>
      </c>
      <c r="Z1622" s="121"/>
    </row>
    <row r="1623" spans="1:26" ht="15.75" customHeight="1">
      <c r="A1623" s="125" t="str">
        <f>IF(B1623&lt;&gt;"",IF(AND(B1623&gt;=_TM1,B1623&lt;=_TM2,OR(TH!L1623="1111",TH!M1623="1111")),TH!D1623,""),"")</f>
        <v/>
      </c>
      <c r="B1623" s="11">
        <f t="shared" si="135"/>
        <v>9</v>
      </c>
      <c r="C1623" s="12">
        <f t="shared" si="133"/>
        <v>40810</v>
      </c>
      <c r="D1623" s="12" t="s">
        <v>929</v>
      </c>
      <c r="E1623" s="12">
        <v>40810</v>
      </c>
      <c r="F1623" s="15" t="s">
        <v>727</v>
      </c>
      <c r="G1623" s="15" t="s">
        <v>1143</v>
      </c>
      <c r="H1623" s="242" t="s">
        <v>709</v>
      </c>
      <c r="I1623" s="141">
        <v>2088</v>
      </c>
      <c r="J1623" s="141">
        <v>8037.1975857281905</v>
      </c>
      <c r="K1623" s="238">
        <f t="shared" si="134"/>
        <v>16781669</v>
      </c>
      <c r="L1623" s="14" t="s">
        <v>161</v>
      </c>
      <c r="M1623" s="14" t="s">
        <v>155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>x</v>
      </c>
      <c r="Z1623" s="121"/>
    </row>
    <row r="1624" spans="1:26" ht="15.75" customHeight="1">
      <c r="A1624" s="125" t="str">
        <f>IF(B1624&lt;&gt;"",IF(AND(B1624&gt;=_TM1,B1624&lt;=_TM2,OR(TH!L1624="1111",TH!M1624="1111")),TH!D1624,""),"")</f>
        <v/>
      </c>
      <c r="B1624" s="11">
        <f t="shared" si="135"/>
        <v>9</v>
      </c>
      <c r="C1624" s="12">
        <f t="shared" si="133"/>
        <v>40810</v>
      </c>
      <c r="D1624" s="12" t="s">
        <v>929</v>
      </c>
      <c r="E1624" s="12">
        <v>40810</v>
      </c>
      <c r="F1624" s="15" t="s">
        <v>950</v>
      </c>
      <c r="G1624" s="15" t="s">
        <v>1143</v>
      </c>
      <c r="H1624" s="242" t="s">
        <v>709</v>
      </c>
      <c r="I1624" s="141">
        <v>1514</v>
      </c>
      <c r="J1624" s="141">
        <v>12949.89873515348</v>
      </c>
      <c r="K1624" s="238">
        <f t="shared" si="134"/>
        <v>19606147</v>
      </c>
      <c r="L1624" s="14" t="s">
        <v>161</v>
      </c>
      <c r="M1624" s="14" t="s">
        <v>155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>x</v>
      </c>
      <c r="Z1624" s="121"/>
    </row>
    <row r="1625" spans="1:26" ht="15.75" customHeight="1">
      <c r="A1625" s="125" t="str">
        <f>IF(B1625&lt;&gt;"",IF(AND(B1625&gt;=_TM1,B1625&lt;=_TM2,OR(TH!L1625="1111",TH!M1625="1111")),TH!D1625,""),"")</f>
        <v/>
      </c>
      <c r="B1625" s="11">
        <f t="shared" si="135"/>
        <v>9</v>
      </c>
      <c r="C1625" s="12">
        <f t="shared" si="133"/>
        <v>40810</v>
      </c>
      <c r="D1625" s="12" t="s">
        <v>929</v>
      </c>
      <c r="E1625" s="12">
        <v>40810</v>
      </c>
      <c r="F1625" s="15" t="s">
        <v>722</v>
      </c>
      <c r="G1625" s="15" t="s">
        <v>1143</v>
      </c>
      <c r="H1625" s="242" t="s">
        <v>709</v>
      </c>
      <c r="I1625" s="141">
        <v>548</v>
      </c>
      <c r="J1625" s="141">
        <v>8878.7308519417984</v>
      </c>
      <c r="K1625" s="238">
        <f t="shared" si="134"/>
        <v>4865545</v>
      </c>
      <c r="L1625" s="14" t="s">
        <v>161</v>
      </c>
      <c r="M1625" s="14" t="s">
        <v>155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>x</v>
      </c>
      <c r="Z1625" s="121"/>
    </row>
    <row r="1626" spans="1:26" ht="15.75" customHeight="1">
      <c r="A1626" s="125" t="str">
        <f>IF(B1626&lt;&gt;"",IF(AND(B1626&gt;=_TM1,B1626&lt;=_TM2,OR(TH!L1626="1111",TH!M1626="1111")),TH!D1626,""),"")</f>
        <v/>
      </c>
      <c r="B1626" s="11">
        <f t="shared" si="135"/>
        <v>9</v>
      </c>
      <c r="C1626" s="12">
        <f t="shared" si="133"/>
        <v>40810</v>
      </c>
      <c r="D1626" s="12" t="s">
        <v>929</v>
      </c>
      <c r="E1626" s="12">
        <v>40810</v>
      </c>
      <c r="F1626" s="15" t="s">
        <v>726</v>
      </c>
      <c r="G1626" s="15" t="s">
        <v>1143</v>
      </c>
      <c r="H1626" s="242" t="s">
        <v>709</v>
      </c>
      <c r="I1626" s="141">
        <v>41</v>
      </c>
      <c r="J1626" s="141">
        <v>14530.447515641283</v>
      </c>
      <c r="K1626" s="238">
        <f t="shared" si="134"/>
        <v>595748</v>
      </c>
      <c r="L1626" s="14" t="s">
        <v>161</v>
      </c>
      <c r="M1626" s="14" t="s">
        <v>155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>x</v>
      </c>
      <c r="Z1626" s="121"/>
    </row>
    <row r="1627" spans="1:26" ht="15.75" customHeight="1">
      <c r="A1627" s="125" t="str">
        <f>IF(B1627&lt;&gt;"",IF(AND(B1627&gt;=_TM1,B1627&lt;=_TM2,OR(TH!L1627="1111",TH!M1627="1111")),TH!D1627,""),"")</f>
        <v/>
      </c>
      <c r="B1627" s="11">
        <f t="shared" si="135"/>
        <v>9</v>
      </c>
      <c r="C1627" s="12">
        <f t="shared" si="133"/>
        <v>40810</v>
      </c>
      <c r="D1627" s="12" t="s">
        <v>929</v>
      </c>
      <c r="E1627" s="12">
        <v>40810</v>
      </c>
      <c r="F1627" s="15" t="s">
        <v>723</v>
      </c>
      <c r="G1627" s="15" t="s">
        <v>1143</v>
      </c>
      <c r="H1627" s="242" t="s">
        <v>709</v>
      </c>
      <c r="I1627" s="141">
        <v>20</v>
      </c>
      <c r="J1627" s="141">
        <v>10708.89873515348</v>
      </c>
      <c r="K1627" s="238">
        <f t="shared" si="134"/>
        <v>214178</v>
      </c>
      <c r="L1627" s="14" t="s">
        <v>161</v>
      </c>
      <c r="M1627" s="14" t="s">
        <v>155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>x</v>
      </c>
      <c r="Z1627" s="121"/>
    </row>
    <row r="1628" spans="1:26" ht="15.75" customHeight="1">
      <c r="A1628" s="125" t="str">
        <f>IF(B1628&lt;&gt;"",IF(AND(B1628&gt;=_TM1,B1628&lt;=_TM2,OR(TH!L1628="1111",TH!M1628="1111")),TH!D1628,""),"")</f>
        <v/>
      </c>
      <c r="B1628" s="11">
        <f t="shared" si="135"/>
        <v>9</v>
      </c>
      <c r="C1628" s="115">
        <v>40811</v>
      </c>
      <c r="D1628" s="115" t="s">
        <v>930</v>
      </c>
      <c r="E1628" s="115">
        <v>40811</v>
      </c>
      <c r="F1628" s="116" t="s">
        <v>870</v>
      </c>
      <c r="G1628" s="224" t="s">
        <v>1144</v>
      </c>
      <c r="H1628" s="117" t="s">
        <v>709</v>
      </c>
      <c r="I1628" s="141">
        <v>106</v>
      </c>
      <c r="J1628" s="141">
        <v>8398</v>
      </c>
      <c r="K1628" s="238">
        <v>890188</v>
      </c>
      <c r="L1628" s="118" t="s">
        <v>237</v>
      </c>
      <c r="M1628" s="118" t="s">
        <v>163</v>
      </c>
      <c r="N1628" s="25" t="str">
        <f>IF(AND('331-CT'!$E$7=TH!H1628,OR(L1628="331",M1628="331")),"331",IF(AND(OR(L1628="131",M1628="131"),H1628='131-CT'!$E$7),"131",""))</f>
        <v>131</v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>x</v>
      </c>
      <c r="Z1628" s="121"/>
    </row>
    <row r="1629" spans="1:26" ht="15.75" customHeight="1">
      <c r="A1629" s="125" t="str">
        <f>IF(B1629&lt;&gt;"",IF(AND(B1629&gt;=_TM1,B1629&lt;=_TM2,OR(TH!L1629="1111",TH!M1629="1111")),TH!D1629,""),"")</f>
        <v/>
      </c>
      <c r="B1629" s="11">
        <f t="shared" si="135"/>
        <v>9</v>
      </c>
      <c r="C1629" s="115">
        <v>40811</v>
      </c>
      <c r="D1629" s="115" t="s">
        <v>930</v>
      </c>
      <c r="E1629" s="115">
        <v>40811</v>
      </c>
      <c r="F1629" s="116" t="s">
        <v>874</v>
      </c>
      <c r="G1629" s="224" t="s">
        <v>1144</v>
      </c>
      <c r="H1629" s="117" t="s">
        <v>709</v>
      </c>
      <c r="I1629" s="141">
        <v>499</v>
      </c>
      <c r="J1629" s="141">
        <v>9538</v>
      </c>
      <c r="K1629" s="238">
        <v>4759462</v>
      </c>
      <c r="L1629" s="118" t="s">
        <v>237</v>
      </c>
      <c r="M1629" s="118" t="s">
        <v>163</v>
      </c>
      <c r="N1629" s="25" t="str">
        <f>IF(AND('331-CT'!$E$7=TH!H1629,OR(L1629="331",M1629="331")),"331",IF(AND(OR(L1629="131",M1629="131"),H1629='131-CT'!$E$7),"131",""))</f>
        <v>131</v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>x</v>
      </c>
      <c r="Z1629" s="121"/>
    </row>
    <row r="1630" spans="1:26" ht="15.75" customHeight="1">
      <c r="A1630" s="125" t="str">
        <f>IF(B1630&lt;&gt;"",IF(AND(B1630&gt;=_TM1,B1630&lt;=_TM2,OR(TH!L1630="1111",TH!M1630="1111")),TH!D1630,""),"")</f>
        <v/>
      </c>
      <c r="B1630" s="11">
        <f t="shared" si="135"/>
        <v>9</v>
      </c>
      <c r="C1630" s="115">
        <v>40811</v>
      </c>
      <c r="D1630" s="115" t="s">
        <v>930</v>
      </c>
      <c r="E1630" s="115">
        <v>40811</v>
      </c>
      <c r="F1630" s="116" t="s">
        <v>733</v>
      </c>
      <c r="G1630" s="224" t="s">
        <v>1144</v>
      </c>
      <c r="H1630" s="117" t="s">
        <v>709</v>
      </c>
      <c r="I1630" s="141">
        <v>3</v>
      </c>
      <c r="J1630" s="141">
        <v>5166</v>
      </c>
      <c r="K1630" s="238">
        <v>15498</v>
      </c>
      <c r="L1630" s="118" t="s">
        <v>237</v>
      </c>
      <c r="M1630" s="118" t="s">
        <v>163</v>
      </c>
      <c r="N1630" s="25" t="str">
        <f>IF(AND('331-CT'!$E$7=TH!H1630,OR(L1630="331",M1630="331")),"331",IF(AND(OR(L1630="131",M1630="131"),H1630='131-CT'!$E$7),"131",""))</f>
        <v>131</v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>x</v>
      </c>
      <c r="Z1630" s="121"/>
    </row>
    <row r="1631" spans="1:26" ht="15.75" customHeight="1">
      <c r="A1631" s="125" t="str">
        <f>IF(B1631&lt;&gt;"",IF(AND(B1631&gt;=_TM1,B1631&lt;=_TM2,OR(TH!L1631="1111",TH!M1631="1111")),TH!D1631,""),"")</f>
        <v/>
      </c>
      <c r="B1631" s="11">
        <f t="shared" si="135"/>
        <v>9</v>
      </c>
      <c r="C1631" s="115">
        <v>40811</v>
      </c>
      <c r="D1631" s="115" t="s">
        <v>930</v>
      </c>
      <c r="E1631" s="115">
        <v>40811</v>
      </c>
      <c r="F1631" s="116" t="s">
        <v>724</v>
      </c>
      <c r="G1631" s="224" t="s">
        <v>1144</v>
      </c>
      <c r="H1631" s="117" t="s">
        <v>709</v>
      </c>
      <c r="I1631" s="141">
        <v>13</v>
      </c>
      <c r="J1631" s="141">
        <v>10189</v>
      </c>
      <c r="K1631" s="238">
        <v>132457</v>
      </c>
      <c r="L1631" s="118" t="s">
        <v>237</v>
      </c>
      <c r="M1631" s="118" t="s">
        <v>163</v>
      </c>
      <c r="N1631" s="25" t="str">
        <f>IF(AND('331-CT'!$E$7=TH!H1631,OR(L1631="331",M1631="331")),"331",IF(AND(OR(L1631="131",M1631="131"),H1631='131-CT'!$E$7),"131",""))</f>
        <v>131</v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>x</v>
      </c>
      <c r="Z1631" s="121"/>
    </row>
    <row r="1632" spans="1:26" ht="15.75" customHeight="1">
      <c r="A1632" s="125" t="str">
        <f>IF(B1632&lt;&gt;"",IF(AND(B1632&gt;=_TM1,B1632&lt;=_TM2,OR(TH!L1632="1111",TH!M1632="1111")),TH!D1632,""),"")</f>
        <v/>
      </c>
      <c r="B1632" s="11">
        <f t="shared" si="135"/>
        <v>9</v>
      </c>
      <c r="C1632" s="115">
        <v>40811</v>
      </c>
      <c r="D1632" s="115" t="s">
        <v>930</v>
      </c>
      <c r="E1632" s="115">
        <v>40811</v>
      </c>
      <c r="F1632" s="116" t="s">
        <v>1216</v>
      </c>
      <c r="G1632" s="224" t="s">
        <v>1144</v>
      </c>
      <c r="H1632" s="117" t="s">
        <v>709</v>
      </c>
      <c r="I1632" s="141">
        <v>1</v>
      </c>
      <c r="J1632" s="141">
        <v>10211</v>
      </c>
      <c r="K1632" s="238">
        <v>10211</v>
      </c>
      <c r="L1632" s="118" t="s">
        <v>237</v>
      </c>
      <c r="M1632" s="118" t="s">
        <v>163</v>
      </c>
      <c r="N1632" s="25" t="str">
        <f>IF(AND('331-CT'!$E$7=TH!H1632,OR(L1632="331",M1632="331")),"331",IF(AND(OR(L1632="131",M1632="131"),H1632='131-CT'!$E$7),"131",""))</f>
        <v>131</v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>x</v>
      </c>
      <c r="Z1632" s="121"/>
    </row>
    <row r="1633" spans="1:26" ht="15.75" customHeight="1">
      <c r="A1633" s="125" t="str">
        <f>IF(B1633&lt;&gt;"",IF(AND(B1633&gt;=_TM1,B1633&lt;=_TM2,OR(TH!L1633="1111",TH!M1633="1111")),TH!D1633,""),"")</f>
        <v/>
      </c>
      <c r="B1633" s="11">
        <f t="shared" si="135"/>
        <v>9</v>
      </c>
      <c r="C1633" s="115">
        <v>40811</v>
      </c>
      <c r="D1633" s="115" t="s">
        <v>930</v>
      </c>
      <c r="E1633" s="115">
        <v>40811</v>
      </c>
      <c r="F1633" s="114" t="s">
        <v>872</v>
      </c>
      <c r="G1633" s="224" t="s">
        <v>1144</v>
      </c>
      <c r="H1633" s="117" t="s">
        <v>709</v>
      </c>
      <c r="I1633" s="141">
        <v>6</v>
      </c>
      <c r="J1633" s="141">
        <v>7042</v>
      </c>
      <c r="K1633" s="238">
        <v>42252</v>
      </c>
      <c r="L1633" s="118" t="s">
        <v>237</v>
      </c>
      <c r="M1633" s="118" t="s">
        <v>163</v>
      </c>
      <c r="N1633" s="25" t="str">
        <f>IF(AND('331-CT'!$E$7=TH!H1633,OR(L1633="331",M1633="331")),"331",IF(AND(OR(L1633="131",M1633="131"),H1633='131-CT'!$E$7),"131",""))</f>
        <v>131</v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>x</v>
      </c>
      <c r="Z1633" s="121"/>
    </row>
    <row r="1634" spans="1:26" ht="15.75" customHeight="1">
      <c r="A1634" s="125" t="str">
        <f>IF(B1634&lt;&gt;"",IF(AND(B1634&gt;=_TM1,B1634&lt;=_TM2,OR(TH!L1634="1111",TH!M1634="1111")),TH!D1634,""),"")</f>
        <v/>
      </c>
      <c r="B1634" s="11">
        <f t="shared" si="135"/>
        <v>9</v>
      </c>
      <c r="C1634" s="115">
        <v>40811</v>
      </c>
      <c r="D1634" s="115" t="s">
        <v>930</v>
      </c>
      <c r="E1634" s="115">
        <v>40811</v>
      </c>
      <c r="F1634" s="116" t="s">
        <v>947</v>
      </c>
      <c r="G1634" s="224" t="s">
        <v>1144</v>
      </c>
      <c r="H1634" s="117" t="s">
        <v>709</v>
      </c>
      <c r="I1634" s="141">
        <v>2</v>
      </c>
      <c r="J1634" s="141">
        <v>6510</v>
      </c>
      <c r="K1634" s="238">
        <v>13020</v>
      </c>
      <c r="L1634" s="118" t="s">
        <v>237</v>
      </c>
      <c r="M1634" s="118" t="s">
        <v>163</v>
      </c>
      <c r="N1634" s="25" t="str">
        <f>IF(AND('331-CT'!$E$7=TH!H1634,OR(L1634="331",M1634="331")),"331",IF(AND(OR(L1634="131",M1634="131"),H1634='131-CT'!$E$7),"131",""))</f>
        <v>131</v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>x</v>
      </c>
      <c r="Z1634" s="121"/>
    </row>
    <row r="1635" spans="1:26" ht="15.75" customHeight="1">
      <c r="A1635" s="125" t="str">
        <f>IF(B1635&lt;&gt;"",IF(AND(B1635&gt;=_TM1,B1635&lt;=_TM2,OR(TH!L1635="1111",TH!M1635="1111")),TH!D1635,""),"")</f>
        <v/>
      </c>
      <c r="B1635" s="11">
        <f t="shared" si="135"/>
        <v>9</v>
      </c>
      <c r="C1635" s="115">
        <v>40811</v>
      </c>
      <c r="D1635" s="115" t="s">
        <v>930</v>
      </c>
      <c r="E1635" s="115">
        <v>40811</v>
      </c>
      <c r="F1635" s="116" t="s">
        <v>979</v>
      </c>
      <c r="G1635" s="224" t="s">
        <v>1144</v>
      </c>
      <c r="H1635" s="117" t="s">
        <v>709</v>
      </c>
      <c r="I1635" s="141">
        <v>2</v>
      </c>
      <c r="J1635" s="141">
        <v>7229</v>
      </c>
      <c r="K1635" s="238">
        <v>14458</v>
      </c>
      <c r="L1635" s="118" t="s">
        <v>237</v>
      </c>
      <c r="M1635" s="118" t="s">
        <v>163</v>
      </c>
      <c r="N1635" s="25" t="str">
        <f>IF(AND('331-CT'!$E$7=TH!H1635,OR(L1635="331",M1635="331")),"331",IF(AND(OR(L1635="131",M1635="131"),H1635='131-CT'!$E$7),"131",""))</f>
        <v>131</v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>x</v>
      </c>
      <c r="Z1635" s="121"/>
    </row>
    <row r="1636" spans="1:26" ht="15.75" customHeight="1">
      <c r="A1636" s="125" t="str">
        <f>IF(B1636&lt;&gt;"",IF(AND(B1636&gt;=_TM1,B1636&lt;=_TM2,OR(TH!L1636="1111",TH!M1636="1111")),TH!D1636,""),"")</f>
        <v/>
      </c>
      <c r="B1636" s="11">
        <f t="shared" si="135"/>
        <v>9</v>
      </c>
      <c r="C1636" s="115">
        <v>40811</v>
      </c>
      <c r="D1636" s="115" t="s">
        <v>930</v>
      </c>
      <c r="E1636" s="115">
        <v>40811</v>
      </c>
      <c r="F1636" s="116" t="s">
        <v>1121</v>
      </c>
      <c r="G1636" s="224" t="s">
        <v>1144</v>
      </c>
      <c r="H1636" s="117" t="s">
        <v>709</v>
      </c>
      <c r="I1636" s="141"/>
      <c r="J1636" s="141"/>
      <c r="K1636" s="238">
        <v>587755</v>
      </c>
      <c r="L1636" s="118" t="s">
        <v>237</v>
      </c>
      <c r="M1636" s="118" t="s">
        <v>707</v>
      </c>
      <c r="N1636" s="25" t="str">
        <f>IF(AND('331-CT'!$E$7=TH!H1636,OR(L1636="331",M1636="331")),"331",IF(AND(OR(L1636="131",M1636="131"),H1636='131-CT'!$E$7),"131",""))</f>
        <v>131</v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>x</v>
      </c>
      <c r="Z1636" s="121"/>
    </row>
    <row r="1637" spans="1:26" ht="15.75" customHeight="1">
      <c r="A1637" s="125" t="str">
        <f>IF(B1637&lt;&gt;"",IF(AND(B1637&gt;=_TM1,B1637&lt;=_TM2,OR(TH!L1637="1111",TH!M1637="1111")),TH!D1637,""),"")</f>
        <v/>
      </c>
      <c r="B1637" s="11">
        <f t="shared" si="135"/>
        <v>9</v>
      </c>
      <c r="C1637" s="12">
        <f t="shared" ref="C1637:C1656" si="136">E1637</f>
        <v>40811</v>
      </c>
      <c r="D1637" s="12" t="s">
        <v>1162</v>
      </c>
      <c r="E1637" s="304">
        <v>40811</v>
      </c>
      <c r="F1637" s="114" t="s">
        <v>558</v>
      </c>
      <c r="G1637" s="15"/>
      <c r="H1637" s="242" t="s">
        <v>1037</v>
      </c>
      <c r="I1637" s="141">
        <v>100</v>
      </c>
      <c r="J1637" s="141">
        <v>16787</v>
      </c>
      <c r="K1637" s="238">
        <f t="shared" ref="K1637:K1656" si="137">ROUND(I1637*J1637,0)</f>
        <v>1678700</v>
      </c>
      <c r="L1637" s="14" t="s">
        <v>153</v>
      </c>
      <c r="M1637" s="14" t="s">
        <v>147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>x</v>
      </c>
      <c r="Z1637" s="121"/>
    </row>
    <row r="1638" spans="1:26" ht="15.75" customHeight="1">
      <c r="A1638" s="125" t="str">
        <f>IF(B1638&lt;&gt;"",IF(AND(B1638&gt;=_TM1,B1638&lt;=_TM2,OR(TH!L1638="1111",TH!M1638="1111")),TH!D1638,""),"")</f>
        <v/>
      </c>
      <c r="B1638" s="11">
        <f t="shared" si="135"/>
        <v>9</v>
      </c>
      <c r="C1638" s="12">
        <f t="shared" si="136"/>
        <v>40811</v>
      </c>
      <c r="D1638" s="12" t="s">
        <v>1162</v>
      </c>
      <c r="E1638" s="304">
        <v>40811</v>
      </c>
      <c r="F1638" s="154" t="s">
        <v>456</v>
      </c>
      <c r="G1638" s="15"/>
      <c r="H1638" s="242" t="s">
        <v>1037</v>
      </c>
      <c r="I1638" s="141">
        <v>110</v>
      </c>
      <c r="J1638" s="141">
        <v>6026</v>
      </c>
      <c r="K1638" s="238">
        <f t="shared" si="137"/>
        <v>662860</v>
      </c>
      <c r="L1638" s="14" t="s">
        <v>153</v>
      </c>
      <c r="M1638" s="14" t="s">
        <v>147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>x</v>
      </c>
      <c r="Z1638" s="121"/>
    </row>
    <row r="1639" spans="1:26" ht="15.75" customHeight="1">
      <c r="A1639" s="125" t="str">
        <f>IF(B1639&lt;&gt;"",IF(AND(B1639&gt;=_TM1,B1639&lt;=_TM2,OR(TH!L1639="1111",TH!M1639="1111")),TH!D1639,""),"")</f>
        <v/>
      </c>
      <c r="B1639" s="11">
        <f t="shared" si="135"/>
        <v>9</v>
      </c>
      <c r="C1639" s="12">
        <f t="shared" si="136"/>
        <v>40811</v>
      </c>
      <c r="D1639" s="12" t="s">
        <v>1162</v>
      </c>
      <c r="E1639" s="304">
        <v>40811</v>
      </c>
      <c r="F1639" s="15" t="s">
        <v>574</v>
      </c>
      <c r="G1639" s="15"/>
      <c r="H1639" s="242" t="s">
        <v>1037</v>
      </c>
      <c r="I1639" s="141">
        <v>138</v>
      </c>
      <c r="J1639" s="141">
        <v>25942</v>
      </c>
      <c r="K1639" s="238">
        <f t="shared" si="137"/>
        <v>3579996</v>
      </c>
      <c r="L1639" s="14" t="s">
        <v>153</v>
      </c>
      <c r="M1639" s="14" t="s">
        <v>147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>x</v>
      </c>
      <c r="Z1639" s="121"/>
    </row>
    <row r="1640" spans="1:26" ht="15.75" customHeight="1">
      <c r="A1640" s="125" t="str">
        <f>IF(B1640&lt;&gt;"",IF(AND(B1640&gt;=_TM1,B1640&lt;=_TM2,OR(TH!L1640="1111",TH!M1640="1111")),TH!D1640,""),"")</f>
        <v/>
      </c>
      <c r="B1640" s="11">
        <f t="shared" si="135"/>
        <v>9</v>
      </c>
      <c r="C1640" s="12">
        <f t="shared" si="136"/>
        <v>40811</v>
      </c>
      <c r="D1640" s="12" t="s">
        <v>1162</v>
      </c>
      <c r="E1640" s="304">
        <v>40811</v>
      </c>
      <c r="F1640" s="114" t="s">
        <v>519</v>
      </c>
      <c r="G1640" s="15"/>
      <c r="H1640" s="242" t="s">
        <v>1037</v>
      </c>
      <c r="I1640" s="141">
        <v>115</v>
      </c>
      <c r="J1640" s="141">
        <v>19638</v>
      </c>
      <c r="K1640" s="238">
        <f t="shared" si="137"/>
        <v>2258370</v>
      </c>
      <c r="L1640" s="14" t="s">
        <v>153</v>
      </c>
      <c r="M1640" s="14" t="s">
        <v>147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>x</v>
      </c>
      <c r="Z1640" s="121"/>
    </row>
    <row r="1641" spans="1:26" ht="15.75" customHeight="1">
      <c r="A1641" s="125" t="str">
        <f>IF(B1641&lt;&gt;"",IF(AND(B1641&gt;=_TM1,B1641&lt;=_TM2,OR(TH!L1641="1111",TH!M1641="1111")),TH!D1641,""),"")</f>
        <v/>
      </c>
      <c r="B1641" s="11">
        <f t="shared" si="135"/>
        <v>9</v>
      </c>
      <c r="C1641" s="12">
        <f t="shared" si="136"/>
        <v>40811</v>
      </c>
      <c r="D1641" s="12" t="s">
        <v>1155</v>
      </c>
      <c r="E1641" s="12">
        <v>40811</v>
      </c>
      <c r="F1641" s="116" t="s">
        <v>870</v>
      </c>
      <c r="G1641" s="15"/>
      <c r="H1641" s="242" t="s">
        <v>1037</v>
      </c>
      <c r="I1641" s="141">
        <v>106</v>
      </c>
      <c r="J1641" s="141">
        <v>7394.3987351534788</v>
      </c>
      <c r="K1641" s="238">
        <f t="shared" si="137"/>
        <v>783806</v>
      </c>
      <c r="L1641" s="14" t="s">
        <v>155</v>
      </c>
      <c r="M1641" s="14" t="s">
        <v>153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>x</v>
      </c>
      <c r="Z1641" s="121"/>
    </row>
    <row r="1642" spans="1:26" ht="15.75" customHeight="1">
      <c r="A1642" s="125" t="str">
        <f>IF(B1642&lt;&gt;"",IF(AND(B1642&gt;=_TM1,B1642&lt;=_TM2,OR(TH!L1642="1111",TH!M1642="1111")),TH!D1642,""),"")</f>
        <v/>
      </c>
      <c r="B1642" s="11">
        <f t="shared" si="135"/>
        <v>9</v>
      </c>
      <c r="C1642" s="12">
        <f t="shared" si="136"/>
        <v>40811</v>
      </c>
      <c r="D1642" s="12" t="s">
        <v>1155</v>
      </c>
      <c r="E1642" s="12">
        <v>40811</v>
      </c>
      <c r="F1642" s="116" t="s">
        <v>874</v>
      </c>
      <c r="G1642" s="15"/>
      <c r="H1642" s="242" t="s">
        <v>1037</v>
      </c>
      <c r="I1642" s="141">
        <v>499</v>
      </c>
      <c r="J1642" s="141">
        <v>8248.3987351534797</v>
      </c>
      <c r="K1642" s="238">
        <f t="shared" si="137"/>
        <v>4115951</v>
      </c>
      <c r="L1642" s="14" t="s">
        <v>155</v>
      </c>
      <c r="M1642" s="14" t="s">
        <v>153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>x</v>
      </c>
      <c r="Z1642" s="121"/>
    </row>
    <row r="1643" spans="1:26" ht="15.75" customHeight="1">
      <c r="A1643" s="125" t="str">
        <f>IF(B1643&lt;&gt;"",IF(AND(B1643&gt;=_TM1,B1643&lt;=_TM2,OR(TH!L1643="1111",TH!M1643="1111")),TH!D1643,""),"")</f>
        <v/>
      </c>
      <c r="B1643" s="11">
        <f t="shared" si="135"/>
        <v>9</v>
      </c>
      <c r="C1643" s="12">
        <f t="shared" si="136"/>
        <v>40811</v>
      </c>
      <c r="D1643" s="12" t="s">
        <v>1155</v>
      </c>
      <c r="E1643" s="12">
        <v>40811</v>
      </c>
      <c r="F1643" s="15" t="s">
        <v>733</v>
      </c>
      <c r="G1643" s="15"/>
      <c r="H1643" s="242" t="s">
        <v>1037</v>
      </c>
      <c r="I1643" s="141">
        <v>3</v>
      </c>
      <c r="J1643" s="141">
        <v>5188.3987351534788</v>
      </c>
      <c r="K1643" s="238">
        <f t="shared" si="137"/>
        <v>15565</v>
      </c>
      <c r="L1643" s="14" t="s">
        <v>155</v>
      </c>
      <c r="M1643" s="14" t="s">
        <v>153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>x</v>
      </c>
      <c r="Z1643" s="121"/>
    </row>
    <row r="1644" spans="1:26" ht="15.75" customHeight="1">
      <c r="A1644" s="125" t="str">
        <f>IF(B1644&lt;&gt;"",IF(AND(B1644&gt;=_TM1,B1644&lt;=_TM2,OR(TH!L1644="1111",TH!M1644="1111")),TH!D1644,""),"")</f>
        <v/>
      </c>
      <c r="B1644" s="11">
        <f t="shared" si="135"/>
        <v>9</v>
      </c>
      <c r="C1644" s="12">
        <f t="shared" si="136"/>
        <v>40811</v>
      </c>
      <c r="D1644" s="12" t="s">
        <v>1155</v>
      </c>
      <c r="E1644" s="12">
        <v>40811</v>
      </c>
      <c r="F1644" s="15" t="s">
        <v>724</v>
      </c>
      <c r="G1644" s="15"/>
      <c r="H1644" s="242" t="s">
        <v>1037</v>
      </c>
      <c r="I1644" s="141">
        <v>13</v>
      </c>
      <c r="J1644" s="141">
        <v>8263.9371966919389</v>
      </c>
      <c r="K1644" s="238">
        <f t="shared" si="137"/>
        <v>107431</v>
      </c>
      <c r="L1644" s="14" t="s">
        <v>155</v>
      </c>
      <c r="M1644" s="14" t="s">
        <v>153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>x</v>
      </c>
      <c r="Z1644" s="121"/>
    </row>
    <row r="1645" spans="1:26" ht="15.75" customHeight="1">
      <c r="A1645" s="125" t="str">
        <f>IF(B1645&lt;&gt;"",IF(AND(B1645&gt;=_TM1,B1645&lt;=_TM2,OR(TH!L1645="1111",TH!M1645="1111")),TH!D1645,""),"")</f>
        <v/>
      </c>
      <c r="B1645" s="11">
        <f t="shared" si="135"/>
        <v>9</v>
      </c>
      <c r="C1645" s="12">
        <f t="shared" si="136"/>
        <v>40811</v>
      </c>
      <c r="D1645" s="12" t="s">
        <v>1155</v>
      </c>
      <c r="E1645" s="12">
        <v>40811</v>
      </c>
      <c r="F1645" s="116" t="s">
        <v>1216</v>
      </c>
      <c r="G1645" s="15"/>
      <c r="H1645" s="242" t="s">
        <v>1037</v>
      </c>
      <c r="I1645" s="141">
        <v>1</v>
      </c>
      <c r="J1645" s="141">
        <v>9490.3987351534779</v>
      </c>
      <c r="K1645" s="238">
        <f t="shared" si="137"/>
        <v>9490</v>
      </c>
      <c r="L1645" s="14" t="s">
        <v>155</v>
      </c>
      <c r="M1645" s="14" t="s">
        <v>153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>x</v>
      </c>
      <c r="Z1645" s="121"/>
    </row>
    <row r="1646" spans="1:26" ht="15.75" customHeight="1">
      <c r="A1646" s="125" t="str">
        <f>IF(B1646&lt;&gt;"",IF(AND(B1646&gt;=_TM1,B1646&lt;=_TM2,OR(TH!L1646="1111",TH!M1646="1111")),TH!D1646,""),"")</f>
        <v/>
      </c>
      <c r="B1646" s="11">
        <f t="shared" si="135"/>
        <v>9</v>
      </c>
      <c r="C1646" s="12">
        <f t="shared" si="136"/>
        <v>40811</v>
      </c>
      <c r="D1646" s="12" t="s">
        <v>1155</v>
      </c>
      <c r="E1646" s="12">
        <v>40811</v>
      </c>
      <c r="F1646" s="114" t="s">
        <v>872</v>
      </c>
      <c r="G1646" s="15"/>
      <c r="H1646" s="242" t="s">
        <v>1037</v>
      </c>
      <c r="I1646" s="141">
        <v>6</v>
      </c>
      <c r="J1646" s="141">
        <v>6671.3987351534788</v>
      </c>
      <c r="K1646" s="238">
        <f t="shared" si="137"/>
        <v>40028</v>
      </c>
      <c r="L1646" s="14" t="s">
        <v>155</v>
      </c>
      <c r="M1646" s="14" t="s">
        <v>153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>x</v>
      </c>
      <c r="Z1646" s="121"/>
    </row>
    <row r="1647" spans="1:26" ht="15.75" customHeight="1">
      <c r="A1647" s="125" t="str">
        <f>IF(B1647&lt;&gt;"",IF(AND(B1647&gt;=_TM1,B1647&lt;=_TM2,OR(TH!L1647="1111",TH!M1647="1111")),TH!D1647,""),"")</f>
        <v/>
      </c>
      <c r="B1647" s="11">
        <f t="shared" si="135"/>
        <v>9</v>
      </c>
      <c r="C1647" s="12">
        <f t="shared" si="136"/>
        <v>40811</v>
      </c>
      <c r="D1647" s="12" t="s">
        <v>1155</v>
      </c>
      <c r="E1647" s="12">
        <v>40811</v>
      </c>
      <c r="F1647" s="15" t="s">
        <v>947</v>
      </c>
      <c r="G1647" s="15"/>
      <c r="H1647" s="242" t="s">
        <v>1037</v>
      </c>
      <c r="I1647" s="141">
        <v>2</v>
      </c>
      <c r="J1647" s="141">
        <v>6671.3987351534788</v>
      </c>
      <c r="K1647" s="238">
        <f t="shared" si="137"/>
        <v>13343</v>
      </c>
      <c r="L1647" s="14" t="s">
        <v>155</v>
      </c>
      <c r="M1647" s="14" t="s">
        <v>153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>x</v>
      </c>
      <c r="Z1647" s="121"/>
    </row>
    <row r="1648" spans="1:26" ht="15.75" customHeight="1">
      <c r="A1648" s="125" t="str">
        <f>IF(B1648&lt;&gt;"",IF(AND(B1648&gt;=_TM1,B1648&lt;=_TM2,OR(TH!L1648="1111",TH!M1648="1111")),TH!D1648,""),"")</f>
        <v/>
      </c>
      <c r="B1648" s="11">
        <f t="shared" si="135"/>
        <v>9</v>
      </c>
      <c r="C1648" s="12">
        <f t="shared" si="136"/>
        <v>40811</v>
      </c>
      <c r="D1648" s="12" t="s">
        <v>1155</v>
      </c>
      <c r="E1648" s="12">
        <v>40811</v>
      </c>
      <c r="F1648" s="15" t="s">
        <v>979</v>
      </c>
      <c r="G1648" s="15"/>
      <c r="H1648" s="242" t="s">
        <v>1037</v>
      </c>
      <c r="I1648" s="141">
        <v>2</v>
      </c>
      <c r="J1648" s="141">
        <v>6671.3987351534788</v>
      </c>
      <c r="K1648" s="238">
        <f t="shared" si="137"/>
        <v>13343</v>
      </c>
      <c r="L1648" s="14" t="s">
        <v>155</v>
      </c>
      <c r="M1648" s="14" t="s">
        <v>153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>x</v>
      </c>
      <c r="Z1648" s="121"/>
    </row>
    <row r="1649" spans="1:26" ht="15.75" customHeight="1">
      <c r="A1649" s="125" t="str">
        <f>IF(B1649&lt;&gt;"",IF(AND(B1649&gt;=_TM1,B1649&lt;=_TM2,OR(TH!L1649="1111",TH!M1649="1111")),TH!D1649,""),"")</f>
        <v/>
      </c>
      <c r="B1649" s="11">
        <f t="shared" si="135"/>
        <v>9</v>
      </c>
      <c r="C1649" s="12">
        <f t="shared" si="136"/>
        <v>40811</v>
      </c>
      <c r="D1649" s="12" t="s">
        <v>930</v>
      </c>
      <c r="E1649" s="12">
        <v>40811</v>
      </c>
      <c r="F1649" s="116" t="s">
        <v>870</v>
      </c>
      <c r="G1649" s="15" t="s">
        <v>1144</v>
      </c>
      <c r="H1649" s="242" t="s">
        <v>709</v>
      </c>
      <c r="I1649" s="141">
        <v>106</v>
      </c>
      <c r="J1649" s="141">
        <v>7394.3987351534788</v>
      </c>
      <c r="K1649" s="238">
        <f t="shared" si="137"/>
        <v>783806</v>
      </c>
      <c r="L1649" s="14" t="s">
        <v>161</v>
      </c>
      <c r="M1649" s="14" t="s">
        <v>155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>x</v>
      </c>
      <c r="Z1649" s="121"/>
    </row>
    <row r="1650" spans="1:26" ht="15.75" customHeight="1">
      <c r="A1650" s="125" t="str">
        <f>IF(B1650&lt;&gt;"",IF(AND(B1650&gt;=_TM1,B1650&lt;=_TM2,OR(TH!L1650="1111",TH!M1650="1111")),TH!D1650,""),"")</f>
        <v/>
      </c>
      <c r="B1650" s="11">
        <f t="shared" si="135"/>
        <v>9</v>
      </c>
      <c r="C1650" s="12">
        <f t="shared" si="136"/>
        <v>40811</v>
      </c>
      <c r="D1650" s="12" t="s">
        <v>930</v>
      </c>
      <c r="E1650" s="12">
        <v>40811</v>
      </c>
      <c r="F1650" s="116" t="s">
        <v>874</v>
      </c>
      <c r="G1650" s="15" t="s">
        <v>1144</v>
      </c>
      <c r="H1650" s="242" t="s">
        <v>709</v>
      </c>
      <c r="I1650" s="141">
        <v>499</v>
      </c>
      <c r="J1650" s="141">
        <v>8248.3987351534797</v>
      </c>
      <c r="K1650" s="238">
        <f t="shared" si="137"/>
        <v>4115951</v>
      </c>
      <c r="L1650" s="14" t="s">
        <v>161</v>
      </c>
      <c r="M1650" s="14" t="s">
        <v>155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>x</v>
      </c>
      <c r="Z1650" s="121"/>
    </row>
    <row r="1651" spans="1:26" ht="15.75" customHeight="1">
      <c r="A1651" s="125" t="str">
        <f>IF(B1651&lt;&gt;"",IF(AND(B1651&gt;=_TM1,B1651&lt;=_TM2,OR(TH!L1651="1111",TH!M1651="1111")),TH!D1651,""),"")</f>
        <v/>
      </c>
      <c r="B1651" s="11">
        <f t="shared" si="135"/>
        <v>9</v>
      </c>
      <c r="C1651" s="12">
        <f t="shared" si="136"/>
        <v>40811</v>
      </c>
      <c r="D1651" s="12" t="s">
        <v>930</v>
      </c>
      <c r="E1651" s="12">
        <v>40811</v>
      </c>
      <c r="F1651" s="15" t="s">
        <v>733</v>
      </c>
      <c r="G1651" s="15" t="s">
        <v>1144</v>
      </c>
      <c r="H1651" s="242" t="s">
        <v>709</v>
      </c>
      <c r="I1651" s="141">
        <v>3</v>
      </c>
      <c r="J1651" s="141">
        <v>5188.3987351534788</v>
      </c>
      <c r="K1651" s="238">
        <f t="shared" si="137"/>
        <v>15565</v>
      </c>
      <c r="L1651" s="14" t="s">
        <v>161</v>
      </c>
      <c r="M1651" s="14" t="s">
        <v>155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>x</v>
      </c>
      <c r="Z1651" s="121"/>
    </row>
    <row r="1652" spans="1:26" ht="15.75" customHeight="1">
      <c r="A1652" s="125" t="str">
        <f>IF(B1652&lt;&gt;"",IF(AND(B1652&gt;=_TM1,B1652&lt;=_TM2,OR(TH!L1652="1111",TH!M1652="1111")),TH!D1652,""),"")</f>
        <v/>
      </c>
      <c r="B1652" s="11">
        <f t="shared" si="135"/>
        <v>9</v>
      </c>
      <c r="C1652" s="12">
        <f t="shared" si="136"/>
        <v>40811</v>
      </c>
      <c r="D1652" s="12" t="s">
        <v>930</v>
      </c>
      <c r="E1652" s="12">
        <v>40811</v>
      </c>
      <c r="F1652" s="15" t="s">
        <v>724</v>
      </c>
      <c r="G1652" s="15" t="s">
        <v>1144</v>
      </c>
      <c r="H1652" s="242" t="s">
        <v>709</v>
      </c>
      <c r="I1652" s="141">
        <v>13</v>
      </c>
      <c r="J1652" s="141">
        <v>8263.9371966919389</v>
      </c>
      <c r="K1652" s="238">
        <f t="shared" si="137"/>
        <v>107431</v>
      </c>
      <c r="L1652" s="14" t="s">
        <v>161</v>
      </c>
      <c r="M1652" s="14" t="s">
        <v>155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>x</v>
      </c>
      <c r="Z1652" s="121"/>
    </row>
    <row r="1653" spans="1:26" ht="15.75" customHeight="1">
      <c r="A1653" s="125" t="str">
        <f>IF(B1653&lt;&gt;"",IF(AND(B1653&gt;=_TM1,B1653&lt;=_TM2,OR(TH!L1653="1111",TH!M1653="1111")),TH!D1653,""),"")</f>
        <v/>
      </c>
      <c r="B1653" s="11">
        <f t="shared" si="135"/>
        <v>9</v>
      </c>
      <c r="C1653" s="12">
        <f t="shared" si="136"/>
        <v>40811</v>
      </c>
      <c r="D1653" s="12" t="s">
        <v>930</v>
      </c>
      <c r="E1653" s="12">
        <v>40811</v>
      </c>
      <c r="F1653" s="116" t="s">
        <v>1216</v>
      </c>
      <c r="G1653" s="15" t="s">
        <v>1144</v>
      </c>
      <c r="H1653" s="242" t="s">
        <v>709</v>
      </c>
      <c r="I1653" s="141">
        <v>1</v>
      </c>
      <c r="J1653" s="141">
        <v>9490.3987351534779</v>
      </c>
      <c r="K1653" s="238">
        <f t="shared" si="137"/>
        <v>9490</v>
      </c>
      <c r="L1653" s="14" t="s">
        <v>161</v>
      </c>
      <c r="M1653" s="14" t="s">
        <v>155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>x</v>
      </c>
      <c r="Z1653" s="121"/>
    </row>
    <row r="1654" spans="1:26" ht="15.75" customHeight="1">
      <c r="A1654" s="125" t="str">
        <f>IF(B1654&lt;&gt;"",IF(AND(B1654&gt;=_TM1,B1654&lt;=_TM2,OR(TH!L1654="1111",TH!M1654="1111")),TH!D1654,""),"")</f>
        <v/>
      </c>
      <c r="B1654" s="11">
        <f t="shared" si="135"/>
        <v>9</v>
      </c>
      <c r="C1654" s="12">
        <f t="shared" si="136"/>
        <v>40811</v>
      </c>
      <c r="D1654" s="12" t="s">
        <v>930</v>
      </c>
      <c r="E1654" s="12">
        <v>40811</v>
      </c>
      <c r="F1654" s="114" t="s">
        <v>872</v>
      </c>
      <c r="G1654" s="15" t="s">
        <v>1144</v>
      </c>
      <c r="H1654" s="242" t="s">
        <v>709</v>
      </c>
      <c r="I1654" s="141">
        <v>6</v>
      </c>
      <c r="J1654" s="141">
        <v>6671.3987351534788</v>
      </c>
      <c r="K1654" s="238">
        <f t="shared" si="137"/>
        <v>40028</v>
      </c>
      <c r="L1654" s="14" t="s">
        <v>161</v>
      </c>
      <c r="M1654" s="14" t="s">
        <v>155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>x</v>
      </c>
      <c r="Z1654" s="121"/>
    </row>
    <row r="1655" spans="1:26" ht="15.75" customHeight="1">
      <c r="A1655" s="125" t="str">
        <f>IF(B1655&lt;&gt;"",IF(AND(B1655&gt;=_TM1,B1655&lt;=_TM2,OR(TH!L1655="1111",TH!M1655="1111")),TH!D1655,""),"")</f>
        <v/>
      </c>
      <c r="B1655" s="11">
        <f t="shared" si="135"/>
        <v>9</v>
      </c>
      <c r="C1655" s="12">
        <f t="shared" si="136"/>
        <v>40811</v>
      </c>
      <c r="D1655" s="12" t="s">
        <v>930</v>
      </c>
      <c r="E1655" s="12">
        <v>40811</v>
      </c>
      <c r="F1655" s="15" t="s">
        <v>947</v>
      </c>
      <c r="G1655" s="15" t="s">
        <v>1144</v>
      </c>
      <c r="H1655" s="242" t="s">
        <v>709</v>
      </c>
      <c r="I1655" s="141">
        <v>2</v>
      </c>
      <c r="J1655" s="141">
        <v>6671.3987351534788</v>
      </c>
      <c r="K1655" s="238">
        <f t="shared" si="137"/>
        <v>13343</v>
      </c>
      <c r="L1655" s="14" t="s">
        <v>161</v>
      </c>
      <c r="M1655" s="14" t="s">
        <v>155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>x</v>
      </c>
      <c r="Z1655" s="121"/>
    </row>
    <row r="1656" spans="1:26" ht="15.75" customHeight="1">
      <c r="A1656" s="125" t="str">
        <f>IF(B1656&lt;&gt;"",IF(AND(B1656&gt;=_TM1,B1656&lt;=_TM2,OR(TH!L1656="1111",TH!M1656="1111")),TH!D1656,""),"")</f>
        <v/>
      </c>
      <c r="B1656" s="11">
        <f t="shared" si="135"/>
        <v>9</v>
      </c>
      <c r="C1656" s="12">
        <f t="shared" si="136"/>
        <v>40811</v>
      </c>
      <c r="D1656" s="12" t="s">
        <v>930</v>
      </c>
      <c r="E1656" s="12">
        <v>40811</v>
      </c>
      <c r="F1656" s="15" t="s">
        <v>979</v>
      </c>
      <c r="G1656" s="15" t="s">
        <v>1144</v>
      </c>
      <c r="H1656" s="242" t="s">
        <v>709</v>
      </c>
      <c r="I1656" s="141">
        <v>2</v>
      </c>
      <c r="J1656" s="141">
        <v>6671.3987351534788</v>
      </c>
      <c r="K1656" s="238">
        <f t="shared" si="137"/>
        <v>13343</v>
      </c>
      <c r="L1656" s="14" t="s">
        <v>161</v>
      </c>
      <c r="M1656" s="14" t="s">
        <v>155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>x</v>
      </c>
      <c r="Z1656" s="121"/>
    </row>
    <row r="1657" spans="1:26" ht="15.75" customHeight="1">
      <c r="A1657" s="125" t="str">
        <f>IF(B1657&lt;&gt;"",IF(AND(B1657&gt;=_TM1,B1657&lt;=_TM2,OR(TH!L1657="1111",TH!M1657="1111")),TH!D1657,""),"")</f>
        <v/>
      </c>
      <c r="B1657" s="11">
        <f t="shared" si="135"/>
        <v>9</v>
      </c>
      <c r="C1657" s="115">
        <v>40812</v>
      </c>
      <c r="D1657" s="115" t="s">
        <v>931</v>
      </c>
      <c r="E1657" s="115">
        <v>40812</v>
      </c>
      <c r="F1657" s="116" t="s">
        <v>731</v>
      </c>
      <c r="G1657" s="224" t="s">
        <v>1145</v>
      </c>
      <c r="H1657" s="117" t="s">
        <v>709</v>
      </c>
      <c r="I1657" s="141">
        <v>5</v>
      </c>
      <c r="J1657" s="141">
        <v>12109</v>
      </c>
      <c r="K1657" s="238">
        <v>60545</v>
      </c>
      <c r="L1657" s="118" t="s">
        <v>237</v>
      </c>
      <c r="M1657" s="118" t="s">
        <v>163</v>
      </c>
      <c r="N1657" s="25" t="str">
        <f>IF(AND('331-CT'!$E$7=TH!H1657,OR(L1657="331",M1657="331")),"331",IF(AND(OR(L1657="131",M1657="131"),H1657='131-CT'!$E$7),"131",""))</f>
        <v>131</v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>x</v>
      </c>
      <c r="Z1657" s="121"/>
    </row>
    <row r="1658" spans="1:26" ht="15.75" customHeight="1">
      <c r="A1658" s="125" t="str">
        <f>IF(B1658&lt;&gt;"",IF(AND(B1658&gt;=_TM1,B1658&lt;=_TM2,OR(TH!L1658="1111",TH!M1658="1111")),TH!D1658,""),"")</f>
        <v/>
      </c>
      <c r="B1658" s="11">
        <f t="shared" si="135"/>
        <v>9</v>
      </c>
      <c r="C1658" s="115">
        <v>40812</v>
      </c>
      <c r="D1658" s="115" t="s">
        <v>931</v>
      </c>
      <c r="E1658" s="115">
        <v>40812</v>
      </c>
      <c r="F1658" s="116" t="s">
        <v>980</v>
      </c>
      <c r="G1658" s="224" t="s">
        <v>1145</v>
      </c>
      <c r="H1658" s="117" t="s">
        <v>709</v>
      </c>
      <c r="I1658" s="141">
        <v>1</v>
      </c>
      <c r="J1658" s="141">
        <v>11245</v>
      </c>
      <c r="K1658" s="238">
        <v>11245</v>
      </c>
      <c r="L1658" s="118" t="s">
        <v>237</v>
      </c>
      <c r="M1658" s="118" t="s">
        <v>163</v>
      </c>
      <c r="N1658" s="25" t="str">
        <f>IF(AND('331-CT'!$E$7=TH!H1658,OR(L1658="331",M1658="331")),"331",IF(AND(OR(L1658="131",M1658="131"),H1658='131-CT'!$E$7),"131",""))</f>
        <v>131</v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>x</v>
      </c>
      <c r="Z1658" s="121"/>
    </row>
    <row r="1659" spans="1:26" ht="15.75" customHeight="1">
      <c r="A1659" s="125" t="str">
        <f>IF(B1659&lt;&gt;"",IF(AND(B1659&gt;=_TM1,B1659&lt;=_TM2,OR(TH!L1659="1111",TH!M1659="1111")),TH!D1659,""),"")</f>
        <v/>
      </c>
      <c r="B1659" s="11">
        <f t="shared" si="135"/>
        <v>9</v>
      </c>
      <c r="C1659" s="115">
        <v>40812</v>
      </c>
      <c r="D1659" s="115" t="s">
        <v>931</v>
      </c>
      <c r="E1659" s="115">
        <v>40812</v>
      </c>
      <c r="F1659" s="116" t="s">
        <v>958</v>
      </c>
      <c r="G1659" s="224" t="s">
        <v>1145</v>
      </c>
      <c r="H1659" s="117" t="s">
        <v>709</v>
      </c>
      <c r="I1659" s="141">
        <v>1</v>
      </c>
      <c r="J1659" s="141">
        <v>13027</v>
      </c>
      <c r="K1659" s="238">
        <v>13027</v>
      </c>
      <c r="L1659" s="118" t="s">
        <v>237</v>
      </c>
      <c r="M1659" s="118" t="s">
        <v>163</v>
      </c>
      <c r="N1659" s="25" t="str">
        <f>IF(AND('331-CT'!$E$7=TH!H1659,OR(L1659="331",M1659="331")),"331",IF(AND(OR(L1659="131",M1659="131"),H1659='131-CT'!$E$7),"131",""))</f>
        <v>131</v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>x</v>
      </c>
      <c r="Z1659" s="121"/>
    </row>
    <row r="1660" spans="1:26" ht="15.75" customHeight="1">
      <c r="A1660" s="125" t="str">
        <f>IF(B1660&lt;&gt;"",IF(AND(B1660&gt;=_TM1,B1660&lt;=_TM2,OR(TH!L1660="1111",TH!M1660="1111")),TH!D1660,""),"")</f>
        <v/>
      </c>
      <c r="B1660" s="11">
        <f t="shared" si="135"/>
        <v>9</v>
      </c>
      <c r="C1660" s="115">
        <v>40812</v>
      </c>
      <c r="D1660" s="115" t="s">
        <v>931</v>
      </c>
      <c r="E1660" s="115">
        <v>40812</v>
      </c>
      <c r="F1660" s="116" t="s">
        <v>1242</v>
      </c>
      <c r="G1660" s="224" t="s">
        <v>1145</v>
      </c>
      <c r="H1660" s="117" t="s">
        <v>709</v>
      </c>
      <c r="I1660" s="141">
        <v>3</v>
      </c>
      <c r="J1660" s="141">
        <v>9960</v>
      </c>
      <c r="K1660" s="238">
        <v>29880</v>
      </c>
      <c r="L1660" s="118" t="s">
        <v>237</v>
      </c>
      <c r="M1660" s="118" t="s">
        <v>163</v>
      </c>
      <c r="N1660" s="25" t="str">
        <f>IF(AND('331-CT'!$E$7=TH!H1660,OR(L1660="331",M1660="331")),"331",IF(AND(OR(L1660="131",M1660="131"),H1660='131-CT'!$E$7),"131",""))</f>
        <v>131</v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>x</v>
      </c>
      <c r="Z1660" s="121"/>
    </row>
    <row r="1661" spans="1:26" ht="15.75" customHeight="1">
      <c r="A1661" s="125" t="str">
        <f>IF(B1661&lt;&gt;"",IF(AND(B1661&gt;=_TM1,B1661&lt;=_TM2,OR(TH!L1661="1111",TH!M1661="1111")),TH!D1661,""),"")</f>
        <v/>
      </c>
      <c r="B1661" s="11">
        <f t="shared" si="135"/>
        <v>9</v>
      </c>
      <c r="C1661" s="115">
        <v>40812</v>
      </c>
      <c r="D1661" s="115" t="s">
        <v>931</v>
      </c>
      <c r="E1661" s="115">
        <v>40812</v>
      </c>
      <c r="F1661" s="116" t="s">
        <v>721</v>
      </c>
      <c r="G1661" s="224" t="s">
        <v>1145</v>
      </c>
      <c r="H1661" s="117" t="s">
        <v>709</v>
      </c>
      <c r="I1661" s="141">
        <v>3</v>
      </c>
      <c r="J1661" s="141">
        <v>9202</v>
      </c>
      <c r="K1661" s="238">
        <v>27606</v>
      </c>
      <c r="L1661" s="118" t="s">
        <v>237</v>
      </c>
      <c r="M1661" s="118" t="s">
        <v>163</v>
      </c>
      <c r="N1661" s="25" t="str">
        <f>IF(AND('331-CT'!$E$7=TH!H1661,OR(L1661="331",M1661="331")),"331",IF(AND(OR(L1661="131",M1661="131"),H1661='131-CT'!$E$7),"131",""))</f>
        <v>131</v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>x</v>
      </c>
      <c r="Z1661" s="121"/>
    </row>
    <row r="1662" spans="1:26" ht="15.75" customHeight="1">
      <c r="A1662" s="125" t="str">
        <f>IF(B1662&lt;&gt;"",IF(AND(B1662&gt;=_TM1,B1662&lt;=_TM2,OR(TH!L1662="1111",TH!M1662="1111")),TH!D1662,""),"")</f>
        <v/>
      </c>
      <c r="B1662" s="11">
        <f t="shared" si="135"/>
        <v>9</v>
      </c>
      <c r="C1662" s="115">
        <v>40812</v>
      </c>
      <c r="D1662" s="115" t="s">
        <v>931</v>
      </c>
      <c r="E1662" s="115">
        <v>40812</v>
      </c>
      <c r="F1662" s="116" t="s">
        <v>981</v>
      </c>
      <c r="G1662" s="224" t="s">
        <v>1145</v>
      </c>
      <c r="H1662" s="117" t="s">
        <v>709</v>
      </c>
      <c r="I1662" s="141">
        <v>1</v>
      </c>
      <c r="J1662" s="141">
        <v>7302</v>
      </c>
      <c r="K1662" s="238">
        <v>7302</v>
      </c>
      <c r="L1662" s="118" t="s">
        <v>237</v>
      </c>
      <c r="M1662" s="118" t="s">
        <v>163</v>
      </c>
      <c r="N1662" s="25" t="str">
        <f>IF(AND('331-CT'!$E$7=TH!H1662,OR(L1662="331",M1662="331")),"331",IF(AND(OR(L1662="131",M1662="131"),H1662='131-CT'!$E$7),"131",""))</f>
        <v>131</v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>x</v>
      </c>
      <c r="Z1662" s="121"/>
    </row>
    <row r="1663" spans="1:26" ht="15.75" customHeight="1">
      <c r="A1663" s="125" t="str">
        <f>IF(B1663&lt;&gt;"",IF(AND(B1663&gt;=_TM1,B1663&lt;=_TM2,OR(TH!L1663="1111",TH!M1663="1111")),TH!D1663,""),"")</f>
        <v/>
      </c>
      <c r="B1663" s="11">
        <f t="shared" si="135"/>
        <v>9</v>
      </c>
      <c r="C1663" s="115">
        <v>40812</v>
      </c>
      <c r="D1663" s="115" t="s">
        <v>931</v>
      </c>
      <c r="E1663" s="115">
        <v>40812</v>
      </c>
      <c r="F1663" s="116" t="s">
        <v>725</v>
      </c>
      <c r="G1663" s="224" t="s">
        <v>1145</v>
      </c>
      <c r="H1663" s="117" t="s">
        <v>709</v>
      </c>
      <c r="I1663" s="141">
        <v>1</v>
      </c>
      <c r="J1663" s="141">
        <v>12495</v>
      </c>
      <c r="K1663" s="238">
        <v>12495</v>
      </c>
      <c r="L1663" s="118" t="s">
        <v>237</v>
      </c>
      <c r="M1663" s="118" t="s">
        <v>163</v>
      </c>
      <c r="N1663" s="25" t="str">
        <f>IF(AND('331-CT'!$E$7=TH!H1663,OR(L1663="331",M1663="331")),"331",IF(AND(OR(L1663="131",M1663="131"),H1663='131-CT'!$E$7),"131",""))</f>
        <v>131</v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>x</v>
      </c>
      <c r="Z1663" s="121"/>
    </row>
    <row r="1664" spans="1:26" ht="15.75" customHeight="1">
      <c r="A1664" s="125" t="str">
        <f>IF(B1664&lt;&gt;"",IF(AND(B1664&gt;=_TM1,B1664&lt;=_TM2,OR(TH!L1664="1111",TH!M1664="1111")),TH!D1664,""),"")</f>
        <v/>
      </c>
      <c r="B1664" s="11">
        <f t="shared" si="135"/>
        <v>9</v>
      </c>
      <c r="C1664" s="115">
        <v>40812</v>
      </c>
      <c r="D1664" s="115" t="s">
        <v>931</v>
      </c>
      <c r="E1664" s="115">
        <v>40812</v>
      </c>
      <c r="F1664" s="116" t="s">
        <v>734</v>
      </c>
      <c r="G1664" s="224" t="s">
        <v>1145</v>
      </c>
      <c r="H1664" s="117" t="s">
        <v>709</v>
      </c>
      <c r="I1664" s="141">
        <v>5</v>
      </c>
      <c r="J1664" s="141">
        <v>7295</v>
      </c>
      <c r="K1664" s="238">
        <v>36475</v>
      </c>
      <c r="L1664" s="118" t="s">
        <v>237</v>
      </c>
      <c r="M1664" s="118" t="s">
        <v>163</v>
      </c>
      <c r="N1664" s="25" t="str">
        <f>IF(AND('331-CT'!$E$7=TH!H1664,OR(L1664="331",M1664="331")),"331",IF(AND(OR(L1664="131",M1664="131"),H1664='131-CT'!$E$7),"131",""))</f>
        <v>131</v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>x</v>
      </c>
      <c r="Z1664" s="121"/>
    </row>
    <row r="1665" spans="1:26" ht="15.75" customHeight="1">
      <c r="A1665" s="125" t="str">
        <f>IF(B1665&lt;&gt;"",IF(AND(B1665&gt;=_TM1,B1665&lt;=_TM2,OR(TH!L1665="1111",TH!M1665="1111")),TH!D1665,""),"")</f>
        <v/>
      </c>
      <c r="B1665" s="11">
        <f t="shared" si="135"/>
        <v>9</v>
      </c>
      <c r="C1665" s="115">
        <v>40812</v>
      </c>
      <c r="D1665" s="115" t="s">
        <v>931</v>
      </c>
      <c r="E1665" s="115">
        <v>40812</v>
      </c>
      <c r="F1665" s="116" t="s">
        <v>1121</v>
      </c>
      <c r="G1665" s="224" t="s">
        <v>1145</v>
      </c>
      <c r="H1665" s="117" t="s">
        <v>709</v>
      </c>
      <c r="I1665" s="141"/>
      <c r="J1665" s="141"/>
      <c r="K1665" s="238">
        <v>19858</v>
      </c>
      <c r="L1665" s="118" t="s">
        <v>237</v>
      </c>
      <c r="M1665" s="118" t="s">
        <v>707</v>
      </c>
      <c r="N1665" s="25" t="str">
        <f>IF(AND('331-CT'!$E$7=TH!H1665,OR(L1665="331",M1665="331")),"331",IF(AND(OR(L1665="131",M1665="131"),H1665='131-CT'!$E$7),"131",""))</f>
        <v>131</v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>x</v>
      </c>
      <c r="Z1665" s="121"/>
    </row>
    <row r="1666" spans="1:26" ht="15.75" customHeight="1">
      <c r="A1666" s="125" t="str">
        <f>IF(B1666&lt;&gt;"",IF(AND(B1666&gt;=_TM1,B1666&lt;=_TM2,OR(TH!L1666="1111",TH!M1666="1111")),TH!D1666,""),"")</f>
        <v/>
      </c>
      <c r="B1666" s="11">
        <f t="shared" si="135"/>
        <v>9</v>
      </c>
      <c r="C1666" s="12">
        <f t="shared" ref="C1666:C1681" si="138">E1666</f>
        <v>40812</v>
      </c>
      <c r="D1666" s="12" t="s">
        <v>1156</v>
      </c>
      <c r="E1666" s="12">
        <v>40812</v>
      </c>
      <c r="F1666" s="15" t="s">
        <v>731</v>
      </c>
      <c r="G1666" s="15"/>
      <c r="H1666" s="242" t="s">
        <v>1037</v>
      </c>
      <c r="I1666" s="141">
        <v>5</v>
      </c>
      <c r="J1666" s="141">
        <v>10308.99873515348</v>
      </c>
      <c r="K1666" s="238">
        <f t="shared" ref="K1666:K1681" si="139">ROUND(I1666*J1666,0)</f>
        <v>51545</v>
      </c>
      <c r="L1666" s="14" t="s">
        <v>155</v>
      </c>
      <c r="M1666" s="14" t="s">
        <v>153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>x</v>
      </c>
      <c r="Z1666" s="121"/>
    </row>
    <row r="1667" spans="1:26" ht="15.75" customHeight="1">
      <c r="A1667" s="125" t="str">
        <f>IF(B1667&lt;&gt;"",IF(AND(B1667&gt;=_TM1,B1667&lt;=_TM2,OR(TH!L1667="1111",TH!M1667="1111")),TH!D1667,""),"")</f>
        <v/>
      </c>
      <c r="B1667" s="11">
        <f t="shared" si="135"/>
        <v>9</v>
      </c>
      <c r="C1667" s="12">
        <f t="shared" si="138"/>
        <v>40812</v>
      </c>
      <c r="D1667" s="12" t="s">
        <v>1156</v>
      </c>
      <c r="E1667" s="12">
        <v>40812</v>
      </c>
      <c r="F1667" s="15" t="s">
        <v>980</v>
      </c>
      <c r="G1667" s="15"/>
      <c r="H1667" s="242" t="s">
        <v>1037</v>
      </c>
      <c r="I1667" s="141">
        <v>1</v>
      </c>
      <c r="J1667" s="141">
        <v>10374.398735153478</v>
      </c>
      <c r="K1667" s="238">
        <f t="shared" si="139"/>
        <v>10374</v>
      </c>
      <c r="L1667" s="14" t="s">
        <v>155</v>
      </c>
      <c r="M1667" s="14" t="s">
        <v>153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>x</v>
      </c>
      <c r="Z1667" s="121"/>
    </row>
    <row r="1668" spans="1:26" ht="15.75" customHeight="1">
      <c r="A1668" s="125" t="str">
        <f>IF(B1668&lt;&gt;"",IF(AND(B1668&gt;=_TM1,B1668&lt;=_TM2,OR(TH!L1668="1111",TH!M1668="1111")),TH!D1668,""),"")</f>
        <v/>
      </c>
      <c r="B1668" s="11">
        <f t="shared" si="135"/>
        <v>9</v>
      </c>
      <c r="C1668" s="12">
        <f t="shared" si="138"/>
        <v>40812</v>
      </c>
      <c r="D1668" s="12" t="s">
        <v>1156</v>
      </c>
      <c r="E1668" s="12">
        <v>40812</v>
      </c>
      <c r="F1668" s="15" t="s">
        <v>958</v>
      </c>
      <c r="G1668" s="15"/>
      <c r="H1668" s="242" t="s">
        <v>1037</v>
      </c>
      <c r="I1668" s="141">
        <v>1</v>
      </c>
      <c r="J1668" s="141">
        <v>12825.398735153478</v>
      </c>
      <c r="K1668" s="238">
        <f t="shared" si="139"/>
        <v>12825</v>
      </c>
      <c r="L1668" s="14" t="s">
        <v>155</v>
      </c>
      <c r="M1668" s="14" t="s">
        <v>153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>x</v>
      </c>
      <c r="Z1668" s="121"/>
    </row>
    <row r="1669" spans="1:26" ht="15.75" customHeight="1">
      <c r="A1669" s="125" t="str">
        <f>IF(B1669&lt;&gt;"",IF(AND(B1669&gt;=_TM1,B1669&lt;=_TM2,OR(TH!L1669="1111",TH!M1669="1111")),TH!D1669,""),"")</f>
        <v/>
      </c>
      <c r="B1669" s="11">
        <f t="shared" si="135"/>
        <v>9</v>
      </c>
      <c r="C1669" s="12">
        <f t="shared" si="138"/>
        <v>40812</v>
      </c>
      <c r="D1669" s="12" t="s">
        <v>1156</v>
      </c>
      <c r="E1669" s="12">
        <v>40812</v>
      </c>
      <c r="F1669" s="116" t="s">
        <v>1242</v>
      </c>
      <c r="G1669" s="15"/>
      <c r="H1669" s="242" t="s">
        <v>1037</v>
      </c>
      <c r="I1669" s="141">
        <v>3</v>
      </c>
      <c r="J1669" s="141">
        <v>8248.3987351534797</v>
      </c>
      <c r="K1669" s="238">
        <f t="shared" si="139"/>
        <v>24745</v>
      </c>
      <c r="L1669" s="14" t="s">
        <v>155</v>
      </c>
      <c r="M1669" s="14" t="s">
        <v>153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>x</v>
      </c>
      <c r="Z1669" s="121"/>
    </row>
    <row r="1670" spans="1:26" ht="15.75" customHeight="1">
      <c r="A1670" s="125" t="str">
        <f>IF(B1670&lt;&gt;"",IF(AND(B1670&gt;=_TM1,B1670&lt;=_TM2,OR(TH!L1670="1111",TH!M1670="1111")),TH!D1670,""),"")</f>
        <v/>
      </c>
      <c r="B1670" s="11">
        <f t="shared" si="135"/>
        <v>9</v>
      </c>
      <c r="C1670" s="12">
        <f t="shared" si="138"/>
        <v>40812</v>
      </c>
      <c r="D1670" s="12" t="s">
        <v>1156</v>
      </c>
      <c r="E1670" s="12">
        <v>40812</v>
      </c>
      <c r="F1670" s="15" t="s">
        <v>721</v>
      </c>
      <c r="G1670" s="15"/>
      <c r="H1670" s="242" t="s">
        <v>1037</v>
      </c>
      <c r="I1670" s="141">
        <v>3</v>
      </c>
      <c r="J1670" s="141">
        <v>8248.3987351534797</v>
      </c>
      <c r="K1670" s="238">
        <f t="shared" si="139"/>
        <v>24745</v>
      </c>
      <c r="L1670" s="14" t="s">
        <v>155</v>
      </c>
      <c r="M1670" s="14" t="s">
        <v>153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>x</v>
      </c>
      <c r="Z1670" s="121"/>
    </row>
    <row r="1671" spans="1:26" ht="15.75" customHeight="1">
      <c r="A1671" s="125" t="str">
        <f>IF(B1671&lt;&gt;"",IF(AND(B1671&gt;=_TM1,B1671&lt;=_TM2,OR(TH!L1671="1111",TH!M1671="1111")),TH!D1671,""),"")</f>
        <v/>
      </c>
      <c r="B1671" s="11">
        <f t="shared" si="135"/>
        <v>9</v>
      </c>
      <c r="C1671" s="12">
        <f t="shared" si="138"/>
        <v>40812</v>
      </c>
      <c r="D1671" s="12" t="s">
        <v>1156</v>
      </c>
      <c r="E1671" s="12">
        <v>40812</v>
      </c>
      <c r="F1671" s="15" t="s">
        <v>981</v>
      </c>
      <c r="G1671" s="15"/>
      <c r="H1671" s="242" t="s">
        <v>1037</v>
      </c>
      <c r="I1671" s="141">
        <v>1</v>
      </c>
      <c r="J1671" s="141">
        <v>6671.3987351534788</v>
      </c>
      <c r="K1671" s="238">
        <f t="shared" si="139"/>
        <v>6671</v>
      </c>
      <c r="L1671" s="14" t="s">
        <v>155</v>
      </c>
      <c r="M1671" s="14" t="s">
        <v>153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>x</v>
      </c>
      <c r="Z1671" s="121"/>
    </row>
    <row r="1672" spans="1:26" ht="15.75" customHeight="1">
      <c r="A1672" s="125" t="str">
        <f>IF(B1672&lt;&gt;"",IF(AND(B1672&gt;=_TM1,B1672&lt;=_TM2,OR(TH!L1672="1111",TH!M1672="1111")),TH!D1672,""),"")</f>
        <v/>
      </c>
      <c r="B1672" s="11">
        <f t="shared" si="135"/>
        <v>9</v>
      </c>
      <c r="C1672" s="12">
        <f t="shared" si="138"/>
        <v>40812</v>
      </c>
      <c r="D1672" s="12" t="s">
        <v>1156</v>
      </c>
      <c r="E1672" s="12">
        <v>40812</v>
      </c>
      <c r="F1672" s="15" t="s">
        <v>725</v>
      </c>
      <c r="G1672" s="15"/>
      <c r="H1672" s="242" t="s">
        <v>1037</v>
      </c>
      <c r="I1672" s="141">
        <v>1</v>
      </c>
      <c r="J1672" s="141">
        <v>10309.398735153478</v>
      </c>
      <c r="K1672" s="238">
        <f t="shared" si="139"/>
        <v>10309</v>
      </c>
      <c r="L1672" s="14" t="s">
        <v>155</v>
      </c>
      <c r="M1672" s="14" t="s">
        <v>153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>x</v>
      </c>
      <c r="Z1672" s="121"/>
    </row>
    <row r="1673" spans="1:26" ht="15.75" customHeight="1">
      <c r="A1673" s="125" t="str">
        <f>IF(B1673&lt;&gt;"",IF(AND(B1673&gt;=_TM1,B1673&lt;=_TM2,OR(TH!L1673="1111",TH!M1673="1111")),TH!D1673,""),"")</f>
        <v/>
      </c>
      <c r="B1673" s="11">
        <f t="shared" si="135"/>
        <v>9</v>
      </c>
      <c r="C1673" s="12">
        <f t="shared" si="138"/>
        <v>40812</v>
      </c>
      <c r="D1673" s="12" t="s">
        <v>1156</v>
      </c>
      <c r="E1673" s="12">
        <v>40812</v>
      </c>
      <c r="F1673" s="15" t="s">
        <v>734</v>
      </c>
      <c r="G1673" s="15"/>
      <c r="H1673" s="242" t="s">
        <v>1037</v>
      </c>
      <c r="I1673" s="141">
        <v>5</v>
      </c>
      <c r="J1673" s="141">
        <v>6671.3987351534788</v>
      </c>
      <c r="K1673" s="238">
        <f t="shared" si="139"/>
        <v>33357</v>
      </c>
      <c r="L1673" s="14" t="s">
        <v>155</v>
      </c>
      <c r="M1673" s="14" t="s">
        <v>153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>x</v>
      </c>
      <c r="Z1673" s="121"/>
    </row>
    <row r="1674" spans="1:26" ht="15.75" customHeight="1">
      <c r="A1674" s="125" t="str">
        <f>IF(B1674&lt;&gt;"",IF(AND(B1674&gt;=_TM1,B1674&lt;=_TM2,OR(TH!L1674="1111",TH!M1674="1111")),TH!D1674,""),"")</f>
        <v/>
      </c>
      <c r="B1674" s="11">
        <f t="shared" si="135"/>
        <v>9</v>
      </c>
      <c r="C1674" s="12">
        <f t="shared" si="138"/>
        <v>40812</v>
      </c>
      <c r="D1674" s="12" t="s">
        <v>931</v>
      </c>
      <c r="E1674" s="12">
        <v>40812</v>
      </c>
      <c r="F1674" s="15" t="s">
        <v>731</v>
      </c>
      <c r="G1674" s="15" t="s">
        <v>1145</v>
      </c>
      <c r="H1674" s="242" t="s">
        <v>709</v>
      </c>
      <c r="I1674" s="141">
        <v>5</v>
      </c>
      <c r="J1674" s="141">
        <v>10308.99873515348</v>
      </c>
      <c r="K1674" s="238">
        <f t="shared" si="139"/>
        <v>51545</v>
      </c>
      <c r="L1674" s="14" t="s">
        <v>161</v>
      </c>
      <c r="M1674" s="14" t="s">
        <v>155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>x</v>
      </c>
      <c r="Z1674" s="121"/>
    </row>
    <row r="1675" spans="1:26" ht="15.75" customHeight="1">
      <c r="A1675" s="125" t="str">
        <f>IF(B1675&lt;&gt;"",IF(AND(B1675&gt;=_TM1,B1675&lt;=_TM2,OR(TH!L1675="1111",TH!M1675="1111")),TH!D1675,""),"")</f>
        <v/>
      </c>
      <c r="B1675" s="11">
        <f t="shared" si="135"/>
        <v>9</v>
      </c>
      <c r="C1675" s="12">
        <f t="shared" si="138"/>
        <v>40812</v>
      </c>
      <c r="D1675" s="12" t="s">
        <v>931</v>
      </c>
      <c r="E1675" s="12">
        <v>40812</v>
      </c>
      <c r="F1675" s="15" t="s">
        <v>980</v>
      </c>
      <c r="G1675" s="15" t="s">
        <v>1145</v>
      </c>
      <c r="H1675" s="242" t="s">
        <v>709</v>
      </c>
      <c r="I1675" s="141">
        <v>1</v>
      </c>
      <c r="J1675" s="141">
        <v>10374.398735153478</v>
      </c>
      <c r="K1675" s="238">
        <f t="shared" si="139"/>
        <v>10374</v>
      </c>
      <c r="L1675" s="14" t="s">
        <v>161</v>
      </c>
      <c r="M1675" s="14" t="s">
        <v>155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>x</v>
      </c>
      <c r="Z1675" s="121"/>
    </row>
    <row r="1676" spans="1:26" ht="15.75" customHeight="1">
      <c r="A1676" s="125" t="str">
        <f>IF(B1676&lt;&gt;"",IF(AND(B1676&gt;=_TM1,B1676&lt;=_TM2,OR(TH!L1676="1111",TH!M1676="1111")),TH!D1676,""),"")</f>
        <v/>
      </c>
      <c r="B1676" s="11">
        <f t="shared" si="135"/>
        <v>9</v>
      </c>
      <c r="C1676" s="12">
        <f t="shared" si="138"/>
        <v>40812</v>
      </c>
      <c r="D1676" s="12" t="s">
        <v>931</v>
      </c>
      <c r="E1676" s="12">
        <v>40812</v>
      </c>
      <c r="F1676" s="15" t="s">
        <v>958</v>
      </c>
      <c r="G1676" s="15" t="s">
        <v>1145</v>
      </c>
      <c r="H1676" s="242" t="s">
        <v>709</v>
      </c>
      <c r="I1676" s="141">
        <v>1</v>
      </c>
      <c r="J1676" s="141">
        <v>12825.398735153478</v>
      </c>
      <c r="K1676" s="238">
        <f t="shared" si="139"/>
        <v>12825</v>
      </c>
      <c r="L1676" s="14" t="s">
        <v>161</v>
      </c>
      <c r="M1676" s="14" t="s">
        <v>155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>x</v>
      </c>
      <c r="Z1676" s="121"/>
    </row>
    <row r="1677" spans="1:26" ht="15.75" customHeight="1">
      <c r="A1677" s="125" t="str">
        <f>IF(B1677&lt;&gt;"",IF(AND(B1677&gt;=_TM1,B1677&lt;=_TM2,OR(TH!L1677="1111",TH!M1677="1111")),TH!D1677,""),"")</f>
        <v/>
      </c>
      <c r="B1677" s="11">
        <f t="shared" si="135"/>
        <v>9</v>
      </c>
      <c r="C1677" s="12">
        <f t="shared" si="138"/>
        <v>40812</v>
      </c>
      <c r="D1677" s="12" t="s">
        <v>931</v>
      </c>
      <c r="E1677" s="12">
        <v>40812</v>
      </c>
      <c r="F1677" s="116" t="s">
        <v>1242</v>
      </c>
      <c r="G1677" s="15" t="s">
        <v>1145</v>
      </c>
      <c r="H1677" s="242" t="s">
        <v>709</v>
      </c>
      <c r="I1677" s="141">
        <v>3</v>
      </c>
      <c r="J1677" s="141">
        <v>8248.3987351534797</v>
      </c>
      <c r="K1677" s="238">
        <f t="shared" si="139"/>
        <v>24745</v>
      </c>
      <c r="L1677" s="14" t="s">
        <v>161</v>
      </c>
      <c r="M1677" s="14" t="s">
        <v>155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>x</v>
      </c>
      <c r="Z1677" s="121"/>
    </row>
    <row r="1678" spans="1:26" ht="15.75" customHeight="1">
      <c r="A1678" s="125" t="str">
        <f>IF(B1678&lt;&gt;"",IF(AND(B1678&gt;=_TM1,B1678&lt;=_TM2,OR(TH!L1678="1111",TH!M1678="1111")),TH!D1678,""),"")</f>
        <v/>
      </c>
      <c r="B1678" s="11">
        <f t="shared" si="135"/>
        <v>9</v>
      </c>
      <c r="C1678" s="12">
        <f t="shared" si="138"/>
        <v>40812</v>
      </c>
      <c r="D1678" s="12" t="s">
        <v>931</v>
      </c>
      <c r="E1678" s="12">
        <v>40812</v>
      </c>
      <c r="F1678" s="15" t="s">
        <v>721</v>
      </c>
      <c r="G1678" s="15" t="s">
        <v>1145</v>
      </c>
      <c r="H1678" s="242" t="s">
        <v>709</v>
      </c>
      <c r="I1678" s="141">
        <v>3</v>
      </c>
      <c r="J1678" s="141">
        <v>8248.3987351534797</v>
      </c>
      <c r="K1678" s="238">
        <f t="shared" si="139"/>
        <v>24745</v>
      </c>
      <c r="L1678" s="14" t="s">
        <v>161</v>
      </c>
      <c r="M1678" s="14" t="s">
        <v>155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>x</v>
      </c>
      <c r="Z1678" s="121"/>
    </row>
    <row r="1679" spans="1:26" ht="15.75" customHeight="1">
      <c r="A1679" s="125" t="str">
        <f>IF(B1679&lt;&gt;"",IF(AND(B1679&gt;=_TM1,B1679&lt;=_TM2,OR(TH!L1679="1111",TH!M1679="1111")),TH!D1679,""),"")</f>
        <v/>
      </c>
      <c r="B1679" s="11">
        <f t="shared" si="135"/>
        <v>9</v>
      </c>
      <c r="C1679" s="12">
        <f t="shared" si="138"/>
        <v>40812</v>
      </c>
      <c r="D1679" s="12" t="s">
        <v>931</v>
      </c>
      <c r="E1679" s="12">
        <v>40812</v>
      </c>
      <c r="F1679" s="15" t="s">
        <v>981</v>
      </c>
      <c r="G1679" s="15" t="s">
        <v>1145</v>
      </c>
      <c r="H1679" s="242" t="s">
        <v>709</v>
      </c>
      <c r="I1679" s="141">
        <v>1</v>
      </c>
      <c r="J1679" s="141">
        <v>6671.3987351534788</v>
      </c>
      <c r="K1679" s="238">
        <f t="shared" si="139"/>
        <v>6671</v>
      </c>
      <c r="L1679" s="14" t="s">
        <v>161</v>
      </c>
      <c r="M1679" s="14" t="s">
        <v>155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>x</v>
      </c>
      <c r="Z1679" s="121"/>
    </row>
    <row r="1680" spans="1:26" ht="15.75" customHeight="1">
      <c r="A1680" s="125" t="str">
        <f>IF(B1680&lt;&gt;"",IF(AND(B1680&gt;=_TM1,B1680&lt;=_TM2,OR(TH!L1680="1111",TH!M1680="1111")),TH!D1680,""),"")</f>
        <v/>
      </c>
      <c r="B1680" s="11">
        <f t="shared" si="135"/>
        <v>9</v>
      </c>
      <c r="C1680" s="12">
        <f t="shared" si="138"/>
        <v>40812</v>
      </c>
      <c r="D1680" s="12" t="s">
        <v>931</v>
      </c>
      <c r="E1680" s="12">
        <v>40812</v>
      </c>
      <c r="F1680" s="15" t="s">
        <v>725</v>
      </c>
      <c r="G1680" s="15" t="s">
        <v>1145</v>
      </c>
      <c r="H1680" s="242" t="s">
        <v>709</v>
      </c>
      <c r="I1680" s="141">
        <v>1</v>
      </c>
      <c r="J1680" s="141">
        <v>10309.398735153478</v>
      </c>
      <c r="K1680" s="238">
        <f t="shared" si="139"/>
        <v>10309</v>
      </c>
      <c r="L1680" s="14" t="s">
        <v>161</v>
      </c>
      <c r="M1680" s="14" t="s">
        <v>155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>x</v>
      </c>
      <c r="Z1680" s="121"/>
    </row>
    <row r="1681" spans="1:26" ht="15.75" customHeight="1">
      <c r="A1681" s="125" t="str">
        <f>IF(B1681&lt;&gt;"",IF(AND(B1681&gt;=_TM1,B1681&lt;=_TM2,OR(TH!L1681="1111",TH!M1681="1111")),TH!D1681,""),"")</f>
        <v/>
      </c>
      <c r="B1681" s="11">
        <f t="shared" si="135"/>
        <v>9</v>
      </c>
      <c r="C1681" s="12">
        <f t="shared" si="138"/>
        <v>40812</v>
      </c>
      <c r="D1681" s="12" t="s">
        <v>931</v>
      </c>
      <c r="E1681" s="12">
        <v>40812</v>
      </c>
      <c r="F1681" s="15" t="s">
        <v>734</v>
      </c>
      <c r="G1681" s="15" t="s">
        <v>1145</v>
      </c>
      <c r="H1681" s="242" t="s">
        <v>709</v>
      </c>
      <c r="I1681" s="141">
        <v>5</v>
      </c>
      <c r="J1681" s="141">
        <v>6671.3987351534788</v>
      </c>
      <c r="K1681" s="238">
        <f t="shared" si="139"/>
        <v>33357</v>
      </c>
      <c r="L1681" s="14" t="s">
        <v>161</v>
      </c>
      <c r="M1681" s="14" t="s">
        <v>155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>x</v>
      </c>
      <c r="Z1681" s="121"/>
    </row>
    <row r="1682" spans="1:26" ht="15.75" customHeight="1">
      <c r="A1682" s="125" t="str">
        <f>IF(B1682&lt;&gt;"",IF(AND(B1682&gt;=_TM1,B1682&lt;=_TM2,OR(TH!L1682="1111",TH!M1682="1111")),TH!D1682,""),"")</f>
        <v/>
      </c>
      <c r="B1682" s="11">
        <f t="shared" si="135"/>
        <v>9</v>
      </c>
      <c r="C1682" s="115">
        <v>40813</v>
      </c>
      <c r="D1682" s="115" t="s">
        <v>901</v>
      </c>
      <c r="E1682" s="115">
        <v>40813</v>
      </c>
      <c r="F1682" s="116" t="s">
        <v>312</v>
      </c>
      <c r="G1682" s="224" t="s">
        <v>1147</v>
      </c>
      <c r="H1682" s="311" t="s">
        <v>742</v>
      </c>
      <c r="I1682" s="141"/>
      <c r="J1682" s="141"/>
      <c r="K1682" s="238">
        <v>18998716</v>
      </c>
      <c r="L1682" s="118" t="s">
        <v>44</v>
      </c>
      <c r="M1682" s="118" t="s">
        <v>237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>x</v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>x</v>
      </c>
      <c r="Z1682" s="121"/>
    </row>
    <row r="1683" spans="1:26" ht="15.75" customHeight="1">
      <c r="A1683" s="125" t="str">
        <f>IF(B1683&lt;&gt;"",IF(AND(B1683&gt;=_TM1,B1683&lt;=_TM2,OR(TH!L1683="1111",TH!M1683="1111")),TH!D1683,""),"")</f>
        <v/>
      </c>
      <c r="B1683" s="11">
        <f t="shared" si="135"/>
        <v>9</v>
      </c>
      <c r="C1683" s="115">
        <v>40813</v>
      </c>
      <c r="D1683" s="115" t="s">
        <v>932</v>
      </c>
      <c r="E1683" s="115">
        <v>40813</v>
      </c>
      <c r="F1683" s="116" t="s">
        <v>982</v>
      </c>
      <c r="G1683" s="224" t="s">
        <v>1147</v>
      </c>
      <c r="H1683" s="311" t="s">
        <v>742</v>
      </c>
      <c r="I1683" s="141">
        <v>380</v>
      </c>
      <c r="J1683" s="141">
        <v>14892</v>
      </c>
      <c r="K1683" s="238">
        <v>5658960</v>
      </c>
      <c r="L1683" s="118" t="s">
        <v>237</v>
      </c>
      <c r="M1683" s="118" t="s">
        <v>163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>x</v>
      </c>
      <c r="Z1683" s="121"/>
    </row>
    <row r="1684" spans="1:26" ht="15.75" customHeight="1">
      <c r="A1684" s="125" t="str">
        <f>IF(B1684&lt;&gt;"",IF(AND(B1684&gt;=_TM1,B1684&lt;=_TM2,OR(TH!L1684="1111",TH!M1684="1111")),TH!D1684,""),"")</f>
        <v/>
      </c>
      <c r="B1684" s="11">
        <f t="shared" si="135"/>
        <v>9</v>
      </c>
      <c r="C1684" s="115">
        <v>40813</v>
      </c>
      <c r="D1684" s="115" t="s">
        <v>932</v>
      </c>
      <c r="E1684" s="115">
        <v>40813</v>
      </c>
      <c r="F1684" s="116" t="s">
        <v>983</v>
      </c>
      <c r="G1684" s="224" t="s">
        <v>1147</v>
      </c>
      <c r="H1684" s="311" t="s">
        <v>742</v>
      </c>
      <c r="I1684" s="141">
        <v>125</v>
      </c>
      <c r="J1684" s="141">
        <v>13169</v>
      </c>
      <c r="K1684" s="238">
        <v>1646125</v>
      </c>
      <c r="L1684" s="118" t="s">
        <v>237</v>
      </c>
      <c r="M1684" s="118" t="s">
        <v>163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>x</v>
      </c>
      <c r="Z1684" s="121"/>
    </row>
    <row r="1685" spans="1:26" ht="15.75" customHeight="1">
      <c r="A1685" s="125" t="str">
        <f>IF(B1685&lt;&gt;"",IF(AND(B1685&gt;=_TM1,B1685&lt;=_TM2,OR(TH!L1685="1111",TH!M1685="1111")),TH!D1685,""),"")</f>
        <v/>
      </c>
      <c r="B1685" s="11">
        <f t="shared" si="135"/>
        <v>9</v>
      </c>
      <c r="C1685" s="115">
        <v>40813</v>
      </c>
      <c r="D1685" s="115" t="s">
        <v>932</v>
      </c>
      <c r="E1685" s="115">
        <v>40813</v>
      </c>
      <c r="F1685" s="116" t="s">
        <v>984</v>
      </c>
      <c r="G1685" s="224" t="s">
        <v>1147</v>
      </c>
      <c r="H1685" s="311" t="s">
        <v>742</v>
      </c>
      <c r="I1685" s="141">
        <v>575</v>
      </c>
      <c r="J1685" s="141">
        <v>17333</v>
      </c>
      <c r="K1685" s="238">
        <v>9966475</v>
      </c>
      <c r="L1685" s="118" t="s">
        <v>237</v>
      </c>
      <c r="M1685" s="118" t="s">
        <v>163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>x</v>
      </c>
      <c r="Z1685" s="121"/>
    </row>
    <row r="1686" spans="1:26" ht="15.75" customHeight="1">
      <c r="A1686" s="125" t="str">
        <f>IF(B1686&lt;&gt;"",IF(AND(B1686&gt;=_TM1,B1686&lt;=_TM2,OR(TH!L1686="1111",TH!M1686="1111")),TH!D1686,""),"")</f>
        <v/>
      </c>
      <c r="B1686" s="11">
        <f t="shared" ref="B1686:B1749" si="140">IF(C1686&lt;&gt;"",MONTH(C1686),"")</f>
        <v>9</v>
      </c>
      <c r="C1686" s="115">
        <v>40813</v>
      </c>
      <c r="D1686" s="115" t="s">
        <v>932</v>
      </c>
      <c r="E1686" s="115">
        <v>40813</v>
      </c>
      <c r="F1686" s="116" t="s">
        <v>1121</v>
      </c>
      <c r="G1686" s="224" t="s">
        <v>1147</v>
      </c>
      <c r="H1686" s="311" t="s">
        <v>742</v>
      </c>
      <c r="I1686" s="141"/>
      <c r="J1686" s="141"/>
      <c r="K1686" s="238">
        <v>1727156</v>
      </c>
      <c r="L1686" s="118" t="s">
        <v>237</v>
      </c>
      <c r="M1686" s="118" t="s">
        <v>707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>x</v>
      </c>
      <c r="Z1686" s="121"/>
    </row>
    <row r="1687" spans="1:26" ht="15.75" customHeight="1">
      <c r="A1687" s="125" t="str">
        <f>IF(B1687&lt;&gt;"",IF(AND(B1687&gt;=_TM1,B1687&lt;=_TM2,OR(TH!L1687="1111",TH!M1687="1111")),TH!D1687,""),"")</f>
        <v/>
      </c>
      <c r="B1687" s="11">
        <f t="shared" si="140"/>
        <v>9</v>
      </c>
      <c r="C1687" s="115">
        <v>40813</v>
      </c>
      <c r="D1687" s="115" t="s">
        <v>1146</v>
      </c>
      <c r="E1687" s="115">
        <v>40813</v>
      </c>
      <c r="F1687" s="116" t="s">
        <v>984</v>
      </c>
      <c r="G1687" s="224" t="s">
        <v>1149</v>
      </c>
      <c r="H1687" s="311" t="s">
        <v>742</v>
      </c>
      <c r="I1687" s="141">
        <v>600</v>
      </c>
      <c r="J1687" s="141">
        <v>17333</v>
      </c>
      <c r="K1687" s="238">
        <v>10399800</v>
      </c>
      <c r="L1687" s="118" t="s">
        <v>237</v>
      </c>
      <c r="M1687" s="118" t="s">
        <v>163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>x</v>
      </c>
      <c r="Z1687" s="121"/>
    </row>
    <row r="1688" spans="1:26" ht="15.75" customHeight="1">
      <c r="A1688" s="125" t="str">
        <f>IF(B1688&lt;&gt;"",IF(AND(B1688&gt;=_TM1,B1688&lt;=_TM2,OR(TH!L1688="1111",TH!M1688="1111")),TH!D1688,""),"")</f>
        <v/>
      </c>
      <c r="B1688" s="11">
        <f t="shared" si="140"/>
        <v>9</v>
      </c>
      <c r="C1688" s="115">
        <v>40813</v>
      </c>
      <c r="D1688" s="115" t="s">
        <v>1146</v>
      </c>
      <c r="E1688" s="115">
        <v>40813</v>
      </c>
      <c r="F1688" s="116" t="s">
        <v>983</v>
      </c>
      <c r="G1688" s="224" t="s">
        <v>1149</v>
      </c>
      <c r="H1688" s="311" t="s">
        <v>742</v>
      </c>
      <c r="I1688" s="141">
        <v>125</v>
      </c>
      <c r="J1688" s="141">
        <v>13169</v>
      </c>
      <c r="K1688" s="238">
        <v>1646125</v>
      </c>
      <c r="L1688" s="118" t="s">
        <v>237</v>
      </c>
      <c r="M1688" s="118" t="s">
        <v>163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>x</v>
      </c>
      <c r="Z1688" s="121"/>
    </row>
    <row r="1689" spans="1:26" ht="15.75" customHeight="1">
      <c r="A1689" s="125" t="str">
        <f>IF(B1689&lt;&gt;"",IF(AND(B1689&gt;=_TM1,B1689&lt;=_TM2,OR(TH!L1689="1111",TH!M1689="1111")),TH!D1689,""),"")</f>
        <v/>
      </c>
      <c r="B1689" s="11">
        <f t="shared" si="140"/>
        <v>9</v>
      </c>
      <c r="C1689" s="115">
        <v>40813</v>
      </c>
      <c r="D1689" s="115" t="s">
        <v>1146</v>
      </c>
      <c r="E1689" s="115">
        <v>40813</v>
      </c>
      <c r="F1689" s="116" t="s">
        <v>985</v>
      </c>
      <c r="G1689" s="224" t="s">
        <v>1149</v>
      </c>
      <c r="H1689" s="311" t="s">
        <v>742</v>
      </c>
      <c r="I1689" s="141">
        <v>150</v>
      </c>
      <c r="J1689" s="141">
        <v>15453</v>
      </c>
      <c r="K1689" s="238">
        <v>2317950</v>
      </c>
      <c r="L1689" s="118" t="s">
        <v>237</v>
      </c>
      <c r="M1689" s="118" t="s">
        <v>163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>x</v>
      </c>
      <c r="Z1689" s="121"/>
    </row>
    <row r="1690" spans="1:26" ht="15.75" customHeight="1">
      <c r="A1690" s="125" t="str">
        <f>IF(B1690&lt;&gt;"",IF(AND(B1690&gt;=_TM1,B1690&lt;=_TM2,OR(TH!L1690="1111",TH!M1690="1111")),TH!D1690,""),"")</f>
        <v/>
      </c>
      <c r="B1690" s="11">
        <f t="shared" si="140"/>
        <v>9</v>
      </c>
      <c r="C1690" s="115">
        <v>40813</v>
      </c>
      <c r="D1690" s="115" t="s">
        <v>1146</v>
      </c>
      <c r="E1690" s="115">
        <v>40813</v>
      </c>
      <c r="F1690" s="116" t="s">
        <v>986</v>
      </c>
      <c r="G1690" s="224" t="s">
        <v>1149</v>
      </c>
      <c r="H1690" s="311" t="s">
        <v>742</v>
      </c>
      <c r="I1690" s="141">
        <v>90</v>
      </c>
      <c r="J1690" s="141">
        <v>11613</v>
      </c>
      <c r="K1690" s="238">
        <v>1045170</v>
      </c>
      <c r="L1690" s="118" t="s">
        <v>237</v>
      </c>
      <c r="M1690" s="118" t="s">
        <v>163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>x</v>
      </c>
      <c r="Z1690" s="121"/>
    </row>
    <row r="1691" spans="1:26" ht="15.75" customHeight="1">
      <c r="A1691" s="125" t="str">
        <f>IF(B1691&lt;&gt;"",IF(AND(B1691&gt;=_TM1,B1691&lt;=_TM2,OR(TH!L1691="1111",TH!M1691="1111")),TH!D1691,""),"")</f>
        <v/>
      </c>
      <c r="B1691" s="11">
        <f t="shared" si="140"/>
        <v>9</v>
      </c>
      <c r="C1691" s="115">
        <v>40813</v>
      </c>
      <c r="D1691" s="115" t="s">
        <v>1146</v>
      </c>
      <c r="E1691" s="115">
        <v>40813</v>
      </c>
      <c r="F1691" s="116" t="s">
        <v>1121</v>
      </c>
      <c r="G1691" s="224" t="s">
        <v>1149</v>
      </c>
      <c r="H1691" s="311" t="s">
        <v>742</v>
      </c>
      <c r="I1691" s="141"/>
      <c r="J1691" s="141"/>
      <c r="K1691" s="238">
        <v>1540905</v>
      </c>
      <c r="L1691" s="118" t="s">
        <v>237</v>
      </c>
      <c r="M1691" s="118" t="s">
        <v>707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>x</v>
      </c>
      <c r="Z1691" s="121"/>
    </row>
    <row r="1692" spans="1:26" ht="15.75" customHeight="1">
      <c r="A1692" s="125" t="str">
        <f>IF(B1692&lt;&gt;"",IF(AND(B1692&gt;=_TM1,B1692&lt;=_TM2,OR(TH!L1692="1111",TH!M1692="1111")),TH!D1692,""),"")</f>
        <v/>
      </c>
      <c r="B1692" s="11">
        <f t="shared" si="140"/>
        <v>9</v>
      </c>
      <c r="C1692" s="115">
        <v>40813</v>
      </c>
      <c r="D1692" s="115" t="s">
        <v>1148</v>
      </c>
      <c r="E1692" s="115">
        <v>40813</v>
      </c>
      <c r="F1692" s="116" t="s">
        <v>986</v>
      </c>
      <c r="G1692" s="224" t="s">
        <v>1150</v>
      </c>
      <c r="H1692" s="311" t="s">
        <v>742</v>
      </c>
      <c r="I1692" s="141">
        <v>200</v>
      </c>
      <c r="J1692" s="141">
        <v>11613</v>
      </c>
      <c r="K1692" s="238">
        <v>2322600</v>
      </c>
      <c r="L1692" s="118" t="s">
        <v>237</v>
      </c>
      <c r="M1692" s="118" t="s">
        <v>163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>x</v>
      </c>
      <c r="Z1692" s="121"/>
    </row>
    <row r="1693" spans="1:26" ht="15.75" customHeight="1">
      <c r="A1693" s="125" t="str">
        <f>IF(B1693&lt;&gt;"",IF(AND(B1693&gt;=_TM1,B1693&lt;=_TM2,OR(TH!L1693="1111",TH!M1693="1111")),TH!D1693,""),"")</f>
        <v/>
      </c>
      <c r="B1693" s="11">
        <f t="shared" si="140"/>
        <v>9</v>
      </c>
      <c r="C1693" s="115">
        <v>40813</v>
      </c>
      <c r="D1693" s="115" t="s">
        <v>1148</v>
      </c>
      <c r="E1693" s="115">
        <v>40813</v>
      </c>
      <c r="F1693" s="116" t="s">
        <v>987</v>
      </c>
      <c r="G1693" s="224" t="s">
        <v>1150</v>
      </c>
      <c r="H1693" s="311" t="s">
        <v>742</v>
      </c>
      <c r="I1693" s="141">
        <v>110</v>
      </c>
      <c r="J1693" s="141">
        <v>10580</v>
      </c>
      <c r="K1693" s="238">
        <v>1163800</v>
      </c>
      <c r="L1693" s="118" t="s">
        <v>237</v>
      </c>
      <c r="M1693" s="118" t="s">
        <v>163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>x</v>
      </c>
      <c r="Z1693" s="121"/>
    </row>
    <row r="1694" spans="1:26" ht="15.75" customHeight="1">
      <c r="A1694" s="125" t="str">
        <f>IF(B1694&lt;&gt;"",IF(AND(B1694&gt;=_TM1,B1694&lt;=_TM2,OR(TH!L1694="1111",TH!M1694="1111")),TH!D1694,""),"")</f>
        <v/>
      </c>
      <c r="B1694" s="11">
        <f t="shared" si="140"/>
        <v>9</v>
      </c>
      <c r="C1694" s="115">
        <v>40813</v>
      </c>
      <c r="D1694" s="115" t="s">
        <v>1148</v>
      </c>
      <c r="E1694" s="115">
        <v>40813</v>
      </c>
      <c r="F1694" s="116" t="s">
        <v>985</v>
      </c>
      <c r="G1694" s="224" t="s">
        <v>1150</v>
      </c>
      <c r="H1694" s="311" t="s">
        <v>742</v>
      </c>
      <c r="I1694" s="141">
        <v>275</v>
      </c>
      <c r="J1694" s="141">
        <v>15453</v>
      </c>
      <c r="K1694" s="238">
        <v>4249575</v>
      </c>
      <c r="L1694" s="118" t="s">
        <v>237</v>
      </c>
      <c r="M1694" s="118" t="s">
        <v>163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>x</v>
      </c>
      <c r="Z1694" s="121"/>
    </row>
    <row r="1695" spans="1:26" ht="15.75" customHeight="1">
      <c r="A1695" s="125" t="str">
        <f>IF(B1695&lt;&gt;"",IF(AND(B1695&gt;=_TM1,B1695&lt;=_TM2,OR(TH!L1695="1111",TH!M1695="1111")),TH!D1695,""),"")</f>
        <v/>
      </c>
      <c r="B1695" s="11">
        <f t="shared" si="140"/>
        <v>9</v>
      </c>
      <c r="C1695" s="115">
        <v>40813</v>
      </c>
      <c r="D1695" s="115" t="s">
        <v>1148</v>
      </c>
      <c r="E1695" s="115">
        <v>40813</v>
      </c>
      <c r="F1695" s="116" t="s">
        <v>985</v>
      </c>
      <c r="G1695" s="224" t="s">
        <v>1150</v>
      </c>
      <c r="H1695" s="311" t="s">
        <v>742</v>
      </c>
      <c r="I1695" s="141">
        <v>230</v>
      </c>
      <c r="J1695" s="141">
        <v>13169</v>
      </c>
      <c r="K1695" s="238">
        <v>3028870</v>
      </c>
      <c r="L1695" s="118" t="s">
        <v>237</v>
      </c>
      <c r="M1695" s="118" t="s">
        <v>163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>x</v>
      </c>
      <c r="Z1695" s="121"/>
    </row>
    <row r="1696" spans="1:26" ht="15.75" customHeight="1">
      <c r="A1696" s="125" t="str">
        <f>IF(B1696&lt;&gt;"",IF(AND(B1696&gt;=_TM1,B1696&lt;=_TM2,OR(TH!L1696="1111",TH!M1696="1111")),TH!D1696,""),"")</f>
        <v/>
      </c>
      <c r="B1696" s="11">
        <f t="shared" si="140"/>
        <v>9</v>
      </c>
      <c r="C1696" s="115">
        <v>40813</v>
      </c>
      <c r="D1696" s="115" t="s">
        <v>1148</v>
      </c>
      <c r="E1696" s="115">
        <v>40813</v>
      </c>
      <c r="F1696" s="116" t="s">
        <v>1121</v>
      </c>
      <c r="G1696" s="224" t="s">
        <v>1150</v>
      </c>
      <c r="H1696" s="311" t="s">
        <v>742</v>
      </c>
      <c r="I1696" s="141"/>
      <c r="J1696" s="141"/>
      <c r="K1696" s="238">
        <f>1076485+1</f>
        <v>1076486</v>
      </c>
      <c r="L1696" s="118" t="s">
        <v>237</v>
      </c>
      <c r="M1696" s="118" t="s">
        <v>707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>x</v>
      </c>
      <c r="Z1696" s="121"/>
    </row>
    <row r="1697" spans="1:26" ht="15.75" customHeight="1">
      <c r="A1697" s="125" t="str">
        <f>IF(B1697&lt;&gt;"",IF(AND(B1697&gt;=_TM1,B1697&lt;=_TM2,OR(TH!L1697="1111",TH!M1697="1111")),TH!D1697,""),"")</f>
        <v/>
      </c>
      <c r="B1697" s="11">
        <f t="shared" si="140"/>
        <v>9</v>
      </c>
      <c r="C1697" s="12">
        <f t="shared" ref="C1697:C1718" si="141">E1697</f>
        <v>40813</v>
      </c>
      <c r="D1697" s="12" t="s">
        <v>1157</v>
      </c>
      <c r="E1697" s="12">
        <v>40813</v>
      </c>
      <c r="F1697" s="15" t="s">
        <v>982</v>
      </c>
      <c r="G1697" s="15"/>
      <c r="H1697" s="242" t="s">
        <v>1037</v>
      </c>
      <c r="I1697" s="141">
        <v>380</v>
      </c>
      <c r="J1697" s="141">
        <v>12549.9776825219</v>
      </c>
      <c r="K1697" s="238">
        <f t="shared" ref="K1697:K1718" si="142">ROUND(I1697*J1697,0)</f>
        <v>4768992</v>
      </c>
      <c r="L1697" s="14" t="s">
        <v>155</v>
      </c>
      <c r="M1697" s="14" t="s">
        <v>153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>x</v>
      </c>
      <c r="Z1697" s="121"/>
    </row>
    <row r="1698" spans="1:26" ht="15.75" customHeight="1">
      <c r="A1698" s="125" t="str">
        <f>IF(B1698&lt;&gt;"",IF(AND(B1698&gt;=_TM1,B1698&lt;=_TM2,OR(TH!L1698="1111",TH!M1698="1111")),TH!D1698,""),"")</f>
        <v/>
      </c>
      <c r="B1698" s="11">
        <f t="shared" si="140"/>
        <v>9</v>
      </c>
      <c r="C1698" s="12">
        <f t="shared" si="141"/>
        <v>40813</v>
      </c>
      <c r="D1698" s="12" t="s">
        <v>1157</v>
      </c>
      <c r="E1698" s="12">
        <v>40813</v>
      </c>
      <c r="F1698" s="15" t="s">
        <v>983</v>
      </c>
      <c r="G1698" s="15"/>
      <c r="H1698" s="242" t="s">
        <v>1037</v>
      </c>
      <c r="I1698" s="141">
        <v>125</v>
      </c>
      <c r="J1698" s="141">
        <v>12041.902735153477</v>
      </c>
      <c r="K1698" s="238">
        <f t="shared" si="142"/>
        <v>1505238</v>
      </c>
      <c r="L1698" s="14" t="s">
        <v>155</v>
      </c>
      <c r="M1698" s="14" t="s">
        <v>153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>x</v>
      </c>
      <c r="Z1698" s="121"/>
    </row>
    <row r="1699" spans="1:26" ht="15.75" customHeight="1">
      <c r="A1699" s="125" t="str">
        <f>IF(B1699&lt;&gt;"",IF(AND(B1699&gt;=_TM1,B1699&lt;=_TM2,OR(TH!L1699="1111",TH!M1699="1111")),TH!D1699,""),"")</f>
        <v/>
      </c>
      <c r="B1699" s="11">
        <f t="shared" si="140"/>
        <v>9</v>
      </c>
      <c r="C1699" s="12">
        <f t="shared" si="141"/>
        <v>40813</v>
      </c>
      <c r="D1699" s="12" t="s">
        <v>1157</v>
      </c>
      <c r="E1699" s="12">
        <v>40813</v>
      </c>
      <c r="F1699" s="15" t="s">
        <v>984</v>
      </c>
      <c r="G1699" s="15"/>
      <c r="H1699" s="242" t="s">
        <v>1037</v>
      </c>
      <c r="I1699" s="141">
        <v>575</v>
      </c>
      <c r="J1699" s="141">
        <v>14230.746561240434</v>
      </c>
      <c r="K1699" s="238">
        <f t="shared" si="142"/>
        <v>8182679</v>
      </c>
      <c r="L1699" s="14" t="s">
        <v>155</v>
      </c>
      <c r="M1699" s="14" t="s">
        <v>153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>x</v>
      </c>
      <c r="Z1699" s="121"/>
    </row>
    <row r="1700" spans="1:26" ht="15.75" customHeight="1">
      <c r="A1700" s="125" t="str">
        <f>IF(B1700&lt;&gt;"",IF(AND(B1700&gt;=_TM1,B1700&lt;=_TM2,OR(TH!L1700="1111",TH!M1700="1111")),TH!D1700,""),"")</f>
        <v/>
      </c>
      <c r="B1700" s="11">
        <f t="shared" si="140"/>
        <v>9</v>
      </c>
      <c r="C1700" s="12">
        <f t="shared" si="141"/>
        <v>40813</v>
      </c>
      <c r="D1700" s="12" t="s">
        <v>1157</v>
      </c>
      <c r="E1700" s="12">
        <v>40813</v>
      </c>
      <c r="F1700" s="15" t="s">
        <v>984</v>
      </c>
      <c r="G1700" s="15"/>
      <c r="H1700" s="242" t="s">
        <v>1037</v>
      </c>
      <c r="I1700" s="141">
        <v>600</v>
      </c>
      <c r="J1700" s="141">
        <v>14209.898735153476</v>
      </c>
      <c r="K1700" s="238">
        <f t="shared" si="142"/>
        <v>8525939</v>
      </c>
      <c r="L1700" s="14" t="s">
        <v>155</v>
      </c>
      <c r="M1700" s="14" t="s">
        <v>153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>x</v>
      </c>
      <c r="Z1700" s="121"/>
    </row>
    <row r="1701" spans="1:26" ht="15.75" customHeight="1">
      <c r="A1701" s="125" t="str">
        <f>IF(B1701&lt;&gt;"",IF(AND(B1701&gt;=_TM1,B1701&lt;=_TM2,OR(TH!L1701="1111",TH!M1701="1111")),TH!D1701,""),"")</f>
        <v/>
      </c>
      <c r="B1701" s="11">
        <f t="shared" si="140"/>
        <v>9</v>
      </c>
      <c r="C1701" s="12">
        <f t="shared" si="141"/>
        <v>40813</v>
      </c>
      <c r="D1701" s="12" t="s">
        <v>1157</v>
      </c>
      <c r="E1701" s="12">
        <v>40813</v>
      </c>
      <c r="F1701" s="15" t="s">
        <v>983</v>
      </c>
      <c r="G1701" s="15"/>
      <c r="H1701" s="242" t="s">
        <v>1037</v>
      </c>
      <c r="I1701" s="141">
        <v>125</v>
      </c>
      <c r="J1701" s="141">
        <v>12041.894735153477</v>
      </c>
      <c r="K1701" s="238">
        <f t="shared" si="142"/>
        <v>1505237</v>
      </c>
      <c r="L1701" s="14" t="s">
        <v>155</v>
      </c>
      <c r="M1701" s="14" t="s">
        <v>153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>x</v>
      </c>
      <c r="Z1701" s="121"/>
    </row>
    <row r="1702" spans="1:26" ht="15.75" customHeight="1">
      <c r="A1702" s="125" t="str">
        <f>IF(B1702&lt;&gt;"",IF(AND(B1702&gt;=_TM1,B1702&lt;=_TM2,OR(TH!L1702="1111",TH!M1702="1111")),TH!D1702,""),"")</f>
        <v/>
      </c>
      <c r="B1702" s="11">
        <f t="shared" si="140"/>
        <v>9</v>
      </c>
      <c r="C1702" s="12">
        <f t="shared" si="141"/>
        <v>40813</v>
      </c>
      <c r="D1702" s="12" t="s">
        <v>1157</v>
      </c>
      <c r="E1702" s="12">
        <v>40813</v>
      </c>
      <c r="F1702" s="15" t="s">
        <v>985</v>
      </c>
      <c r="G1702" s="15"/>
      <c r="H1702" s="242" t="s">
        <v>1037</v>
      </c>
      <c r="I1702" s="141">
        <v>150</v>
      </c>
      <c r="J1702" s="141">
        <v>14066.398735153476</v>
      </c>
      <c r="K1702" s="238">
        <f t="shared" si="142"/>
        <v>2109960</v>
      </c>
      <c r="L1702" s="14" t="s">
        <v>155</v>
      </c>
      <c r="M1702" s="14" t="s">
        <v>153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>x</v>
      </c>
      <c r="Z1702" s="121"/>
    </row>
    <row r="1703" spans="1:26" ht="15.75" customHeight="1">
      <c r="A1703" s="125" t="str">
        <f>IF(B1703&lt;&gt;"",IF(AND(B1703&gt;=_TM1,B1703&lt;=_TM2,OR(TH!L1703="1111",TH!M1703="1111")),TH!D1703,""),"")</f>
        <v/>
      </c>
      <c r="B1703" s="11">
        <f t="shared" si="140"/>
        <v>9</v>
      </c>
      <c r="C1703" s="12">
        <f t="shared" si="141"/>
        <v>40813</v>
      </c>
      <c r="D1703" s="12" t="s">
        <v>1157</v>
      </c>
      <c r="E1703" s="12">
        <v>40813</v>
      </c>
      <c r="F1703" s="15" t="s">
        <v>986</v>
      </c>
      <c r="G1703" s="15"/>
      <c r="H1703" s="242" t="s">
        <v>1037</v>
      </c>
      <c r="I1703" s="141">
        <v>90</v>
      </c>
      <c r="J1703" s="141">
        <v>9894.8987351534779</v>
      </c>
      <c r="K1703" s="238">
        <f t="shared" si="142"/>
        <v>890541</v>
      </c>
      <c r="L1703" s="14" t="s">
        <v>155</v>
      </c>
      <c r="M1703" s="14" t="s">
        <v>153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>x</v>
      </c>
      <c r="Z1703" s="121"/>
    </row>
    <row r="1704" spans="1:26" ht="15.75" customHeight="1">
      <c r="A1704" s="125" t="str">
        <f>IF(B1704&lt;&gt;"",IF(AND(B1704&gt;=_TM1,B1704&lt;=_TM2,OR(TH!L1704="1111",TH!M1704="1111")),TH!D1704,""),"")</f>
        <v/>
      </c>
      <c r="B1704" s="11">
        <f t="shared" si="140"/>
        <v>9</v>
      </c>
      <c r="C1704" s="12">
        <f t="shared" si="141"/>
        <v>40813</v>
      </c>
      <c r="D1704" s="12" t="s">
        <v>1158</v>
      </c>
      <c r="E1704" s="12">
        <v>40813</v>
      </c>
      <c r="F1704" s="15" t="s">
        <v>986</v>
      </c>
      <c r="G1704" s="15"/>
      <c r="H1704" s="242" t="s">
        <v>1037</v>
      </c>
      <c r="I1704" s="141">
        <v>200</v>
      </c>
      <c r="J1704" s="141">
        <v>10615.898735153478</v>
      </c>
      <c r="K1704" s="238">
        <f t="shared" si="142"/>
        <v>2123180</v>
      </c>
      <c r="L1704" s="14" t="s">
        <v>155</v>
      </c>
      <c r="M1704" s="14" t="s">
        <v>153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>x</v>
      </c>
      <c r="Z1704" s="121"/>
    </row>
    <row r="1705" spans="1:26" ht="15.75" customHeight="1">
      <c r="A1705" s="125" t="str">
        <f>IF(B1705&lt;&gt;"",IF(AND(B1705&gt;=_TM1,B1705&lt;=_TM2,OR(TH!L1705="1111",TH!M1705="1111")),TH!D1705,""),"")</f>
        <v/>
      </c>
      <c r="B1705" s="11">
        <f t="shared" si="140"/>
        <v>9</v>
      </c>
      <c r="C1705" s="12">
        <f t="shared" si="141"/>
        <v>40813</v>
      </c>
      <c r="D1705" s="12" t="s">
        <v>1158</v>
      </c>
      <c r="E1705" s="12">
        <v>40813</v>
      </c>
      <c r="F1705" s="15" t="s">
        <v>987</v>
      </c>
      <c r="G1705" s="15"/>
      <c r="H1705" s="242" t="s">
        <v>1037</v>
      </c>
      <c r="I1705" s="141">
        <v>110</v>
      </c>
      <c r="J1705" s="141">
        <v>8248.3987351534797</v>
      </c>
      <c r="K1705" s="238">
        <f t="shared" si="142"/>
        <v>907324</v>
      </c>
      <c r="L1705" s="14" t="s">
        <v>155</v>
      </c>
      <c r="M1705" s="14" t="s">
        <v>153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>x</v>
      </c>
      <c r="Z1705" s="121"/>
    </row>
    <row r="1706" spans="1:26" ht="15.75" customHeight="1">
      <c r="A1706" s="125" t="str">
        <f>IF(B1706&lt;&gt;"",IF(AND(B1706&gt;=_TM1,B1706&lt;=_TM2,OR(TH!L1706="1111",TH!M1706="1111")),TH!D1706,""),"")</f>
        <v/>
      </c>
      <c r="B1706" s="11">
        <f t="shared" si="140"/>
        <v>9</v>
      </c>
      <c r="C1706" s="12">
        <f t="shared" si="141"/>
        <v>40813</v>
      </c>
      <c r="D1706" s="12" t="s">
        <v>1158</v>
      </c>
      <c r="E1706" s="12">
        <v>40813</v>
      </c>
      <c r="F1706" s="15" t="s">
        <v>985</v>
      </c>
      <c r="G1706" s="15"/>
      <c r="H1706" s="242" t="s">
        <v>1037</v>
      </c>
      <c r="I1706" s="141">
        <v>275</v>
      </c>
      <c r="J1706" s="141">
        <v>15240.56600788075</v>
      </c>
      <c r="K1706" s="238">
        <f t="shared" si="142"/>
        <v>4191156</v>
      </c>
      <c r="L1706" s="14" t="s">
        <v>155</v>
      </c>
      <c r="M1706" s="14" t="s">
        <v>153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>x</v>
      </c>
      <c r="Z1706" s="121"/>
    </row>
    <row r="1707" spans="1:26" ht="15.75" customHeight="1">
      <c r="A1707" s="125" t="str">
        <f>IF(B1707&lt;&gt;"",IF(AND(B1707&gt;=_TM1,B1707&lt;=_TM2,OR(TH!L1707="1111",TH!M1707="1111")),TH!D1707,""),"")</f>
        <v/>
      </c>
      <c r="B1707" s="11">
        <f t="shared" si="140"/>
        <v>9</v>
      </c>
      <c r="C1707" s="12">
        <f t="shared" si="141"/>
        <v>40813</v>
      </c>
      <c r="D1707" s="12" t="s">
        <v>1158</v>
      </c>
      <c r="E1707" s="12">
        <v>40813</v>
      </c>
      <c r="F1707" s="15" t="s">
        <v>985</v>
      </c>
      <c r="G1707" s="15"/>
      <c r="H1707" s="242" t="s">
        <v>1037</v>
      </c>
      <c r="I1707" s="141">
        <v>230</v>
      </c>
      <c r="J1707" s="141">
        <v>12041.398735153478</v>
      </c>
      <c r="K1707" s="238">
        <f t="shared" si="142"/>
        <v>2769522</v>
      </c>
      <c r="L1707" s="14" t="s">
        <v>155</v>
      </c>
      <c r="M1707" s="14" t="s">
        <v>153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>x</v>
      </c>
      <c r="Z1707" s="121"/>
    </row>
    <row r="1708" spans="1:26" ht="15.75" customHeight="1">
      <c r="A1708" s="125" t="str">
        <f>IF(B1708&lt;&gt;"",IF(AND(B1708&gt;=_TM1,B1708&lt;=_TM2,OR(TH!L1708="1111",TH!M1708="1111")),TH!D1708,""),"")</f>
        <v/>
      </c>
      <c r="B1708" s="11">
        <f t="shared" si="140"/>
        <v>9</v>
      </c>
      <c r="C1708" s="12">
        <f t="shared" si="141"/>
        <v>40813</v>
      </c>
      <c r="D1708" s="12" t="s">
        <v>932</v>
      </c>
      <c r="E1708" s="12">
        <v>40813</v>
      </c>
      <c r="F1708" s="15" t="s">
        <v>982</v>
      </c>
      <c r="G1708" s="15" t="s">
        <v>1147</v>
      </c>
      <c r="H1708" s="242" t="s">
        <v>742</v>
      </c>
      <c r="I1708" s="141">
        <v>380</v>
      </c>
      <c r="J1708" s="141">
        <v>12549.9776825219</v>
      </c>
      <c r="K1708" s="238">
        <f t="shared" si="142"/>
        <v>4768992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>x</v>
      </c>
      <c r="Z1708" s="121"/>
    </row>
    <row r="1709" spans="1:26" ht="15.75" customHeight="1">
      <c r="A1709" s="125" t="str">
        <f>IF(B1709&lt;&gt;"",IF(AND(B1709&gt;=_TM1,B1709&lt;=_TM2,OR(TH!L1709="1111",TH!M1709="1111")),TH!D1709,""),"")</f>
        <v/>
      </c>
      <c r="B1709" s="11">
        <f t="shared" si="140"/>
        <v>9</v>
      </c>
      <c r="C1709" s="12">
        <f t="shared" si="141"/>
        <v>40813</v>
      </c>
      <c r="D1709" s="12" t="s">
        <v>932</v>
      </c>
      <c r="E1709" s="12">
        <v>40813</v>
      </c>
      <c r="F1709" s="15" t="s">
        <v>983</v>
      </c>
      <c r="G1709" s="15" t="s">
        <v>1147</v>
      </c>
      <c r="H1709" s="242" t="s">
        <v>742</v>
      </c>
      <c r="I1709" s="141">
        <v>125</v>
      </c>
      <c r="J1709" s="141">
        <v>12041.902735153477</v>
      </c>
      <c r="K1709" s="238">
        <f t="shared" si="142"/>
        <v>1505238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>x</v>
      </c>
      <c r="Z1709" s="121"/>
    </row>
    <row r="1710" spans="1:26" ht="15.75" customHeight="1">
      <c r="A1710" s="125" t="str">
        <f>IF(B1710&lt;&gt;"",IF(AND(B1710&gt;=_TM1,B1710&lt;=_TM2,OR(TH!L1710="1111",TH!M1710="1111")),TH!D1710,""),"")</f>
        <v/>
      </c>
      <c r="B1710" s="11">
        <f t="shared" si="140"/>
        <v>9</v>
      </c>
      <c r="C1710" s="12">
        <f t="shared" si="141"/>
        <v>40813</v>
      </c>
      <c r="D1710" s="12" t="s">
        <v>932</v>
      </c>
      <c r="E1710" s="12">
        <v>40813</v>
      </c>
      <c r="F1710" s="15" t="s">
        <v>984</v>
      </c>
      <c r="G1710" s="15" t="s">
        <v>1147</v>
      </c>
      <c r="H1710" s="242" t="s">
        <v>742</v>
      </c>
      <c r="I1710" s="141">
        <v>575</v>
      </c>
      <c r="J1710" s="141">
        <v>14230.746561240434</v>
      </c>
      <c r="K1710" s="238">
        <f t="shared" si="142"/>
        <v>8182679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>x</v>
      </c>
      <c r="Z1710" s="121"/>
    </row>
    <row r="1711" spans="1:26" ht="15.75" customHeight="1">
      <c r="A1711" s="125" t="str">
        <f>IF(B1711&lt;&gt;"",IF(AND(B1711&gt;=_TM1,B1711&lt;=_TM2,OR(TH!L1711="1111",TH!M1711="1111")),TH!D1711,""),"")</f>
        <v/>
      </c>
      <c r="B1711" s="11">
        <f t="shared" si="140"/>
        <v>9</v>
      </c>
      <c r="C1711" s="12">
        <f t="shared" si="141"/>
        <v>40813</v>
      </c>
      <c r="D1711" s="12" t="s">
        <v>1146</v>
      </c>
      <c r="E1711" s="12">
        <v>40813</v>
      </c>
      <c r="F1711" s="15" t="s">
        <v>984</v>
      </c>
      <c r="G1711" s="15" t="s">
        <v>1149</v>
      </c>
      <c r="H1711" s="242" t="s">
        <v>742</v>
      </c>
      <c r="I1711" s="141">
        <v>600</v>
      </c>
      <c r="J1711" s="141">
        <v>14209.898735153476</v>
      </c>
      <c r="K1711" s="238">
        <f t="shared" si="142"/>
        <v>8525939</v>
      </c>
      <c r="L1711" s="14" t="s">
        <v>161</v>
      </c>
      <c r="M1711" s="14" t="s">
        <v>155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>x</v>
      </c>
      <c r="Z1711" s="121"/>
    </row>
    <row r="1712" spans="1:26" ht="15.75" customHeight="1">
      <c r="A1712" s="125" t="str">
        <f>IF(B1712&lt;&gt;"",IF(AND(B1712&gt;=_TM1,B1712&lt;=_TM2,OR(TH!L1712="1111",TH!M1712="1111")),TH!D1712,""),"")</f>
        <v/>
      </c>
      <c r="B1712" s="11">
        <f t="shared" si="140"/>
        <v>9</v>
      </c>
      <c r="C1712" s="12">
        <f t="shared" si="141"/>
        <v>40813</v>
      </c>
      <c r="D1712" s="12" t="s">
        <v>1146</v>
      </c>
      <c r="E1712" s="12">
        <v>40813</v>
      </c>
      <c r="F1712" s="15" t="s">
        <v>983</v>
      </c>
      <c r="G1712" s="15" t="s">
        <v>1149</v>
      </c>
      <c r="H1712" s="242" t="s">
        <v>742</v>
      </c>
      <c r="I1712" s="141">
        <v>125</v>
      </c>
      <c r="J1712" s="141">
        <v>12041.894735153477</v>
      </c>
      <c r="K1712" s="238">
        <f t="shared" si="142"/>
        <v>1505237</v>
      </c>
      <c r="L1712" s="14" t="s">
        <v>161</v>
      </c>
      <c r="M1712" s="14" t="s">
        <v>155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>x</v>
      </c>
      <c r="Z1712" s="121"/>
    </row>
    <row r="1713" spans="1:26" ht="15.75" customHeight="1">
      <c r="A1713" s="125" t="str">
        <f>IF(B1713&lt;&gt;"",IF(AND(B1713&gt;=_TM1,B1713&lt;=_TM2,OR(TH!L1713="1111",TH!M1713="1111")),TH!D1713,""),"")</f>
        <v/>
      </c>
      <c r="B1713" s="11">
        <f t="shared" si="140"/>
        <v>9</v>
      </c>
      <c r="C1713" s="12">
        <f t="shared" si="141"/>
        <v>40813</v>
      </c>
      <c r="D1713" s="12" t="s">
        <v>1146</v>
      </c>
      <c r="E1713" s="12">
        <v>40813</v>
      </c>
      <c r="F1713" s="15" t="s">
        <v>985</v>
      </c>
      <c r="G1713" s="15" t="s">
        <v>1149</v>
      </c>
      <c r="H1713" s="242" t="s">
        <v>742</v>
      </c>
      <c r="I1713" s="141">
        <v>150</v>
      </c>
      <c r="J1713" s="141">
        <v>14066.398735153476</v>
      </c>
      <c r="K1713" s="238">
        <f t="shared" si="142"/>
        <v>2109960</v>
      </c>
      <c r="L1713" s="14" t="s">
        <v>161</v>
      </c>
      <c r="M1713" s="14" t="s">
        <v>155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>x</v>
      </c>
      <c r="Z1713" s="121"/>
    </row>
    <row r="1714" spans="1:26" ht="15.75" customHeight="1">
      <c r="A1714" s="125" t="str">
        <f>IF(B1714&lt;&gt;"",IF(AND(B1714&gt;=_TM1,B1714&lt;=_TM2,OR(TH!L1714="1111",TH!M1714="1111")),TH!D1714,""),"")</f>
        <v/>
      </c>
      <c r="B1714" s="11">
        <f t="shared" si="140"/>
        <v>9</v>
      </c>
      <c r="C1714" s="12">
        <f t="shared" si="141"/>
        <v>40813</v>
      </c>
      <c r="D1714" s="12" t="s">
        <v>1146</v>
      </c>
      <c r="E1714" s="12">
        <v>40813</v>
      </c>
      <c r="F1714" s="15" t="s">
        <v>986</v>
      </c>
      <c r="G1714" s="15" t="s">
        <v>1149</v>
      </c>
      <c r="H1714" s="242" t="s">
        <v>742</v>
      </c>
      <c r="I1714" s="141">
        <v>90</v>
      </c>
      <c r="J1714" s="141">
        <v>9894.8987351534779</v>
      </c>
      <c r="K1714" s="238">
        <f t="shared" si="142"/>
        <v>890541</v>
      </c>
      <c r="L1714" s="14" t="s">
        <v>161</v>
      </c>
      <c r="M1714" s="14" t="s">
        <v>155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>x</v>
      </c>
      <c r="Z1714" s="121"/>
    </row>
    <row r="1715" spans="1:26" ht="15.75" customHeight="1">
      <c r="A1715" s="125" t="str">
        <f>IF(B1715&lt;&gt;"",IF(AND(B1715&gt;=_TM1,B1715&lt;=_TM2,OR(TH!L1715="1111",TH!M1715="1111")),TH!D1715,""),"")</f>
        <v/>
      </c>
      <c r="B1715" s="11">
        <f t="shared" si="140"/>
        <v>9</v>
      </c>
      <c r="C1715" s="12">
        <f t="shared" si="141"/>
        <v>40813</v>
      </c>
      <c r="D1715" s="12" t="s">
        <v>1148</v>
      </c>
      <c r="E1715" s="12">
        <v>40813</v>
      </c>
      <c r="F1715" s="15" t="s">
        <v>986</v>
      </c>
      <c r="G1715" s="15" t="s">
        <v>1150</v>
      </c>
      <c r="H1715" s="242" t="s">
        <v>742</v>
      </c>
      <c r="I1715" s="141">
        <v>200</v>
      </c>
      <c r="J1715" s="141">
        <v>10615.898735153478</v>
      </c>
      <c r="K1715" s="238">
        <f t="shared" si="142"/>
        <v>2123180</v>
      </c>
      <c r="L1715" s="14" t="s">
        <v>161</v>
      </c>
      <c r="M1715" s="14" t="s">
        <v>155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>x</v>
      </c>
      <c r="Z1715" s="121"/>
    </row>
    <row r="1716" spans="1:26" ht="15.75" customHeight="1">
      <c r="A1716" s="125" t="str">
        <f>IF(B1716&lt;&gt;"",IF(AND(B1716&gt;=_TM1,B1716&lt;=_TM2,OR(TH!L1716="1111",TH!M1716="1111")),TH!D1716,""),"")</f>
        <v/>
      </c>
      <c r="B1716" s="11">
        <f t="shared" si="140"/>
        <v>9</v>
      </c>
      <c r="C1716" s="12">
        <f t="shared" si="141"/>
        <v>40813</v>
      </c>
      <c r="D1716" s="12" t="s">
        <v>1148</v>
      </c>
      <c r="E1716" s="12">
        <v>40813</v>
      </c>
      <c r="F1716" s="15" t="s">
        <v>987</v>
      </c>
      <c r="G1716" s="15" t="s">
        <v>1150</v>
      </c>
      <c r="H1716" s="242" t="s">
        <v>742</v>
      </c>
      <c r="I1716" s="141">
        <v>110</v>
      </c>
      <c r="J1716" s="141">
        <v>8248.3987351534797</v>
      </c>
      <c r="K1716" s="238">
        <f t="shared" si="142"/>
        <v>907324</v>
      </c>
      <c r="L1716" s="14" t="s">
        <v>161</v>
      </c>
      <c r="M1716" s="14" t="s">
        <v>155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>x</v>
      </c>
      <c r="Z1716" s="121"/>
    </row>
    <row r="1717" spans="1:26" ht="15.75" customHeight="1">
      <c r="A1717" s="125" t="str">
        <f>IF(B1717&lt;&gt;"",IF(AND(B1717&gt;=_TM1,B1717&lt;=_TM2,OR(TH!L1717="1111",TH!M1717="1111")),TH!D1717,""),"")</f>
        <v/>
      </c>
      <c r="B1717" s="11">
        <f t="shared" si="140"/>
        <v>9</v>
      </c>
      <c r="C1717" s="12">
        <f t="shared" si="141"/>
        <v>40813</v>
      </c>
      <c r="D1717" s="12" t="s">
        <v>1148</v>
      </c>
      <c r="E1717" s="12">
        <v>40813</v>
      </c>
      <c r="F1717" s="15" t="s">
        <v>985</v>
      </c>
      <c r="G1717" s="15" t="s">
        <v>1150</v>
      </c>
      <c r="H1717" s="242" t="s">
        <v>742</v>
      </c>
      <c r="I1717" s="141">
        <v>275</v>
      </c>
      <c r="J1717" s="141">
        <v>15240.56600788075</v>
      </c>
      <c r="K1717" s="238">
        <f t="shared" si="142"/>
        <v>4191156</v>
      </c>
      <c r="L1717" s="14" t="s">
        <v>161</v>
      </c>
      <c r="M1717" s="14" t="s">
        <v>155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>x</v>
      </c>
      <c r="Z1717" s="121"/>
    </row>
    <row r="1718" spans="1:26" ht="15.75" customHeight="1">
      <c r="A1718" s="125" t="str">
        <f>IF(B1718&lt;&gt;"",IF(AND(B1718&gt;=_TM1,B1718&lt;=_TM2,OR(TH!L1718="1111",TH!M1718="1111")),TH!D1718,""),"")</f>
        <v/>
      </c>
      <c r="B1718" s="11">
        <f t="shared" si="140"/>
        <v>9</v>
      </c>
      <c r="C1718" s="12">
        <f t="shared" si="141"/>
        <v>40813</v>
      </c>
      <c r="D1718" s="12" t="s">
        <v>1148</v>
      </c>
      <c r="E1718" s="12">
        <v>40813</v>
      </c>
      <c r="F1718" s="15" t="s">
        <v>985</v>
      </c>
      <c r="G1718" s="15" t="s">
        <v>1150</v>
      </c>
      <c r="H1718" s="242" t="s">
        <v>742</v>
      </c>
      <c r="I1718" s="141">
        <v>230</v>
      </c>
      <c r="J1718" s="141">
        <v>12041.398735153478</v>
      </c>
      <c r="K1718" s="238">
        <f t="shared" si="142"/>
        <v>2769522</v>
      </c>
      <c r="L1718" s="14" t="s">
        <v>161</v>
      </c>
      <c r="M1718" s="14" t="s">
        <v>155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>x</v>
      </c>
      <c r="Z1718" s="121"/>
    </row>
    <row r="1719" spans="1:26" ht="15.75" customHeight="1">
      <c r="A1719" s="125" t="str">
        <f>IF(B1719&lt;&gt;"",IF(AND(B1719&gt;=_TM1,B1719&lt;=_TM2,OR(TH!L1719="1111",TH!M1719="1111")),TH!D1719,""),"")</f>
        <v/>
      </c>
      <c r="B1719" s="11">
        <f t="shared" si="140"/>
        <v>9</v>
      </c>
      <c r="C1719" s="288">
        <v>40816</v>
      </c>
      <c r="D1719" s="288" t="s">
        <v>649</v>
      </c>
      <c r="E1719" s="312">
        <v>40816</v>
      </c>
      <c r="F1719" s="289" t="s">
        <v>1080</v>
      </c>
      <c r="G1719" s="290"/>
      <c r="H1719" s="242" t="s">
        <v>340</v>
      </c>
      <c r="I1719" s="220"/>
      <c r="J1719" s="220"/>
      <c r="K1719" s="291">
        <v>13250000</v>
      </c>
      <c r="L1719" s="292" t="s">
        <v>240</v>
      </c>
      <c r="M1719" s="292" t="s">
        <v>44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>x</v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>x</v>
      </c>
      <c r="Z1719" s="121"/>
    </row>
    <row r="1720" spans="1:26" ht="15.75" customHeight="1">
      <c r="A1720" s="125" t="str">
        <f>IF(B1720&lt;&gt;"",IF(AND(B1720&gt;=_TM1,B1720&lt;=_TM2,OR(TH!L1720="1111",TH!M1720="1111")),TH!D1720,""),"")</f>
        <v/>
      </c>
      <c r="B1720" s="11">
        <f t="shared" si="140"/>
        <v>9</v>
      </c>
      <c r="C1720" s="110">
        <v>40816</v>
      </c>
      <c r="D1720" s="288" t="s">
        <v>650</v>
      </c>
      <c r="E1720" s="110">
        <v>40816</v>
      </c>
      <c r="F1720" s="114" t="s">
        <v>339</v>
      </c>
      <c r="G1720" s="240" t="s">
        <v>307</v>
      </c>
      <c r="H1720" s="117" t="s">
        <v>340</v>
      </c>
      <c r="I1720" s="141"/>
      <c r="J1720" s="141"/>
      <c r="K1720" s="238">
        <v>105600000</v>
      </c>
      <c r="L1720" s="239" t="s">
        <v>23</v>
      </c>
      <c r="M1720" s="239" t="s">
        <v>44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>x</v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>x</v>
      </c>
      <c r="Z1720" s="121"/>
    </row>
    <row r="1721" spans="1:26" ht="15.75" customHeight="1">
      <c r="A1721" s="125" t="str">
        <f>IF(B1721&lt;&gt;"",IF(AND(B1721&gt;=_TM1,B1721&lt;=_TM2,OR(TH!L1721="1111",TH!M1721="1111")),TH!D1721,""),"")</f>
        <v/>
      </c>
      <c r="B1721" s="11">
        <f t="shared" si="140"/>
        <v>9</v>
      </c>
      <c r="C1721" s="115">
        <v>40816</v>
      </c>
      <c r="D1721" s="110" t="s">
        <v>651</v>
      </c>
      <c r="E1721" s="115">
        <v>40816</v>
      </c>
      <c r="F1721" s="154" t="s">
        <v>1115</v>
      </c>
      <c r="G1721" s="224" t="s">
        <v>1116</v>
      </c>
      <c r="H1721" s="4" t="s">
        <v>348</v>
      </c>
      <c r="I1721" s="141">
        <v>20</v>
      </c>
      <c r="J1721" s="141">
        <v>58000</v>
      </c>
      <c r="K1721" s="238">
        <v>1160000</v>
      </c>
      <c r="L1721" s="118" t="s">
        <v>153</v>
      </c>
      <c r="M1721" s="118" t="s">
        <v>44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>x</v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>x</v>
      </c>
      <c r="Z1721" s="121">
        <v>9</v>
      </c>
    </row>
    <row r="1722" spans="1:26" ht="15.75" customHeight="1">
      <c r="A1722" s="125" t="str">
        <f>IF(B1722&lt;&gt;"",IF(AND(B1722&gt;=_TM1,B1722&lt;=_TM2,OR(TH!L1722="1111",TH!M1722="1111")),TH!D1722,""),"")</f>
        <v/>
      </c>
      <c r="B1722" s="11">
        <f t="shared" si="140"/>
        <v>9</v>
      </c>
      <c r="C1722" s="115">
        <v>40816</v>
      </c>
      <c r="D1722" s="110" t="s">
        <v>651</v>
      </c>
      <c r="E1722" s="115">
        <v>40816</v>
      </c>
      <c r="F1722" s="154" t="s">
        <v>1117</v>
      </c>
      <c r="G1722" s="224" t="s">
        <v>1116</v>
      </c>
      <c r="H1722" s="4" t="s">
        <v>348</v>
      </c>
      <c r="I1722" s="143"/>
      <c r="J1722" s="143"/>
      <c r="K1722" s="13">
        <v>116000</v>
      </c>
      <c r="L1722" s="118" t="s">
        <v>9</v>
      </c>
      <c r="M1722" s="118" t="s">
        <v>44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>x</v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>x</v>
      </c>
      <c r="Z1722" s="121">
        <v>9</v>
      </c>
    </row>
    <row r="1723" spans="1:26" ht="15.75" customHeight="1">
      <c r="A1723" s="125" t="str">
        <f>IF(B1723&lt;&gt;"",IF(AND(B1723&gt;=_TM1,B1723&lt;=_TM2,OR(TH!L1723="1111",TH!M1723="1111")),TH!D1723,""),"")</f>
        <v/>
      </c>
      <c r="B1723" s="11">
        <f t="shared" si="140"/>
        <v>9</v>
      </c>
      <c r="C1723" s="288">
        <v>40816</v>
      </c>
      <c r="D1723" s="288" t="s">
        <v>314</v>
      </c>
      <c r="E1723" s="312">
        <v>40816</v>
      </c>
      <c r="F1723" s="289" t="s">
        <v>895</v>
      </c>
      <c r="G1723" s="290"/>
      <c r="H1723" s="242"/>
      <c r="I1723" s="220"/>
      <c r="J1723" s="220"/>
      <c r="K1723" s="291">
        <v>7025000</v>
      </c>
      <c r="L1723" s="292" t="s">
        <v>73</v>
      </c>
      <c r="M1723" s="292" t="s">
        <v>240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>x</v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>x</v>
      </c>
      <c r="Z1723" s="121"/>
    </row>
    <row r="1724" spans="1:26" ht="15.75" customHeight="1">
      <c r="A1724" s="125" t="str">
        <f>IF(B1724&lt;&gt;"",IF(AND(B1724&gt;=_TM1,B1724&lt;=_TM2,OR(TH!L1724="1111",TH!M1724="1111")),TH!D1724,""),"")</f>
        <v/>
      </c>
      <c r="B1724" s="11">
        <f t="shared" si="140"/>
        <v>9</v>
      </c>
      <c r="C1724" s="288">
        <v>40816</v>
      </c>
      <c r="D1724" s="288" t="s">
        <v>314</v>
      </c>
      <c r="E1724" s="312">
        <v>40816</v>
      </c>
      <c r="F1724" s="289" t="s">
        <v>755</v>
      </c>
      <c r="G1724" s="290"/>
      <c r="H1724" s="242"/>
      <c r="I1724" s="220"/>
      <c r="J1724" s="220"/>
      <c r="K1724" s="238">
        <v>6225000</v>
      </c>
      <c r="L1724" s="292" t="s">
        <v>153</v>
      </c>
      <c r="M1724" s="292" t="s">
        <v>240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>x</v>
      </c>
      <c r="Z1724" s="121"/>
    </row>
    <row r="1725" spans="1:26" ht="15.75" customHeight="1">
      <c r="A1725" s="125" t="str">
        <f>IF(B1725&lt;&gt;"",IF(AND(B1725&gt;=_TM1,B1725&lt;=_TM2,OR(TH!L1725="1111",TH!M1725="1111")),TH!D1725,""),"")</f>
        <v/>
      </c>
      <c r="B1725" s="11">
        <f t="shared" si="140"/>
        <v>9</v>
      </c>
      <c r="C1725" s="110">
        <v>40816</v>
      </c>
      <c r="D1725" s="110" t="s">
        <v>311</v>
      </c>
      <c r="E1725" s="110">
        <v>40816</v>
      </c>
      <c r="F1725" s="114" t="s">
        <v>346</v>
      </c>
      <c r="G1725" s="240" t="s">
        <v>307</v>
      </c>
      <c r="H1725" s="4" t="s">
        <v>508</v>
      </c>
      <c r="I1725" s="141"/>
      <c r="J1725" s="141"/>
      <c r="K1725" s="238">
        <v>105600000</v>
      </c>
      <c r="L1725" s="239" t="s">
        <v>8</v>
      </c>
      <c r="M1725" s="239" t="s">
        <v>23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>x</v>
      </c>
      <c r="Z1725" s="121"/>
    </row>
    <row r="1726" spans="1:26" ht="15.75" customHeight="1">
      <c r="A1726" s="125" t="str">
        <f>IF(B1726&lt;&gt;"",IF(AND(B1726&gt;=_TM1,B1726&lt;=_TM2,OR(TH!L1726="1111",TH!M1726="1111")),TH!D1726,""),"")</f>
        <v/>
      </c>
      <c r="B1726" s="11">
        <f t="shared" si="140"/>
        <v>9</v>
      </c>
      <c r="C1726" s="110">
        <v>40816</v>
      </c>
      <c r="D1726" s="110" t="s">
        <v>311</v>
      </c>
      <c r="E1726" s="110">
        <v>40816</v>
      </c>
      <c r="F1726" s="114" t="s">
        <v>347</v>
      </c>
      <c r="G1726" s="240" t="s">
        <v>307</v>
      </c>
      <c r="H1726" s="4"/>
      <c r="I1726" s="141"/>
      <c r="J1726" s="141"/>
      <c r="K1726" s="238">
        <v>16399</v>
      </c>
      <c r="L1726" s="239" t="s">
        <v>73</v>
      </c>
      <c r="M1726" s="239" t="s">
        <v>23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>x</v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>x</v>
      </c>
      <c r="Z1726" s="121">
        <v>9</v>
      </c>
    </row>
    <row r="1727" spans="1:26" ht="15.75" customHeight="1">
      <c r="A1727" s="125" t="str">
        <f>IF(B1727&lt;&gt;"",IF(AND(B1727&gt;=_TM1,B1727&lt;=_TM2,OR(TH!L1727="1111",TH!M1727="1111")),TH!D1727,""),"")</f>
        <v/>
      </c>
      <c r="B1727" s="11">
        <f t="shared" si="140"/>
        <v>9</v>
      </c>
      <c r="C1727" s="110">
        <v>40816</v>
      </c>
      <c r="D1727" s="110" t="s">
        <v>311</v>
      </c>
      <c r="E1727" s="110">
        <v>40816</v>
      </c>
      <c r="F1727" s="114" t="s">
        <v>1378</v>
      </c>
      <c r="G1727" s="240" t="s">
        <v>307</v>
      </c>
      <c r="H1727" s="4"/>
      <c r="I1727" s="141"/>
      <c r="J1727" s="141"/>
      <c r="K1727" s="238">
        <v>1640</v>
      </c>
      <c r="L1727" s="239" t="s">
        <v>9</v>
      </c>
      <c r="M1727" s="239" t="s">
        <v>23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>x</v>
      </c>
      <c r="Z1727" s="121">
        <v>9</v>
      </c>
    </row>
    <row r="1728" spans="1:26" ht="15.75" customHeight="1">
      <c r="A1728" s="125" t="str">
        <f>IF(B1728&lt;&gt;"",IF(AND(B1728&gt;=_TM1,B1728&lt;=_TM2,OR(TH!L1728="1111",TH!M1728="1111")),TH!D1728,""),"")</f>
        <v/>
      </c>
      <c r="B1728" s="11">
        <f t="shared" si="140"/>
        <v>10</v>
      </c>
      <c r="C1728" s="288">
        <f t="shared" ref="C1728:C1733" si="143">E1728</f>
        <v>40817</v>
      </c>
      <c r="D1728" s="288" t="s">
        <v>314</v>
      </c>
      <c r="E1728" s="312">
        <v>40817</v>
      </c>
      <c r="F1728" s="289" t="s">
        <v>752</v>
      </c>
      <c r="G1728" s="290"/>
      <c r="H1728" s="242"/>
      <c r="I1728" s="220"/>
      <c r="J1728" s="220"/>
      <c r="K1728" s="291">
        <v>18250000</v>
      </c>
      <c r="L1728" s="292" t="s">
        <v>153</v>
      </c>
      <c r="M1728" s="292" t="s">
        <v>238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21"/>
    </row>
    <row r="1729" spans="1:26" ht="15.75" customHeight="1">
      <c r="A1729" s="125" t="str">
        <f>IF(B1729&lt;&gt;"",IF(AND(B1729&gt;=_TM1,B1729&lt;=_TM2,OR(TH!L1729="1111",TH!M1729="1111")),TH!D1729,""),"")</f>
        <v/>
      </c>
      <c r="B1729" s="11">
        <f t="shared" si="140"/>
        <v>10</v>
      </c>
      <c r="C1729" s="288">
        <f t="shared" si="143"/>
        <v>40817</v>
      </c>
      <c r="D1729" s="288" t="s">
        <v>314</v>
      </c>
      <c r="E1729" s="312">
        <v>40817</v>
      </c>
      <c r="F1729" s="289" t="s">
        <v>753</v>
      </c>
      <c r="G1729" s="290"/>
      <c r="H1729" s="242"/>
      <c r="I1729" s="220"/>
      <c r="J1729" s="220"/>
      <c r="K1729" s="291">
        <v>4687116</v>
      </c>
      <c r="L1729" s="292" t="s">
        <v>153</v>
      </c>
      <c r="M1729" s="292" t="s">
        <v>744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21"/>
    </row>
    <row r="1730" spans="1:26" ht="15.75" customHeight="1">
      <c r="A1730" s="125" t="str">
        <f>IF(B1730&lt;&gt;"",IF(AND(B1730&gt;=_TM1,B1730&lt;=_TM2,OR(TH!L1730="1111",TH!M1730="1111")),TH!D1730,""),"")</f>
        <v/>
      </c>
      <c r="B1730" s="11">
        <f t="shared" si="140"/>
        <v>10</v>
      </c>
      <c r="C1730" s="115">
        <f t="shared" si="143"/>
        <v>40817</v>
      </c>
      <c r="D1730" s="12" t="s">
        <v>903</v>
      </c>
      <c r="E1730" s="304">
        <v>40817</v>
      </c>
      <c r="F1730" s="217" t="s">
        <v>365</v>
      </c>
      <c r="G1730" s="15"/>
      <c r="H1730" s="242" t="s">
        <v>1037</v>
      </c>
      <c r="I1730" s="141">
        <v>50</v>
      </c>
      <c r="J1730" s="141">
        <v>25000</v>
      </c>
      <c r="K1730" s="330">
        <f>ROUND(I1730*J1730,0)</f>
        <v>1250000</v>
      </c>
      <c r="L1730" s="14" t="s">
        <v>153</v>
      </c>
      <c r="M1730" s="14" t="s">
        <v>149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>x</v>
      </c>
      <c r="Y1730" s="25" t="str">
        <f>IF(AND(B1730&lt;=NKC!$N$8,B1730&gt;=NKC!$M$8),"x","")</f>
        <v/>
      </c>
      <c r="Z1730" s="121"/>
    </row>
    <row r="1731" spans="1:26" ht="15.75" customHeight="1">
      <c r="A1731" s="125" t="str">
        <f>IF(B1731&lt;&gt;"",IF(AND(B1731&gt;=_TM1,B1731&lt;=_TM2,OR(TH!L1731="1111",TH!M1731="1111")),TH!D1731,""),"")</f>
        <v/>
      </c>
      <c r="B1731" s="11">
        <f t="shared" si="140"/>
        <v>10</v>
      </c>
      <c r="C1731" s="115">
        <f t="shared" si="143"/>
        <v>40817</v>
      </c>
      <c r="D1731" s="12" t="s">
        <v>903</v>
      </c>
      <c r="E1731" s="304">
        <v>40817</v>
      </c>
      <c r="F1731" s="217" t="s">
        <v>452</v>
      </c>
      <c r="G1731" s="15"/>
      <c r="H1731" s="242" t="s">
        <v>1037</v>
      </c>
      <c r="I1731" s="141">
        <v>1</v>
      </c>
      <c r="J1731" s="141">
        <v>1300000</v>
      </c>
      <c r="K1731" s="330">
        <f>ROUND(I1731*J1731,0)</f>
        <v>1300000</v>
      </c>
      <c r="L1731" s="14" t="s">
        <v>153</v>
      </c>
      <c r="M1731" s="14" t="s">
        <v>149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21"/>
    </row>
    <row r="1732" spans="1:26" ht="15.75" customHeight="1">
      <c r="A1732" s="125" t="str">
        <f>IF(B1732&lt;&gt;"",IF(AND(B1732&gt;=_TM1,B1732&lt;=_TM2,OR(TH!L1732="1111",TH!M1732="1111")),TH!D1732,""),"")</f>
        <v/>
      </c>
      <c r="B1732" s="281">
        <f t="shared" si="140"/>
        <v>10</v>
      </c>
      <c r="C1732" s="324">
        <f t="shared" si="143"/>
        <v>40817</v>
      </c>
      <c r="D1732" s="324" t="s">
        <v>1036</v>
      </c>
      <c r="E1732" s="324">
        <v>40817</v>
      </c>
      <c r="F1732" s="15" t="s">
        <v>629</v>
      </c>
      <c r="G1732" s="325"/>
      <c r="H1732" s="242" t="s">
        <v>1037</v>
      </c>
      <c r="I1732" s="139">
        <v>1200</v>
      </c>
      <c r="J1732" s="139">
        <v>18995</v>
      </c>
      <c r="K1732" s="238">
        <f>ROUND(I1732*J1732,0)</f>
        <v>22794000</v>
      </c>
      <c r="L1732" s="25" t="s">
        <v>153</v>
      </c>
      <c r="M1732" s="25" t="s">
        <v>147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308"/>
    </row>
    <row r="1733" spans="1:26" ht="15.75" customHeight="1">
      <c r="A1733" s="125" t="str">
        <f>IF(B1733&lt;&gt;"",IF(AND(B1733&gt;=_TM1,B1733&lt;=_TM2,OR(TH!L1733="1111",TH!M1733="1111")),TH!D1733,""),"")</f>
        <v/>
      </c>
      <c r="B1733" s="281">
        <f t="shared" si="140"/>
        <v>10</v>
      </c>
      <c r="C1733" s="324">
        <f t="shared" si="143"/>
        <v>40817</v>
      </c>
      <c r="D1733" s="324" t="s">
        <v>1036</v>
      </c>
      <c r="E1733" s="324">
        <v>40817</v>
      </c>
      <c r="F1733" s="15" t="s">
        <v>625</v>
      </c>
      <c r="G1733" s="325"/>
      <c r="H1733" s="242" t="s">
        <v>1037</v>
      </c>
      <c r="I1733" s="139">
        <v>1460</v>
      </c>
      <c r="J1733" s="139">
        <v>19365</v>
      </c>
      <c r="K1733" s="238">
        <f>ROUND(I1733*J1733,0)</f>
        <v>28272900</v>
      </c>
      <c r="L1733" s="25" t="s">
        <v>153</v>
      </c>
      <c r="M1733" s="25" t="s">
        <v>147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308"/>
    </row>
    <row r="1734" spans="1:26" ht="15.75" customHeight="1">
      <c r="A1734" s="125" t="str">
        <f>IF(B1734&lt;&gt;"",IF(AND(B1734&gt;=_TM1,B1734&lt;=_TM2,OR(TH!L1734="1111",TH!M1734="1111")),TH!D1734,""),"")</f>
        <v>C01</v>
      </c>
      <c r="B1734" s="11">
        <f t="shared" si="140"/>
        <v>10</v>
      </c>
      <c r="C1734" s="115">
        <v>40819</v>
      </c>
      <c r="D1734" s="115" t="s">
        <v>411</v>
      </c>
      <c r="E1734" s="115">
        <v>40819</v>
      </c>
      <c r="F1734" s="154" t="s">
        <v>349</v>
      </c>
      <c r="G1734" s="224" t="s">
        <v>1166</v>
      </c>
      <c r="H1734" s="4" t="s">
        <v>348</v>
      </c>
      <c r="I1734" s="143">
        <v>40</v>
      </c>
      <c r="J1734" s="143">
        <v>40000</v>
      </c>
      <c r="K1734" s="238">
        <v>1600000</v>
      </c>
      <c r="L1734" s="118" t="s">
        <v>153</v>
      </c>
      <c r="M1734" s="118" t="s">
        <v>44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21">
        <v>10</v>
      </c>
    </row>
    <row r="1735" spans="1:26" ht="15.75" customHeight="1">
      <c r="A1735" s="125" t="str">
        <f>IF(B1735&lt;&gt;"",IF(AND(B1735&gt;=_TM1,B1735&lt;=_TM2,OR(TH!L1735="1111",TH!M1735="1111")),TH!D1735,""),"")</f>
        <v>C01</v>
      </c>
      <c r="B1735" s="11">
        <f t="shared" si="140"/>
        <v>10</v>
      </c>
      <c r="C1735" s="115">
        <v>40819</v>
      </c>
      <c r="D1735" s="115" t="s">
        <v>411</v>
      </c>
      <c r="E1735" s="115">
        <v>40819</v>
      </c>
      <c r="F1735" s="116" t="s">
        <v>1110</v>
      </c>
      <c r="G1735" s="224" t="s">
        <v>1166</v>
      </c>
      <c r="H1735" s="4" t="s">
        <v>348</v>
      </c>
      <c r="I1735" s="141"/>
      <c r="J1735" s="141"/>
      <c r="K1735" s="13">
        <v>160000</v>
      </c>
      <c r="L1735" s="118" t="s">
        <v>9</v>
      </c>
      <c r="M1735" s="118" t="s">
        <v>44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21">
        <v>10</v>
      </c>
    </row>
    <row r="1736" spans="1:26" ht="15.75" customHeight="1">
      <c r="A1736" s="125" t="str">
        <f>IF(B1736&lt;&gt;"",IF(AND(B1736&gt;=_TM1,B1736&lt;=_TM2,OR(TH!L1736="1111",TH!M1736="1111")),TH!D1736,""),"")</f>
        <v>C02</v>
      </c>
      <c r="B1736" s="11">
        <f t="shared" si="140"/>
        <v>10</v>
      </c>
      <c r="C1736" s="115">
        <v>40821</v>
      </c>
      <c r="D1736" s="115" t="s">
        <v>412</v>
      </c>
      <c r="E1736" s="115">
        <v>40821</v>
      </c>
      <c r="F1736" s="116" t="s">
        <v>1113</v>
      </c>
      <c r="G1736" s="224" t="s">
        <v>1167</v>
      </c>
      <c r="H1736" s="117" t="s">
        <v>1168</v>
      </c>
      <c r="I1736" s="141"/>
      <c r="J1736" s="141"/>
      <c r="K1736" s="13">
        <v>520000</v>
      </c>
      <c r="L1736" s="118" t="s">
        <v>239</v>
      </c>
      <c r="M1736" s="239" t="s">
        <v>44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21"/>
    </row>
    <row r="1737" spans="1:26" ht="15.75" customHeight="1">
      <c r="A1737" s="125" t="str">
        <f>IF(B1737&lt;&gt;"",IF(AND(B1737&gt;=_TM1,B1737&lt;=_TM2,OR(TH!L1737="1111",TH!M1737="1111")),TH!D1737,""),"")</f>
        <v/>
      </c>
      <c r="B1737" s="11">
        <f t="shared" si="140"/>
        <v>10</v>
      </c>
      <c r="C1737" s="115">
        <v>40821</v>
      </c>
      <c r="D1737" s="115" t="s">
        <v>905</v>
      </c>
      <c r="E1737" s="115">
        <v>40821</v>
      </c>
      <c r="F1737" s="116" t="s">
        <v>1179</v>
      </c>
      <c r="G1737" s="224" t="s">
        <v>1180</v>
      </c>
      <c r="H1737" s="117" t="s">
        <v>709</v>
      </c>
      <c r="I1737" s="141">
        <v>2420</v>
      </c>
      <c r="J1737" s="141">
        <v>17447.77438016529</v>
      </c>
      <c r="K1737" s="238">
        <v>42223614</v>
      </c>
      <c r="L1737" s="118" t="s">
        <v>237</v>
      </c>
      <c r="M1737" s="118" t="s">
        <v>163</v>
      </c>
      <c r="N1737" s="25" t="str">
        <f>IF(AND('331-CT'!$E$7=TH!H1737,OR(L1737="331",M1737="331")),"331",IF(AND(OR(L1737="131",M1737="131"),H1737='131-CT'!$E$7),"131",""))</f>
        <v>131</v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21"/>
    </row>
    <row r="1738" spans="1:26" ht="15.75" customHeight="1">
      <c r="A1738" s="125" t="str">
        <f>IF(B1738&lt;&gt;"",IF(AND(B1738&gt;=_TM1,B1738&lt;=_TM2,OR(TH!L1738="1111",TH!M1738="1111")),TH!D1738,""),"")</f>
        <v/>
      </c>
      <c r="B1738" s="11">
        <f t="shared" si="140"/>
        <v>10</v>
      </c>
      <c r="C1738" s="115">
        <v>40821</v>
      </c>
      <c r="D1738" s="115" t="s">
        <v>905</v>
      </c>
      <c r="E1738" s="115">
        <v>40821</v>
      </c>
      <c r="F1738" s="116" t="s">
        <v>1121</v>
      </c>
      <c r="G1738" s="224" t="s">
        <v>1180</v>
      </c>
      <c r="H1738" s="117" t="s">
        <v>709</v>
      </c>
      <c r="I1738" s="141"/>
      <c r="J1738" s="141"/>
      <c r="K1738" s="238">
        <f>4222361+2</f>
        <v>4222363</v>
      </c>
      <c r="L1738" s="118" t="s">
        <v>237</v>
      </c>
      <c r="M1738" s="118" t="s">
        <v>707</v>
      </c>
      <c r="N1738" s="25" t="str">
        <f>IF(AND('331-CT'!$E$7=TH!H1738,OR(L1738="331",M1738="331")),"331",IF(AND(OR(L1738="131",M1738="131"),H1738='131-CT'!$E$7),"131",""))</f>
        <v>131</v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21"/>
    </row>
    <row r="1739" spans="1:26" ht="15.75" customHeight="1">
      <c r="A1739" s="125" t="str">
        <f>IF(B1739&lt;&gt;"",IF(AND(B1739&gt;=_TM1,B1739&lt;=_TM2,OR(TH!L1739="1111",TH!M1739="1111")),TH!D1739,""),"")</f>
        <v/>
      </c>
      <c r="B1739" s="281">
        <f t="shared" si="140"/>
        <v>10</v>
      </c>
      <c r="C1739" s="324">
        <f>E1739</f>
        <v>40821</v>
      </c>
      <c r="D1739" s="21" t="s">
        <v>1057</v>
      </c>
      <c r="E1739" s="324">
        <v>40821</v>
      </c>
      <c r="F1739" s="331" t="s">
        <v>1179</v>
      </c>
      <c r="G1739" s="22"/>
      <c r="H1739" s="332" t="s">
        <v>1037</v>
      </c>
      <c r="I1739" s="139">
        <v>2420</v>
      </c>
      <c r="J1739" s="139">
        <v>10717.516450308252</v>
      </c>
      <c r="K1739" s="285">
        <f>ROUND(I1739*J1739,0)</f>
        <v>25936390</v>
      </c>
      <c r="L1739" s="25" t="s">
        <v>155</v>
      </c>
      <c r="M1739" s="25" t="s">
        <v>153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308"/>
    </row>
    <row r="1740" spans="1:26" ht="15.75" customHeight="1">
      <c r="A1740" s="125" t="str">
        <f>IF(B1740&lt;&gt;"",IF(AND(B1740&gt;=_TM1,B1740&lt;=_TM2,OR(TH!L1740="1111",TH!M1740="1111")),TH!D1740,""),"")</f>
        <v/>
      </c>
      <c r="B1740" s="11">
        <f t="shared" si="140"/>
        <v>10</v>
      </c>
      <c r="C1740" s="324">
        <f>E1740</f>
        <v>40821</v>
      </c>
      <c r="D1740" s="21" t="s">
        <v>905</v>
      </c>
      <c r="E1740" s="324">
        <v>40821</v>
      </c>
      <c r="F1740" s="116" t="s">
        <v>1179</v>
      </c>
      <c r="G1740" s="224" t="s">
        <v>1180</v>
      </c>
      <c r="H1740" s="117" t="s">
        <v>709</v>
      </c>
      <c r="I1740" s="141">
        <v>2420</v>
      </c>
      <c r="J1740" s="141">
        <v>10717.516450308252</v>
      </c>
      <c r="K1740" s="238">
        <f>ROUND(I1740*J1740,0)</f>
        <v>25936390</v>
      </c>
      <c r="L1740" s="25" t="s">
        <v>161</v>
      </c>
      <c r="M1740" s="25" t="s">
        <v>155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21"/>
    </row>
    <row r="1741" spans="1:26" ht="15.75" customHeight="1">
      <c r="A1741" s="125" t="str">
        <f>IF(B1741&lt;&gt;"",IF(AND(B1741&gt;=_TM1,B1741&lt;=_TM2,OR(TH!L1741="1111",TH!M1741="1111")),TH!D1741,""),"")</f>
        <v/>
      </c>
      <c r="B1741" s="11">
        <f t="shared" si="140"/>
        <v>10</v>
      </c>
      <c r="C1741" s="110">
        <v>40822</v>
      </c>
      <c r="D1741" s="110" t="s">
        <v>310</v>
      </c>
      <c r="E1741" s="110">
        <v>40822</v>
      </c>
      <c r="F1741" s="114" t="s">
        <v>312</v>
      </c>
      <c r="G1741" s="240" t="s">
        <v>307</v>
      </c>
      <c r="H1741" s="117" t="s">
        <v>709</v>
      </c>
      <c r="I1741" s="141"/>
      <c r="J1741" s="141"/>
      <c r="K1741" s="238">
        <v>95076575</v>
      </c>
      <c r="L1741" s="239" t="s">
        <v>23</v>
      </c>
      <c r="M1741" s="239" t="s">
        <v>237</v>
      </c>
      <c r="N1741" s="25" t="str">
        <f>IF(AND('331-CT'!$E$7=TH!H1741,OR(L1741="331",M1741="331")),"331",IF(AND(OR(L1741="131",M1741="131"),H1741='131-CT'!$E$7),"131",""))</f>
        <v>131</v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21"/>
    </row>
    <row r="1742" spans="1:26" ht="15.75" customHeight="1">
      <c r="A1742" s="125" t="str">
        <f>IF(B1742&lt;&gt;"",IF(AND(B1742&gt;=_TM1,B1742&lt;=_TM2,OR(TH!L1742="1111",TH!M1742="1111")),TH!D1742,""),"")</f>
        <v/>
      </c>
      <c r="B1742" s="11">
        <f t="shared" si="140"/>
        <v>10</v>
      </c>
      <c r="C1742" s="115">
        <v>40822</v>
      </c>
      <c r="D1742" s="110" t="s">
        <v>671</v>
      </c>
      <c r="E1742" s="115">
        <v>40822</v>
      </c>
      <c r="F1742" s="346" t="s">
        <v>317</v>
      </c>
      <c r="G1742" s="248" t="s">
        <v>1169</v>
      </c>
      <c r="H1742" s="4" t="s">
        <v>369</v>
      </c>
      <c r="I1742" s="141">
        <v>48</v>
      </c>
      <c r="J1742" s="141">
        <v>42000</v>
      </c>
      <c r="K1742" s="238">
        <v>2016000</v>
      </c>
      <c r="L1742" s="239" t="s">
        <v>149</v>
      </c>
      <c r="M1742" s="239" t="s">
        <v>8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21">
        <v>10</v>
      </c>
    </row>
    <row r="1743" spans="1:26" ht="15.75" customHeight="1">
      <c r="A1743" s="125" t="str">
        <f>IF(B1743&lt;&gt;"",IF(AND(B1743&gt;=_TM1,B1743&lt;=_TM2,OR(TH!L1743="1111",TH!M1743="1111")),TH!D1743,""),"")</f>
        <v/>
      </c>
      <c r="B1743" s="11">
        <f t="shared" si="140"/>
        <v>10</v>
      </c>
      <c r="C1743" s="115">
        <v>40822</v>
      </c>
      <c r="D1743" s="110" t="s">
        <v>671</v>
      </c>
      <c r="E1743" s="115">
        <v>40822</v>
      </c>
      <c r="F1743" s="346" t="s">
        <v>318</v>
      </c>
      <c r="G1743" s="248" t="s">
        <v>1169</v>
      </c>
      <c r="H1743" s="4" t="s">
        <v>369</v>
      </c>
      <c r="I1743" s="141"/>
      <c r="J1743" s="141"/>
      <c r="K1743" s="238">
        <v>201600</v>
      </c>
      <c r="L1743" s="239" t="s">
        <v>9</v>
      </c>
      <c r="M1743" s="239" t="s">
        <v>8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21">
        <v>10</v>
      </c>
    </row>
    <row r="1744" spans="1:26" ht="15.75" customHeight="1">
      <c r="A1744" s="125" t="str">
        <f>IF(B1744&lt;&gt;"",IF(AND(B1744&gt;=_TM1,B1744&lt;=_TM2,OR(TH!L1744="1111",TH!M1744="1111")),TH!D1744,""),"")</f>
        <v>C03</v>
      </c>
      <c r="B1744" s="11">
        <f t="shared" si="140"/>
        <v>10</v>
      </c>
      <c r="C1744" s="115">
        <v>40822</v>
      </c>
      <c r="D1744" s="115" t="s">
        <v>413</v>
      </c>
      <c r="E1744" s="115">
        <v>40822</v>
      </c>
      <c r="F1744" s="116" t="s">
        <v>504</v>
      </c>
      <c r="G1744" s="248" t="s">
        <v>1169</v>
      </c>
      <c r="H1744" s="4" t="s">
        <v>369</v>
      </c>
      <c r="I1744" s="141"/>
      <c r="J1744" s="141"/>
      <c r="K1744" s="13">
        <v>2217600</v>
      </c>
      <c r="L1744" s="118" t="s">
        <v>8</v>
      </c>
      <c r="M1744" s="118" t="s">
        <v>44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21"/>
    </row>
    <row r="1745" spans="1:26" ht="15.75" customHeight="1">
      <c r="A1745" s="125" t="str">
        <f>IF(B1745&lt;&gt;"",IF(AND(B1745&gt;=_TM1,B1745&lt;=_TM2,OR(TH!L1745="1111",TH!M1745="1111")),TH!D1745,""),"")</f>
        <v>C03</v>
      </c>
      <c r="B1745" s="11">
        <f t="shared" si="140"/>
        <v>10</v>
      </c>
      <c r="C1745" s="115">
        <v>40822</v>
      </c>
      <c r="D1745" s="115" t="s">
        <v>413</v>
      </c>
      <c r="E1745" s="305">
        <v>40822</v>
      </c>
      <c r="F1745" s="116" t="s">
        <v>1113</v>
      </c>
      <c r="G1745" s="224" t="s">
        <v>1170</v>
      </c>
      <c r="H1745" s="117" t="s">
        <v>1168</v>
      </c>
      <c r="I1745" s="145"/>
      <c r="J1745" s="145"/>
      <c r="K1745" s="323">
        <v>510000</v>
      </c>
      <c r="L1745" s="118" t="s">
        <v>239</v>
      </c>
      <c r="M1745" s="239" t="s">
        <v>44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21"/>
    </row>
    <row r="1746" spans="1:26" ht="15.75" customHeight="1">
      <c r="A1746" s="125" t="str">
        <f>IF(B1746&lt;&gt;"",IF(AND(B1746&gt;=_TM1,B1746&lt;=_TM2,OR(TH!L1746="1111",TH!M1746="1111")),TH!D1746,""),"")</f>
        <v/>
      </c>
      <c r="B1746" s="11">
        <f t="shared" si="140"/>
        <v>10</v>
      </c>
      <c r="C1746" s="115">
        <f t="shared" ref="C1746:C1764" si="144">E1746</f>
        <v>40822</v>
      </c>
      <c r="D1746" s="12" t="s">
        <v>904</v>
      </c>
      <c r="E1746" s="304">
        <v>40822</v>
      </c>
      <c r="F1746" s="216" t="s">
        <v>317</v>
      </c>
      <c r="G1746" s="15"/>
      <c r="H1746" s="242" t="s">
        <v>1037</v>
      </c>
      <c r="I1746" s="141">
        <v>48</v>
      </c>
      <c r="J1746" s="141">
        <v>42000</v>
      </c>
      <c r="K1746" s="330">
        <f t="shared" ref="K1746:K1764" si="145">ROUND(I1746*J1746,0)</f>
        <v>2016000</v>
      </c>
      <c r="L1746" s="14" t="s">
        <v>153</v>
      </c>
      <c r="M1746" s="14" t="s">
        <v>149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21"/>
    </row>
    <row r="1747" spans="1:26" ht="15.75" customHeight="1">
      <c r="A1747" s="125" t="str">
        <f>IF(B1747&lt;&gt;"",IF(AND(B1747&gt;=_TM1,B1747&lt;=_TM2,OR(TH!L1747="1111",TH!M1747="1111")),TH!D1747,""),"")</f>
        <v/>
      </c>
      <c r="B1747" s="281">
        <f t="shared" si="140"/>
        <v>10</v>
      </c>
      <c r="C1747" s="324">
        <f t="shared" si="144"/>
        <v>40823</v>
      </c>
      <c r="D1747" s="324" t="s">
        <v>1038</v>
      </c>
      <c r="E1747" s="324">
        <v>40823</v>
      </c>
      <c r="F1747" s="346" t="s">
        <v>461</v>
      </c>
      <c r="G1747" s="325"/>
      <c r="H1747" s="242" t="s">
        <v>1037</v>
      </c>
      <c r="I1747" s="139">
        <v>50</v>
      </c>
      <c r="J1747" s="139">
        <v>19112</v>
      </c>
      <c r="K1747" s="238">
        <f t="shared" si="145"/>
        <v>955600</v>
      </c>
      <c r="L1747" s="25" t="s">
        <v>153</v>
      </c>
      <c r="M1747" s="25" t="s">
        <v>147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308"/>
    </row>
    <row r="1748" spans="1:26" ht="15.75" customHeight="1">
      <c r="A1748" s="125" t="str">
        <f>IF(B1748&lt;&gt;"",IF(AND(B1748&gt;=_TM1,B1748&lt;=_TM2,OR(TH!L1748="1111",TH!M1748="1111")),TH!D1748,""),"")</f>
        <v/>
      </c>
      <c r="B1748" s="281">
        <f t="shared" si="140"/>
        <v>10</v>
      </c>
      <c r="C1748" s="324">
        <f t="shared" si="144"/>
        <v>40823</v>
      </c>
      <c r="D1748" s="324" t="s">
        <v>1038</v>
      </c>
      <c r="E1748" s="324">
        <v>40823</v>
      </c>
      <c r="F1748" s="114" t="s">
        <v>540</v>
      </c>
      <c r="G1748" s="325"/>
      <c r="H1748" s="242" t="s">
        <v>1037</v>
      </c>
      <c r="I1748" s="139">
        <v>43</v>
      </c>
      <c r="J1748" s="139">
        <v>29843</v>
      </c>
      <c r="K1748" s="238">
        <f t="shared" si="145"/>
        <v>1283249</v>
      </c>
      <c r="L1748" s="25" t="s">
        <v>153</v>
      </c>
      <c r="M1748" s="25" t="s">
        <v>147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308"/>
    </row>
    <row r="1749" spans="1:26" ht="15.75" customHeight="1">
      <c r="A1749" s="125" t="str">
        <f>IF(B1749&lt;&gt;"",IF(AND(B1749&gt;=_TM1,B1749&lt;=_TM2,OR(TH!L1749="1111",TH!M1749="1111")),TH!D1749,""),"")</f>
        <v/>
      </c>
      <c r="B1749" s="281">
        <f t="shared" si="140"/>
        <v>10</v>
      </c>
      <c r="C1749" s="324">
        <f t="shared" si="144"/>
        <v>40823</v>
      </c>
      <c r="D1749" s="324" t="s">
        <v>1038</v>
      </c>
      <c r="E1749" s="324">
        <v>40823</v>
      </c>
      <c r="F1749" s="154" t="s">
        <v>356</v>
      </c>
      <c r="G1749" s="325"/>
      <c r="H1749" s="242" t="s">
        <v>1037</v>
      </c>
      <c r="I1749" s="139">
        <v>130</v>
      </c>
      <c r="J1749" s="139">
        <v>24346</v>
      </c>
      <c r="K1749" s="238">
        <f t="shared" si="145"/>
        <v>3164980</v>
      </c>
      <c r="L1749" s="25" t="s">
        <v>153</v>
      </c>
      <c r="M1749" s="25" t="s">
        <v>147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308"/>
    </row>
    <row r="1750" spans="1:26" ht="15.75" customHeight="1">
      <c r="A1750" s="125" t="str">
        <f>IF(B1750&lt;&gt;"",IF(AND(B1750&gt;=_TM1,B1750&lt;=_TM2,OR(TH!L1750="1111",TH!M1750="1111")),TH!D1750,""),"")</f>
        <v/>
      </c>
      <c r="B1750" s="11">
        <f t="shared" ref="B1750:B1813" si="146">IF(C1750&lt;&gt;"",MONTH(C1750),"")</f>
        <v>10</v>
      </c>
      <c r="C1750" s="324">
        <f t="shared" si="144"/>
        <v>40823</v>
      </c>
      <c r="D1750" s="324" t="s">
        <v>1038</v>
      </c>
      <c r="E1750" s="324">
        <v>40823</v>
      </c>
      <c r="F1750" s="114" t="s">
        <v>556</v>
      </c>
      <c r="G1750" s="224"/>
      <c r="H1750" s="242" t="s">
        <v>1037</v>
      </c>
      <c r="I1750" s="141">
        <v>140</v>
      </c>
      <c r="J1750" s="141">
        <v>7543</v>
      </c>
      <c r="K1750" s="238">
        <f t="shared" si="145"/>
        <v>1056020</v>
      </c>
      <c r="L1750" s="25" t="s">
        <v>153</v>
      </c>
      <c r="M1750" s="25" t="s">
        <v>147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21"/>
    </row>
    <row r="1751" spans="1:26" ht="15.75" customHeight="1">
      <c r="A1751" s="125" t="str">
        <f>IF(B1751&lt;&gt;"",IF(AND(B1751&gt;=_TM1,B1751&lt;=_TM2,OR(TH!L1751="1111",TH!M1751="1111")),TH!D1751,""),"")</f>
        <v/>
      </c>
      <c r="B1751" s="11">
        <f t="shared" si="146"/>
        <v>10</v>
      </c>
      <c r="C1751" s="324">
        <f t="shared" si="144"/>
        <v>40823</v>
      </c>
      <c r="D1751" s="324" t="s">
        <v>1038</v>
      </c>
      <c r="E1751" s="324">
        <v>40823</v>
      </c>
      <c r="F1751" s="15" t="s">
        <v>596</v>
      </c>
      <c r="G1751" s="224"/>
      <c r="H1751" s="242" t="s">
        <v>1037</v>
      </c>
      <c r="I1751" s="141">
        <v>10</v>
      </c>
      <c r="J1751" s="141">
        <v>32844</v>
      </c>
      <c r="K1751" s="238">
        <f t="shared" si="145"/>
        <v>328440</v>
      </c>
      <c r="L1751" s="25" t="s">
        <v>153</v>
      </c>
      <c r="M1751" s="25" t="s">
        <v>147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21"/>
    </row>
    <row r="1752" spans="1:26" ht="15.75" customHeight="1">
      <c r="A1752" s="125" t="str">
        <f>IF(B1752&lt;&gt;"",IF(AND(B1752&gt;=_TM1,B1752&lt;=_TM2,OR(TH!L1752="1111",TH!M1752="1111")),TH!D1752,""),"")</f>
        <v/>
      </c>
      <c r="B1752" s="11">
        <f t="shared" si="146"/>
        <v>10</v>
      </c>
      <c r="C1752" s="324">
        <f t="shared" si="144"/>
        <v>40823</v>
      </c>
      <c r="D1752" s="324" t="s">
        <v>1038</v>
      </c>
      <c r="E1752" s="324">
        <v>40823</v>
      </c>
      <c r="F1752" s="15" t="s">
        <v>567</v>
      </c>
      <c r="G1752" s="224"/>
      <c r="H1752" s="242" t="s">
        <v>1037</v>
      </c>
      <c r="I1752" s="141">
        <v>20</v>
      </c>
      <c r="J1752" s="141">
        <v>29721.8</v>
      </c>
      <c r="K1752" s="238">
        <f t="shared" si="145"/>
        <v>594436</v>
      </c>
      <c r="L1752" s="25" t="s">
        <v>153</v>
      </c>
      <c r="M1752" s="25" t="s">
        <v>147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21"/>
    </row>
    <row r="1753" spans="1:26" ht="15.75" customHeight="1">
      <c r="A1753" s="125" t="str">
        <f>IF(B1753&lt;&gt;"",IF(AND(B1753&gt;=_TM1,B1753&lt;=_TM2,OR(TH!L1753="1111",TH!M1753="1111")),TH!D1753,""),"")</f>
        <v/>
      </c>
      <c r="B1753" s="11">
        <f t="shared" si="146"/>
        <v>10</v>
      </c>
      <c r="C1753" s="324">
        <f t="shared" si="144"/>
        <v>40823</v>
      </c>
      <c r="D1753" s="324" t="s">
        <v>1038</v>
      </c>
      <c r="E1753" s="324">
        <v>40823</v>
      </c>
      <c r="F1753" s="15" t="s">
        <v>590</v>
      </c>
      <c r="G1753" s="15"/>
      <c r="H1753" s="242" t="s">
        <v>1037</v>
      </c>
      <c r="I1753" s="141">
        <v>16</v>
      </c>
      <c r="J1753" s="141">
        <v>19180</v>
      </c>
      <c r="K1753" s="238">
        <f t="shared" si="145"/>
        <v>306880</v>
      </c>
      <c r="L1753" s="25" t="s">
        <v>153</v>
      </c>
      <c r="M1753" s="25" t="s">
        <v>147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21"/>
    </row>
    <row r="1754" spans="1:26" ht="15.75" customHeight="1">
      <c r="A1754" s="125" t="str">
        <f>IF(B1754&lt;&gt;"",IF(AND(B1754&gt;=_TM1,B1754&lt;=_TM2,OR(TH!L1754="1111",TH!M1754="1111")),TH!D1754,""),"")</f>
        <v/>
      </c>
      <c r="B1754" s="11">
        <f t="shared" si="146"/>
        <v>10</v>
      </c>
      <c r="C1754" s="324">
        <f t="shared" si="144"/>
        <v>40823</v>
      </c>
      <c r="D1754" s="324" t="s">
        <v>1038</v>
      </c>
      <c r="E1754" s="324">
        <v>40823</v>
      </c>
      <c r="F1754" s="15" t="s">
        <v>589</v>
      </c>
      <c r="G1754" s="15"/>
      <c r="H1754" s="242" t="s">
        <v>1037</v>
      </c>
      <c r="I1754" s="141">
        <v>45</v>
      </c>
      <c r="J1754" s="141">
        <v>29792</v>
      </c>
      <c r="K1754" s="238">
        <f t="shared" si="145"/>
        <v>1340640</v>
      </c>
      <c r="L1754" s="25" t="s">
        <v>153</v>
      </c>
      <c r="M1754" s="25" t="s">
        <v>147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21"/>
    </row>
    <row r="1755" spans="1:26" ht="15.75" customHeight="1">
      <c r="A1755" s="125" t="str">
        <f>IF(B1755&lt;&gt;"",IF(AND(B1755&gt;=_TM1,B1755&lt;=_TM2,OR(TH!L1755="1111",TH!M1755="1111")),TH!D1755,""),"")</f>
        <v/>
      </c>
      <c r="B1755" s="11">
        <f t="shared" si="146"/>
        <v>10</v>
      </c>
      <c r="C1755" s="324">
        <f t="shared" si="144"/>
        <v>40823</v>
      </c>
      <c r="D1755" s="324" t="s">
        <v>1038</v>
      </c>
      <c r="E1755" s="324">
        <v>40823</v>
      </c>
      <c r="F1755" s="15" t="s">
        <v>593</v>
      </c>
      <c r="G1755" s="15"/>
      <c r="H1755" s="242" t="s">
        <v>1037</v>
      </c>
      <c r="I1755" s="141">
        <v>37</v>
      </c>
      <c r="J1755" s="141">
        <v>30058</v>
      </c>
      <c r="K1755" s="238">
        <f t="shared" si="145"/>
        <v>1112146</v>
      </c>
      <c r="L1755" s="25" t="s">
        <v>153</v>
      </c>
      <c r="M1755" s="25" t="s">
        <v>147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21"/>
    </row>
    <row r="1756" spans="1:26" ht="15.75" customHeight="1">
      <c r="A1756" s="125" t="str">
        <f>IF(B1756&lt;&gt;"",IF(AND(B1756&gt;=_TM1,B1756&lt;=_TM2,OR(TH!L1756="1111",TH!M1756="1111")),TH!D1756,""),"")</f>
        <v/>
      </c>
      <c r="B1756" s="11">
        <f t="shared" si="146"/>
        <v>10</v>
      </c>
      <c r="C1756" s="324">
        <f t="shared" si="144"/>
        <v>40826</v>
      </c>
      <c r="D1756" s="324" t="s">
        <v>1039</v>
      </c>
      <c r="E1756" s="12">
        <v>40826</v>
      </c>
      <c r="F1756" s="15" t="s">
        <v>602</v>
      </c>
      <c r="G1756" s="15"/>
      <c r="H1756" s="242" t="s">
        <v>1037</v>
      </c>
      <c r="I1756" s="141">
        <v>94</v>
      </c>
      <c r="J1756" s="141">
        <v>28980</v>
      </c>
      <c r="K1756" s="238">
        <f t="shared" si="145"/>
        <v>2724120</v>
      </c>
      <c r="L1756" s="25" t="s">
        <v>153</v>
      </c>
      <c r="M1756" s="25" t="s">
        <v>147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21"/>
    </row>
    <row r="1757" spans="1:26" ht="15.75" customHeight="1">
      <c r="A1757" s="125" t="str">
        <f>IF(B1757&lt;&gt;"",IF(AND(B1757&gt;=_TM1,B1757&lt;=_TM2,OR(TH!L1757="1111",TH!M1757="1111")),TH!D1757,""),"")</f>
        <v/>
      </c>
      <c r="B1757" s="11">
        <f t="shared" si="146"/>
        <v>10</v>
      </c>
      <c r="C1757" s="324">
        <f t="shared" si="144"/>
        <v>40826</v>
      </c>
      <c r="D1757" s="324" t="s">
        <v>1039</v>
      </c>
      <c r="E1757" s="12">
        <v>40826</v>
      </c>
      <c r="F1757" s="15" t="s">
        <v>595</v>
      </c>
      <c r="G1757" s="15"/>
      <c r="H1757" s="242" t="s">
        <v>1037</v>
      </c>
      <c r="I1757" s="141">
        <v>20</v>
      </c>
      <c r="J1757" s="141">
        <v>28560</v>
      </c>
      <c r="K1757" s="238">
        <f t="shared" si="145"/>
        <v>571200</v>
      </c>
      <c r="L1757" s="25" t="s">
        <v>153</v>
      </c>
      <c r="M1757" s="25" t="s">
        <v>147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21"/>
    </row>
    <row r="1758" spans="1:26" ht="15.75" customHeight="1">
      <c r="A1758" s="125" t="str">
        <f>IF(B1758&lt;&gt;"",IF(AND(B1758&gt;=_TM1,B1758&lt;=_TM2,OR(TH!L1758="1111",TH!M1758="1111")),TH!D1758,""),"")</f>
        <v/>
      </c>
      <c r="B1758" s="11">
        <f t="shared" si="146"/>
        <v>10</v>
      </c>
      <c r="C1758" s="324">
        <f t="shared" si="144"/>
        <v>40826</v>
      </c>
      <c r="D1758" s="324" t="s">
        <v>1039</v>
      </c>
      <c r="E1758" s="12">
        <v>40826</v>
      </c>
      <c r="F1758" s="114" t="s">
        <v>542</v>
      </c>
      <c r="G1758" s="15"/>
      <c r="H1758" s="242" t="s">
        <v>1037</v>
      </c>
      <c r="I1758" s="141">
        <v>17</v>
      </c>
      <c r="J1758" s="141">
        <v>29579</v>
      </c>
      <c r="K1758" s="238">
        <f t="shared" si="145"/>
        <v>502843</v>
      </c>
      <c r="L1758" s="25" t="s">
        <v>153</v>
      </c>
      <c r="M1758" s="25" t="s">
        <v>147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21"/>
    </row>
    <row r="1759" spans="1:26" ht="15.75" customHeight="1">
      <c r="A1759" s="125" t="str">
        <f>IF(B1759&lt;&gt;"",IF(AND(B1759&gt;=_TM1,B1759&lt;=_TM2,OR(TH!L1759="1111",TH!M1759="1111")),TH!D1759,""),"")</f>
        <v/>
      </c>
      <c r="B1759" s="11">
        <f t="shared" si="146"/>
        <v>10</v>
      </c>
      <c r="C1759" s="324">
        <f t="shared" si="144"/>
        <v>40826</v>
      </c>
      <c r="D1759" s="324" t="s">
        <v>1039</v>
      </c>
      <c r="E1759" s="12">
        <v>40826</v>
      </c>
      <c r="F1759" s="114" t="s">
        <v>467</v>
      </c>
      <c r="G1759" s="15"/>
      <c r="H1759" s="242" t="s">
        <v>1037</v>
      </c>
      <c r="I1759" s="141">
        <v>50</v>
      </c>
      <c r="J1759" s="141">
        <v>17427</v>
      </c>
      <c r="K1759" s="238">
        <f t="shared" si="145"/>
        <v>871350</v>
      </c>
      <c r="L1759" s="25" t="s">
        <v>153</v>
      </c>
      <c r="M1759" s="25" t="s">
        <v>147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21"/>
    </row>
    <row r="1760" spans="1:26" ht="15.75" customHeight="1">
      <c r="A1760" s="125" t="str">
        <f>IF(B1760&lt;&gt;"",IF(AND(B1760&gt;=_TM1,B1760&lt;=_TM2,OR(TH!L1760="1111",TH!M1760="1111")),TH!D1760,""),"")</f>
        <v/>
      </c>
      <c r="B1760" s="11">
        <f t="shared" si="146"/>
        <v>10</v>
      </c>
      <c r="C1760" s="324">
        <f t="shared" si="144"/>
        <v>40826</v>
      </c>
      <c r="D1760" s="324" t="s">
        <v>1039</v>
      </c>
      <c r="E1760" s="12">
        <v>40826</v>
      </c>
      <c r="F1760" s="114" t="s">
        <v>461</v>
      </c>
      <c r="G1760" s="15"/>
      <c r="H1760" s="242" t="s">
        <v>1037</v>
      </c>
      <c r="I1760" s="141">
        <v>100</v>
      </c>
      <c r="J1760" s="141">
        <v>19112</v>
      </c>
      <c r="K1760" s="238">
        <f t="shared" si="145"/>
        <v>1911200</v>
      </c>
      <c r="L1760" s="25" t="s">
        <v>153</v>
      </c>
      <c r="M1760" s="25" t="s">
        <v>147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21"/>
    </row>
    <row r="1761" spans="1:26" ht="15.75" customHeight="1">
      <c r="A1761" s="125" t="str">
        <f>IF(B1761&lt;&gt;"",IF(AND(B1761&gt;=_TM1,B1761&lt;=_TM2,OR(TH!L1761="1111",TH!M1761="1111")),TH!D1761,""),"")</f>
        <v/>
      </c>
      <c r="B1761" s="11">
        <f t="shared" si="146"/>
        <v>10</v>
      </c>
      <c r="C1761" s="324">
        <f t="shared" si="144"/>
        <v>40826</v>
      </c>
      <c r="D1761" s="324" t="s">
        <v>1039</v>
      </c>
      <c r="E1761" s="12">
        <v>40826</v>
      </c>
      <c r="F1761" s="114" t="s">
        <v>539</v>
      </c>
      <c r="G1761" s="15"/>
      <c r="H1761" s="242" t="s">
        <v>1037</v>
      </c>
      <c r="I1761" s="141">
        <v>100</v>
      </c>
      <c r="J1761" s="141">
        <v>18390</v>
      </c>
      <c r="K1761" s="238">
        <f t="shared" si="145"/>
        <v>1839000</v>
      </c>
      <c r="L1761" s="25" t="s">
        <v>153</v>
      </c>
      <c r="M1761" s="25" t="s">
        <v>147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21"/>
    </row>
    <row r="1762" spans="1:26" ht="15.75" customHeight="1">
      <c r="A1762" s="125" t="str">
        <f>IF(B1762&lt;&gt;"",IF(AND(B1762&gt;=_TM1,B1762&lt;=_TM2,OR(TH!L1762="1111",TH!M1762="1111")),TH!D1762,""),"")</f>
        <v/>
      </c>
      <c r="B1762" s="11">
        <f t="shared" si="146"/>
        <v>10</v>
      </c>
      <c r="C1762" s="324">
        <f t="shared" si="144"/>
        <v>40826</v>
      </c>
      <c r="D1762" s="324" t="s">
        <v>1039</v>
      </c>
      <c r="E1762" s="12">
        <v>40826</v>
      </c>
      <c r="F1762" s="15" t="s">
        <v>588</v>
      </c>
      <c r="G1762" s="15"/>
      <c r="H1762" s="242" t="s">
        <v>1037</v>
      </c>
      <c r="I1762" s="141">
        <v>60</v>
      </c>
      <c r="J1762" s="141">
        <v>18396</v>
      </c>
      <c r="K1762" s="238">
        <f t="shared" si="145"/>
        <v>1103760</v>
      </c>
      <c r="L1762" s="25" t="s">
        <v>153</v>
      </c>
      <c r="M1762" s="25" t="s">
        <v>147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21"/>
    </row>
    <row r="1763" spans="1:26" ht="15.75" customHeight="1">
      <c r="A1763" s="125" t="str">
        <f>IF(B1763&lt;&gt;"",IF(AND(B1763&gt;=_TM1,B1763&lt;=_TM2,OR(TH!L1763="1111",TH!M1763="1111")),TH!D1763,""),"")</f>
        <v/>
      </c>
      <c r="B1763" s="11">
        <f t="shared" si="146"/>
        <v>10</v>
      </c>
      <c r="C1763" s="324">
        <f t="shared" si="144"/>
        <v>40826</v>
      </c>
      <c r="D1763" s="324" t="s">
        <v>1039</v>
      </c>
      <c r="E1763" s="12">
        <v>40826</v>
      </c>
      <c r="F1763" s="114" t="s">
        <v>527</v>
      </c>
      <c r="G1763" s="15"/>
      <c r="H1763" s="242" t="s">
        <v>1037</v>
      </c>
      <c r="I1763" s="141">
        <v>130</v>
      </c>
      <c r="J1763" s="141">
        <v>22476</v>
      </c>
      <c r="K1763" s="238">
        <f t="shared" si="145"/>
        <v>2921880</v>
      </c>
      <c r="L1763" s="25" t="s">
        <v>153</v>
      </c>
      <c r="M1763" s="25" t="s">
        <v>147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21"/>
    </row>
    <row r="1764" spans="1:26" ht="15.75" customHeight="1">
      <c r="A1764" s="125" t="str">
        <f>IF(B1764&lt;&gt;"",IF(AND(B1764&gt;=_TM1,B1764&lt;=_TM2,OR(TH!L1764="1111",TH!M1764="1111")),TH!D1764,""),"")</f>
        <v/>
      </c>
      <c r="B1764" s="11">
        <f t="shared" si="146"/>
        <v>10</v>
      </c>
      <c r="C1764" s="324">
        <f t="shared" si="144"/>
        <v>40826</v>
      </c>
      <c r="D1764" s="324" t="s">
        <v>1039</v>
      </c>
      <c r="E1764" s="12">
        <v>40826</v>
      </c>
      <c r="F1764" s="114" t="s">
        <v>531</v>
      </c>
      <c r="G1764" s="15"/>
      <c r="H1764" s="242" t="s">
        <v>1037</v>
      </c>
      <c r="I1764" s="141">
        <v>150</v>
      </c>
      <c r="J1764" s="141">
        <v>21158</v>
      </c>
      <c r="K1764" s="238">
        <f t="shared" si="145"/>
        <v>3173700</v>
      </c>
      <c r="L1764" s="25" t="s">
        <v>153</v>
      </c>
      <c r="M1764" s="25" t="s">
        <v>147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21"/>
    </row>
    <row r="1765" spans="1:26" ht="15.75" customHeight="1">
      <c r="A1765" s="125" t="str">
        <f>IF(B1765&lt;&gt;"",IF(AND(B1765&gt;=_TM1,B1765&lt;=_TM2,OR(TH!L1765="1111",TH!M1765="1111")),TH!D1765,""),"")</f>
        <v>T01</v>
      </c>
      <c r="B1765" s="11">
        <f t="shared" si="146"/>
        <v>10</v>
      </c>
      <c r="C1765" s="110">
        <v>40827</v>
      </c>
      <c r="D1765" s="110" t="s">
        <v>409</v>
      </c>
      <c r="E1765" s="110">
        <v>40827</v>
      </c>
      <c r="F1765" s="346" t="s">
        <v>1101</v>
      </c>
      <c r="G1765" s="240" t="s">
        <v>307</v>
      </c>
      <c r="H1765" s="117" t="s">
        <v>340</v>
      </c>
      <c r="I1765" s="141"/>
      <c r="J1765" s="141"/>
      <c r="K1765" s="238">
        <v>95000000</v>
      </c>
      <c r="L1765" s="239" t="s">
        <v>44</v>
      </c>
      <c r="M1765" s="239" t="s">
        <v>23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21"/>
    </row>
    <row r="1766" spans="1:26" ht="15.75" customHeight="1">
      <c r="A1766" s="125" t="str">
        <f>IF(B1766&lt;&gt;"",IF(AND(B1766&gt;=_TM1,B1766&lt;=_TM2,OR(TH!L1766="1111",TH!M1766="1111")),TH!D1766,""),"")</f>
        <v/>
      </c>
      <c r="B1766" s="11">
        <f t="shared" si="146"/>
        <v>10</v>
      </c>
      <c r="C1766" s="115">
        <v>40831</v>
      </c>
      <c r="D1766" s="115" t="s">
        <v>906</v>
      </c>
      <c r="E1766" s="115">
        <v>40831</v>
      </c>
      <c r="F1766" s="116" t="s">
        <v>1181</v>
      </c>
      <c r="G1766" s="224" t="s">
        <v>1182</v>
      </c>
      <c r="H1766" s="117" t="s">
        <v>709</v>
      </c>
      <c r="I1766" s="141">
        <v>2954.1641048824595</v>
      </c>
      <c r="J1766" s="141">
        <v>19908</v>
      </c>
      <c r="K1766" s="238">
        <v>58811499</v>
      </c>
      <c r="L1766" s="118" t="s">
        <v>237</v>
      </c>
      <c r="M1766" s="118" t="s">
        <v>163</v>
      </c>
      <c r="N1766" s="25" t="str">
        <f>IF(AND('331-CT'!$E$7=TH!H1766,OR(L1766="331",M1766="331")),"331",IF(AND(OR(L1766="131",M1766="131"),H1766='131-CT'!$E$7),"131",""))</f>
        <v>131</v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>x</v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21"/>
    </row>
    <row r="1767" spans="1:26" ht="15.75" customHeight="1">
      <c r="A1767" s="125" t="str">
        <f>IF(B1767&lt;&gt;"",IF(AND(B1767&gt;=_TM1,B1767&lt;=_TM2,OR(TH!L1767="1111",TH!M1767="1111")),TH!D1767,""),"")</f>
        <v/>
      </c>
      <c r="B1767" s="11">
        <f t="shared" si="146"/>
        <v>10</v>
      </c>
      <c r="C1767" s="115">
        <v>40831</v>
      </c>
      <c r="D1767" s="115" t="s">
        <v>906</v>
      </c>
      <c r="E1767" s="115">
        <v>40831</v>
      </c>
      <c r="F1767" s="116" t="s">
        <v>1121</v>
      </c>
      <c r="G1767" s="224" t="s">
        <v>1182</v>
      </c>
      <c r="H1767" s="117" t="s">
        <v>709</v>
      </c>
      <c r="I1767" s="141"/>
      <c r="J1767" s="141"/>
      <c r="K1767" s="238">
        <f>5881150+1</f>
        <v>5881151</v>
      </c>
      <c r="L1767" s="118" t="s">
        <v>237</v>
      </c>
      <c r="M1767" s="118" t="s">
        <v>707</v>
      </c>
      <c r="N1767" s="25" t="str">
        <f>IF(AND('331-CT'!$E$7=TH!H1767,OR(L1767="331",M1767="331")),"331",IF(AND(OR(L1767="131",M1767="131"),H1767='131-CT'!$E$7),"131",""))</f>
        <v>131</v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21"/>
    </row>
    <row r="1768" spans="1:26" ht="15.75" customHeight="1">
      <c r="A1768" s="125" t="str">
        <f>IF(B1768&lt;&gt;"",IF(AND(B1768&gt;=_TM1,B1768&lt;=_TM2,OR(TH!L1768="1111",TH!M1768="1111")),TH!D1768,""),"")</f>
        <v/>
      </c>
      <c r="B1768" s="11">
        <f t="shared" si="146"/>
        <v>10</v>
      </c>
      <c r="C1768" s="324">
        <f t="shared" ref="C1768:C1785" si="147">E1768</f>
        <v>40831</v>
      </c>
      <c r="D1768" s="324" t="s">
        <v>1040</v>
      </c>
      <c r="E1768" s="12">
        <v>40831</v>
      </c>
      <c r="F1768" s="15" t="s">
        <v>534</v>
      </c>
      <c r="G1768" s="15"/>
      <c r="H1768" s="242" t="s">
        <v>1037</v>
      </c>
      <c r="I1768" s="141">
        <v>90</v>
      </c>
      <c r="J1768" s="141">
        <v>24004.988888888889</v>
      </c>
      <c r="K1768" s="238">
        <f t="shared" ref="K1768:K1785" si="148">ROUND(I1768*J1768,0)</f>
        <v>2160449</v>
      </c>
      <c r="L1768" s="25" t="s">
        <v>153</v>
      </c>
      <c r="M1768" s="25" t="s">
        <v>147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21"/>
    </row>
    <row r="1769" spans="1:26" ht="15.75" customHeight="1">
      <c r="A1769" s="125" t="str">
        <f>IF(B1769&lt;&gt;"",IF(AND(B1769&gt;=_TM1,B1769&lt;=_TM2,OR(TH!L1769="1111",TH!M1769="1111")),TH!D1769,""),"")</f>
        <v/>
      </c>
      <c r="B1769" s="11">
        <f t="shared" si="146"/>
        <v>10</v>
      </c>
      <c r="C1769" s="324">
        <f t="shared" si="147"/>
        <v>40831</v>
      </c>
      <c r="D1769" s="324" t="s">
        <v>1040</v>
      </c>
      <c r="E1769" s="12">
        <v>40831</v>
      </c>
      <c r="F1769" s="114" t="s">
        <v>606</v>
      </c>
      <c r="G1769" s="15"/>
      <c r="H1769" s="242" t="s">
        <v>1037</v>
      </c>
      <c r="I1769" s="141">
        <v>94</v>
      </c>
      <c r="J1769" s="141">
        <v>27175</v>
      </c>
      <c r="K1769" s="238">
        <f t="shared" si="148"/>
        <v>2554450</v>
      </c>
      <c r="L1769" s="25" t="s">
        <v>153</v>
      </c>
      <c r="M1769" s="25" t="s">
        <v>147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21"/>
    </row>
    <row r="1770" spans="1:26" ht="15.75" customHeight="1">
      <c r="A1770" s="125" t="str">
        <f>IF(B1770&lt;&gt;"",IF(AND(B1770&gt;=_TM1,B1770&lt;=_TM2,OR(TH!L1770="1111",TH!M1770="1111")),TH!D1770,""),"")</f>
        <v/>
      </c>
      <c r="B1770" s="11">
        <f t="shared" si="146"/>
        <v>10</v>
      </c>
      <c r="C1770" s="324">
        <f t="shared" si="147"/>
        <v>40831</v>
      </c>
      <c r="D1770" s="324" t="s">
        <v>1040</v>
      </c>
      <c r="E1770" s="12">
        <v>40831</v>
      </c>
      <c r="F1770" s="114" t="s">
        <v>467</v>
      </c>
      <c r="G1770" s="15"/>
      <c r="H1770" s="242" t="s">
        <v>1037</v>
      </c>
      <c r="I1770" s="141">
        <v>64</v>
      </c>
      <c r="J1770" s="141">
        <v>17427</v>
      </c>
      <c r="K1770" s="238">
        <f t="shared" si="148"/>
        <v>1115328</v>
      </c>
      <c r="L1770" s="25" t="s">
        <v>153</v>
      </c>
      <c r="M1770" s="25" t="s">
        <v>147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21"/>
    </row>
    <row r="1771" spans="1:26" ht="15.75" customHeight="1">
      <c r="A1771" s="125" t="str">
        <f>IF(B1771&lt;&gt;"",IF(AND(B1771&gt;=_TM1,B1771&lt;=_TM2,OR(TH!L1771="1111",TH!M1771="1111")),TH!D1771,""),"")</f>
        <v/>
      </c>
      <c r="B1771" s="11">
        <f t="shared" si="146"/>
        <v>10</v>
      </c>
      <c r="C1771" s="324">
        <f t="shared" si="147"/>
        <v>40831</v>
      </c>
      <c r="D1771" s="324" t="s">
        <v>1040</v>
      </c>
      <c r="E1771" s="12">
        <v>40831</v>
      </c>
      <c r="F1771" s="114" t="s">
        <v>467</v>
      </c>
      <c r="G1771" s="15"/>
      <c r="H1771" s="242" t="s">
        <v>1037</v>
      </c>
      <c r="I1771" s="141">
        <v>107</v>
      </c>
      <c r="J1771" s="141">
        <v>17427</v>
      </c>
      <c r="K1771" s="238">
        <f t="shared" si="148"/>
        <v>1864689</v>
      </c>
      <c r="L1771" s="25" t="s">
        <v>153</v>
      </c>
      <c r="M1771" s="25" t="s">
        <v>147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21"/>
    </row>
    <row r="1772" spans="1:26" ht="15.75" customHeight="1">
      <c r="A1772" s="125" t="str">
        <f>IF(B1772&lt;&gt;"",IF(AND(B1772&gt;=_TM1,B1772&lt;=_TM2,OR(TH!L1772="1111",TH!M1772="1111")),TH!D1772,""),"")</f>
        <v/>
      </c>
      <c r="B1772" s="11">
        <f t="shared" si="146"/>
        <v>10</v>
      </c>
      <c r="C1772" s="324">
        <f t="shared" si="147"/>
        <v>40831</v>
      </c>
      <c r="D1772" s="324" t="s">
        <v>1040</v>
      </c>
      <c r="E1772" s="12">
        <v>40831</v>
      </c>
      <c r="F1772" s="114" t="s">
        <v>548</v>
      </c>
      <c r="G1772" s="15"/>
      <c r="H1772" s="242" t="s">
        <v>1037</v>
      </c>
      <c r="I1772" s="141">
        <v>104</v>
      </c>
      <c r="J1772" s="141">
        <v>23340</v>
      </c>
      <c r="K1772" s="238">
        <f t="shared" si="148"/>
        <v>2427360</v>
      </c>
      <c r="L1772" s="25" t="s">
        <v>153</v>
      </c>
      <c r="M1772" s="25" t="s">
        <v>147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21"/>
    </row>
    <row r="1773" spans="1:26" ht="15.75" customHeight="1">
      <c r="A1773" s="125" t="str">
        <f>IF(B1773&lt;&gt;"",IF(AND(B1773&gt;=_TM1,B1773&lt;=_TM2,OR(TH!L1773="1111",TH!M1773="1111")),TH!D1773,""),"")</f>
        <v/>
      </c>
      <c r="B1773" s="11">
        <f t="shared" si="146"/>
        <v>10</v>
      </c>
      <c r="C1773" s="324">
        <f t="shared" si="147"/>
        <v>40831</v>
      </c>
      <c r="D1773" s="324" t="s">
        <v>1040</v>
      </c>
      <c r="E1773" s="12">
        <v>40831</v>
      </c>
      <c r="F1773" s="15" t="s">
        <v>586</v>
      </c>
      <c r="G1773" s="15"/>
      <c r="H1773" s="242" t="s">
        <v>1037</v>
      </c>
      <c r="I1773" s="141">
        <v>182</v>
      </c>
      <c r="J1773" s="141">
        <v>19418</v>
      </c>
      <c r="K1773" s="238">
        <f t="shared" si="148"/>
        <v>3534076</v>
      </c>
      <c r="L1773" s="25" t="s">
        <v>153</v>
      </c>
      <c r="M1773" s="25" t="s">
        <v>147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21"/>
    </row>
    <row r="1774" spans="1:26" ht="15.75" customHeight="1">
      <c r="A1774" s="125" t="str">
        <f>IF(B1774&lt;&gt;"",IF(AND(B1774&gt;=_TM1,B1774&lt;=_TM2,OR(TH!L1774="1111",TH!M1774="1111")),TH!D1774,""),"")</f>
        <v/>
      </c>
      <c r="B1774" s="11">
        <f t="shared" si="146"/>
        <v>10</v>
      </c>
      <c r="C1774" s="324">
        <f t="shared" si="147"/>
        <v>40831</v>
      </c>
      <c r="D1774" s="324" t="s">
        <v>1040</v>
      </c>
      <c r="E1774" s="12">
        <v>40831</v>
      </c>
      <c r="F1774" s="114" t="s">
        <v>547</v>
      </c>
      <c r="G1774" s="15"/>
      <c r="H1774" s="242" t="s">
        <v>1037</v>
      </c>
      <c r="I1774" s="141">
        <v>104</v>
      </c>
      <c r="J1774" s="141">
        <v>27479</v>
      </c>
      <c r="K1774" s="238">
        <f t="shared" si="148"/>
        <v>2857816</v>
      </c>
      <c r="L1774" s="25" t="s">
        <v>153</v>
      </c>
      <c r="M1774" s="25" t="s">
        <v>147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21"/>
    </row>
    <row r="1775" spans="1:26" ht="15.75" customHeight="1">
      <c r="A1775" s="125" t="str">
        <f>IF(B1775&lt;&gt;"",IF(AND(B1775&gt;=_TM1,B1775&lt;=_TM2,OR(TH!L1775="1111",TH!M1775="1111")),TH!D1775,""),"")</f>
        <v/>
      </c>
      <c r="B1775" s="11">
        <f t="shared" si="146"/>
        <v>10</v>
      </c>
      <c r="C1775" s="324">
        <f t="shared" si="147"/>
        <v>40831</v>
      </c>
      <c r="D1775" s="324" t="s">
        <v>1040</v>
      </c>
      <c r="E1775" s="12">
        <v>40831</v>
      </c>
      <c r="F1775" s="154" t="s">
        <v>460</v>
      </c>
      <c r="G1775" s="15"/>
      <c r="H1775" s="242" t="s">
        <v>1037</v>
      </c>
      <c r="I1775" s="141">
        <v>52</v>
      </c>
      <c r="J1775" s="141">
        <v>35390</v>
      </c>
      <c r="K1775" s="238">
        <f t="shared" si="148"/>
        <v>1840280</v>
      </c>
      <c r="L1775" s="25" t="s">
        <v>153</v>
      </c>
      <c r="M1775" s="25" t="s">
        <v>147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21"/>
    </row>
    <row r="1776" spans="1:26" ht="15.75" customHeight="1">
      <c r="A1776" s="125" t="str">
        <f>IF(B1776&lt;&gt;"",IF(AND(B1776&gt;=_TM1,B1776&lt;=_TM2,OR(TH!L1776="1111",TH!M1776="1111")),TH!D1776,""),"")</f>
        <v/>
      </c>
      <c r="B1776" s="281">
        <f t="shared" si="146"/>
        <v>10</v>
      </c>
      <c r="C1776" s="324">
        <f t="shared" si="147"/>
        <v>40831</v>
      </c>
      <c r="D1776" s="21" t="s">
        <v>1058</v>
      </c>
      <c r="E1776" s="324">
        <v>40831</v>
      </c>
      <c r="F1776" s="331" t="s">
        <v>1181</v>
      </c>
      <c r="G1776" s="22"/>
      <c r="H1776" s="332" t="s">
        <v>1037</v>
      </c>
      <c r="I1776" s="139">
        <v>2954.1641048824595</v>
      </c>
      <c r="J1776" s="139">
        <v>10869.032366703337</v>
      </c>
      <c r="K1776" s="285">
        <f t="shared" si="148"/>
        <v>32108905</v>
      </c>
      <c r="L1776" s="25" t="s">
        <v>155</v>
      </c>
      <c r="M1776" s="25" t="s">
        <v>153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308"/>
    </row>
    <row r="1777" spans="1:26" ht="15.75" customHeight="1">
      <c r="A1777" s="125" t="str">
        <f>IF(B1777&lt;&gt;"",IF(AND(B1777&gt;=_TM1,B1777&lt;=_TM2,OR(TH!L1777="1111",TH!M1777="1111")),TH!D1777,""),"")</f>
        <v/>
      </c>
      <c r="B1777" s="11">
        <f t="shared" si="146"/>
        <v>10</v>
      </c>
      <c r="C1777" s="324">
        <f t="shared" si="147"/>
        <v>40831</v>
      </c>
      <c r="D1777" s="21" t="s">
        <v>906</v>
      </c>
      <c r="E1777" s="324">
        <v>40831</v>
      </c>
      <c r="F1777" s="116" t="s">
        <v>1181</v>
      </c>
      <c r="G1777" s="224" t="s">
        <v>1182</v>
      </c>
      <c r="H1777" s="117" t="s">
        <v>709</v>
      </c>
      <c r="I1777" s="141">
        <v>2954.1641048824595</v>
      </c>
      <c r="J1777" s="141">
        <v>10869.032366703337</v>
      </c>
      <c r="K1777" s="238">
        <f t="shared" si="148"/>
        <v>32108905</v>
      </c>
      <c r="L1777" s="25" t="s">
        <v>161</v>
      </c>
      <c r="M1777" s="25" t="s">
        <v>155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21"/>
    </row>
    <row r="1778" spans="1:26" ht="15.75" customHeight="1">
      <c r="A1778" s="125" t="str">
        <f>IF(B1778&lt;&gt;"",IF(AND(B1778&gt;=_TM1,B1778&lt;=_TM2,OR(TH!L1778="1111",TH!M1778="1111")),TH!D1778,""),"")</f>
        <v/>
      </c>
      <c r="B1778" s="11">
        <f t="shared" si="146"/>
        <v>10</v>
      </c>
      <c r="C1778" s="324">
        <f t="shared" si="147"/>
        <v>40832</v>
      </c>
      <c r="D1778" s="324" t="s">
        <v>1042</v>
      </c>
      <c r="E1778" s="12">
        <v>40832</v>
      </c>
      <c r="F1778" s="15" t="s">
        <v>592</v>
      </c>
      <c r="G1778" s="15"/>
      <c r="H1778" s="242" t="s">
        <v>1037</v>
      </c>
      <c r="I1778" s="141">
        <v>58</v>
      </c>
      <c r="J1778" s="141">
        <v>28476</v>
      </c>
      <c r="K1778" s="238">
        <f t="shared" si="148"/>
        <v>1651608</v>
      </c>
      <c r="L1778" s="25" t="s">
        <v>153</v>
      </c>
      <c r="M1778" s="25" t="s">
        <v>147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21"/>
    </row>
    <row r="1779" spans="1:26" ht="15.75" customHeight="1">
      <c r="A1779" s="125" t="str">
        <f>IF(B1779&lt;&gt;"",IF(AND(B1779&gt;=_TM1,B1779&lt;=_TM2,OR(TH!L1779="1111",TH!M1779="1111")),TH!D1779,""),"")</f>
        <v/>
      </c>
      <c r="B1779" s="11">
        <f t="shared" si="146"/>
        <v>10</v>
      </c>
      <c r="C1779" s="324">
        <f t="shared" si="147"/>
        <v>40832</v>
      </c>
      <c r="D1779" s="324" t="s">
        <v>1042</v>
      </c>
      <c r="E1779" s="12">
        <v>40832</v>
      </c>
      <c r="F1779" s="154" t="s">
        <v>459</v>
      </c>
      <c r="G1779" s="15"/>
      <c r="H1779" s="242" t="s">
        <v>1037</v>
      </c>
      <c r="I1779" s="141">
        <v>52</v>
      </c>
      <c r="J1779" s="141">
        <v>27720</v>
      </c>
      <c r="K1779" s="238">
        <f t="shared" si="148"/>
        <v>1441440</v>
      </c>
      <c r="L1779" s="25" t="s">
        <v>153</v>
      </c>
      <c r="M1779" s="25" t="s">
        <v>147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21"/>
    </row>
    <row r="1780" spans="1:26" ht="15.75" customHeight="1">
      <c r="A1780" s="125" t="str">
        <f>IF(B1780&lt;&gt;"",IF(AND(B1780&gt;=_TM1,B1780&lt;=_TM2,OR(TH!L1780="1111",TH!M1780="1111")),TH!D1780,""),"")</f>
        <v/>
      </c>
      <c r="B1780" s="11">
        <f t="shared" si="146"/>
        <v>10</v>
      </c>
      <c r="C1780" s="324">
        <f t="shared" si="147"/>
        <v>40832</v>
      </c>
      <c r="D1780" s="324" t="s">
        <v>1042</v>
      </c>
      <c r="E1780" s="12">
        <v>40832</v>
      </c>
      <c r="F1780" s="114" t="s">
        <v>522</v>
      </c>
      <c r="G1780" s="15"/>
      <c r="H1780" s="242" t="s">
        <v>1037</v>
      </c>
      <c r="I1780" s="141">
        <v>52</v>
      </c>
      <c r="J1780" s="141">
        <v>32850</v>
      </c>
      <c r="K1780" s="238">
        <f t="shared" si="148"/>
        <v>1708200</v>
      </c>
      <c r="L1780" s="25" t="s">
        <v>153</v>
      </c>
      <c r="M1780" s="25" t="s">
        <v>147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21"/>
    </row>
    <row r="1781" spans="1:26" ht="15.75" customHeight="1">
      <c r="A1781" s="125" t="str">
        <f>IF(B1781&lt;&gt;"",IF(AND(B1781&gt;=_TM1,B1781&lt;=_TM2,OR(TH!L1781="1111",TH!M1781="1111")),TH!D1781,""),"")</f>
        <v/>
      </c>
      <c r="B1781" s="11">
        <f t="shared" si="146"/>
        <v>10</v>
      </c>
      <c r="C1781" s="324">
        <f t="shared" si="147"/>
        <v>40832</v>
      </c>
      <c r="D1781" s="324" t="s">
        <v>1042</v>
      </c>
      <c r="E1781" s="12">
        <v>40832</v>
      </c>
      <c r="F1781" s="114" t="s">
        <v>498</v>
      </c>
      <c r="G1781" s="15"/>
      <c r="H1781" s="242" t="s">
        <v>1037</v>
      </c>
      <c r="I1781" s="141">
        <v>58</v>
      </c>
      <c r="J1781" s="141">
        <v>26880</v>
      </c>
      <c r="K1781" s="238">
        <f t="shared" si="148"/>
        <v>1559040</v>
      </c>
      <c r="L1781" s="25" t="s">
        <v>153</v>
      </c>
      <c r="M1781" s="25" t="s">
        <v>147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21"/>
    </row>
    <row r="1782" spans="1:26" ht="15.75" customHeight="1">
      <c r="A1782" s="125" t="str">
        <f>IF(B1782&lt;&gt;"",IF(AND(B1782&gt;=_TM1,B1782&lt;=_TM2,OR(TH!L1782="1111",TH!M1782="1111")),TH!D1782,""),"")</f>
        <v/>
      </c>
      <c r="B1782" s="11">
        <f t="shared" si="146"/>
        <v>10</v>
      </c>
      <c r="C1782" s="324">
        <f t="shared" si="147"/>
        <v>40832</v>
      </c>
      <c r="D1782" s="324" t="s">
        <v>1042</v>
      </c>
      <c r="E1782" s="12">
        <v>40832</v>
      </c>
      <c r="F1782" s="114" t="s">
        <v>613</v>
      </c>
      <c r="G1782" s="15"/>
      <c r="H1782" s="242" t="s">
        <v>1037</v>
      </c>
      <c r="I1782" s="141">
        <v>22</v>
      </c>
      <c r="J1782" s="141">
        <v>35812</v>
      </c>
      <c r="K1782" s="238">
        <f t="shared" si="148"/>
        <v>787864</v>
      </c>
      <c r="L1782" s="25" t="s">
        <v>153</v>
      </c>
      <c r="M1782" s="25" t="s">
        <v>147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21"/>
    </row>
    <row r="1783" spans="1:26" ht="15.75" customHeight="1">
      <c r="A1783" s="125" t="str">
        <f>IF(B1783&lt;&gt;"",IF(AND(B1783&gt;=_TM1,B1783&lt;=_TM2,OR(TH!L1783="1111",TH!M1783="1111")),TH!D1783,""),"")</f>
        <v/>
      </c>
      <c r="B1783" s="11">
        <f t="shared" si="146"/>
        <v>10</v>
      </c>
      <c r="C1783" s="324">
        <f t="shared" si="147"/>
        <v>40832</v>
      </c>
      <c r="D1783" s="324" t="s">
        <v>1042</v>
      </c>
      <c r="E1783" s="12">
        <v>40832</v>
      </c>
      <c r="F1783" s="114" t="s">
        <v>472</v>
      </c>
      <c r="G1783" s="15"/>
      <c r="H1783" s="242" t="s">
        <v>1037</v>
      </c>
      <c r="I1783" s="141">
        <v>52</v>
      </c>
      <c r="J1783" s="141">
        <v>43904</v>
      </c>
      <c r="K1783" s="238">
        <f t="shared" si="148"/>
        <v>2283008</v>
      </c>
      <c r="L1783" s="25" t="s">
        <v>153</v>
      </c>
      <c r="M1783" s="25" t="s">
        <v>147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21"/>
    </row>
    <row r="1784" spans="1:26" ht="15.75" customHeight="1">
      <c r="A1784" s="125" t="str">
        <f>IF(B1784&lt;&gt;"",IF(AND(B1784&gt;=_TM1,B1784&lt;=_TM2,OR(TH!L1784="1111",TH!M1784="1111")),TH!D1784,""),"")</f>
        <v/>
      </c>
      <c r="B1784" s="11">
        <f t="shared" si="146"/>
        <v>10</v>
      </c>
      <c r="C1784" s="324">
        <f t="shared" si="147"/>
        <v>40832</v>
      </c>
      <c r="D1784" s="324" t="s">
        <v>1042</v>
      </c>
      <c r="E1784" s="12">
        <v>40832</v>
      </c>
      <c r="F1784" s="114" t="s">
        <v>541</v>
      </c>
      <c r="G1784" s="15"/>
      <c r="H1784" s="242" t="s">
        <v>1037</v>
      </c>
      <c r="I1784" s="141">
        <v>43</v>
      </c>
      <c r="J1784" s="141">
        <v>28273</v>
      </c>
      <c r="K1784" s="238">
        <f t="shared" si="148"/>
        <v>1215739</v>
      </c>
      <c r="L1784" s="25" t="s">
        <v>153</v>
      </c>
      <c r="M1784" s="25" t="s">
        <v>147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21"/>
    </row>
    <row r="1785" spans="1:26" ht="15.75" customHeight="1">
      <c r="A1785" s="125" t="str">
        <f>IF(B1785&lt;&gt;"",IF(AND(B1785&gt;=_TM1,B1785&lt;=_TM2,OR(TH!L1785="1111",TH!M1785="1111")),TH!D1785,""),"")</f>
        <v/>
      </c>
      <c r="B1785" s="11">
        <f t="shared" si="146"/>
        <v>10</v>
      </c>
      <c r="C1785" s="324">
        <f t="shared" si="147"/>
        <v>40832</v>
      </c>
      <c r="D1785" s="324" t="s">
        <v>1042</v>
      </c>
      <c r="E1785" s="12">
        <v>40832</v>
      </c>
      <c r="F1785" s="114" t="s">
        <v>379</v>
      </c>
      <c r="G1785" s="15"/>
      <c r="H1785" s="242" t="s">
        <v>1037</v>
      </c>
      <c r="I1785" s="141">
        <v>10</v>
      </c>
      <c r="J1785" s="141">
        <v>24325</v>
      </c>
      <c r="K1785" s="238">
        <f t="shared" si="148"/>
        <v>243250</v>
      </c>
      <c r="L1785" s="25" t="s">
        <v>153</v>
      </c>
      <c r="M1785" s="25" t="s">
        <v>147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21"/>
    </row>
    <row r="1786" spans="1:26" ht="15.75" customHeight="1">
      <c r="A1786" s="125" t="str">
        <f>IF(B1786&lt;&gt;"",IF(AND(B1786&gt;=_TM1,B1786&lt;=_TM2,OR(TH!L1786="1111",TH!M1786="1111")),TH!D1786,""),"")</f>
        <v/>
      </c>
      <c r="B1786" s="11">
        <f t="shared" si="146"/>
        <v>10</v>
      </c>
      <c r="C1786" s="115">
        <v>40833</v>
      </c>
      <c r="D1786" s="115" t="s">
        <v>907</v>
      </c>
      <c r="E1786" s="115">
        <v>40833</v>
      </c>
      <c r="F1786" s="116" t="s">
        <v>1199</v>
      </c>
      <c r="G1786" s="224" t="s">
        <v>1183</v>
      </c>
      <c r="H1786" s="117" t="s">
        <v>709</v>
      </c>
      <c r="I1786" s="141">
        <v>100</v>
      </c>
      <c r="J1786" s="141">
        <v>14880</v>
      </c>
      <c r="K1786" s="238">
        <v>1488000</v>
      </c>
      <c r="L1786" s="118" t="s">
        <v>237</v>
      </c>
      <c r="M1786" s="118" t="s">
        <v>163</v>
      </c>
      <c r="N1786" s="25" t="str">
        <f>IF(AND('331-CT'!$E$7=TH!H1786,OR(L1786="331",M1786="331")),"331",IF(AND(OR(L1786="131",M1786="131"),H1786='131-CT'!$E$7),"131",""))</f>
        <v>131</v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21"/>
    </row>
    <row r="1787" spans="1:26" ht="15.75" customHeight="1">
      <c r="A1787" s="125" t="str">
        <f>IF(B1787&lt;&gt;"",IF(AND(B1787&gt;=_TM1,B1787&lt;=_TM2,OR(TH!L1787="1111",TH!M1787="1111")),TH!D1787,""),"")</f>
        <v/>
      </c>
      <c r="B1787" s="11">
        <f t="shared" si="146"/>
        <v>10</v>
      </c>
      <c r="C1787" s="115">
        <v>40833</v>
      </c>
      <c r="D1787" s="115" t="s">
        <v>907</v>
      </c>
      <c r="E1787" s="115">
        <v>40833</v>
      </c>
      <c r="F1787" s="116" t="s">
        <v>1200</v>
      </c>
      <c r="G1787" s="224" t="s">
        <v>1183</v>
      </c>
      <c r="H1787" s="117" t="s">
        <v>709</v>
      </c>
      <c r="I1787" s="141">
        <v>120</v>
      </c>
      <c r="J1787" s="141">
        <v>20820</v>
      </c>
      <c r="K1787" s="238">
        <v>2498400</v>
      </c>
      <c r="L1787" s="118" t="s">
        <v>237</v>
      </c>
      <c r="M1787" s="118" t="s">
        <v>163</v>
      </c>
      <c r="N1787" s="25" t="str">
        <f>IF(AND('331-CT'!$E$7=TH!H1787,OR(L1787="331",M1787="331")),"331",IF(AND(OR(L1787="131",M1787="131"),H1787='131-CT'!$E$7),"131",""))</f>
        <v>131</v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21"/>
    </row>
    <row r="1788" spans="1:26" ht="15.75" customHeight="1">
      <c r="A1788" s="125" t="str">
        <f>IF(B1788&lt;&gt;"",IF(AND(B1788&gt;=_TM1,B1788&lt;=_TM2,OR(TH!L1788="1111",TH!M1788="1111")),TH!D1788,""),"")</f>
        <v/>
      </c>
      <c r="B1788" s="11">
        <f t="shared" si="146"/>
        <v>10</v>
      </c>
      <c r="C1788" s="115">
        <v>40833</v>
      </c>
      <c r="D1788" s="115" t="s">
        <v>907</v>
      </c>
      <c r="E1788" s="115">
        <v>40833</v>
      </c>
      <c r="F1788" s="116" t="s">
        <v>1201</v>
      </c>
      <c r="G1788" s="224" t="s">
        <v>1183</v>
      </c>
      <c r="H1788" s="117" t="s">
        <v>709</v>
      </c>
      <c r="I1788" s="141">
        <v>250</v>
      </c>
      <c r="J1788" s="141">
        <v>26203</v>
      </c>
      <c r="K1788" s="238">
        <v>6550750</v>
      </c>
      <c r="L1788" s="118" t="s">
        <v>237</v>
      </c>
      <c r="M1788" s="118" t="s">
        <v>163</v>
      </c>
      <c r="N1788" s="25" t="str">
        <f>IF(AND('331-CT'!$E$7=TH!H1788,OR(L1788="331",M1788="331")),"331",IF(AND(OR(L1788="131",M1788="131"),H1788='131-CT'!$E$7),"131",""))</f>
        <v>131</v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21"/>
    </row>
    <row r="1789" spans="1:26" ht="15.75" customHeight="1">
      <c r="A1789" s="125" t="str">
        <f>IF(B1789&lt;&gt;"",IF(AND(B1789&gt;=_TM1,B1789&lt;=_TM2,OR(TH!L1789="1111",TH!M1789="1111")),TH!D1789,""),"")</f>
        <v/>
      </c>
      <c r="B1789" s="11">
        <f t="shared" si="146"/>
        <v>10</v>
      </c>
      <c r="C1789" s="115">
        <v>40833</v>
      </c>
      <c r="D1789" s="115" t="s">
        <v>907</v>
      </c>
      <c r="E1789" s="115">
        <v>40833</v>
      </c>
      <c r="F1789" s="116" t="s">
        <v>1202</v>
      </c>
      <c r="G1789" s="224" t="s">
        <v>1183</v>
      </c>
      <c r="H1789" s="117" t="s">
        <v>709</v>
      </c>
      <c r="I1789" s="141">
        <v>140</v>
      </c>
      <c r="J1789" s="141">
        <v>11355</v>
      </c>
      <c r="K1789" s="238">
        <v>1589700</v>
      </c>
      <c r="L1789" s="118" t="s">
        <v>237</v>
      </c>
      <c r="M1789" s="118" t="s">
        <v>163</v>
      </c>
      <c r="N1789" s="25" t="str">
        <f>IF(AND('331-CT'!$E$7=TH!H1789,OR(L1789="331",M1789="331")),"331",IF(AND(OR(L1789="131",M1789="131"),H1789='131-CT'!$E$7),"131",""))</f>
        <v>131</v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21"/>
    </row>
    <row r="1790" spans="1:26" ht="15.75" customHeight="1">
      <c r="A1790" s="125" t="str">
        <f>IF(B1790&lt;&gt;"",IF(AND(B1790&gt;=_TM1,B1790&lt;=_TM2,OR(TH!L1790="1111",TH!M1790="1111")),TH!D1790,""),"")</f>
        <v/>
      </c>
      <c r="B1790" s="11">
        <f t="shared" si="146"/>
        <v>10</v>
      </c>
      <c r="C1790" s="115">
        <v>40833</v>
      </c>
      <c r="D1790" s="115" t="s">
        <v>907</v>
      </c>
      <c r="E1790" s="115">
        <v>40833</v>
      </c>
      <c r="F1790" s="116" t="s">
        <v>1203</v>
      </c>
      <c r="G1790" s="224" t="s">
        <v>1183</v>
      </c>
      <c r="H1790" s="117" t="s">
        <v>709</v>
      </c>
      <c r="I1790" s="141">
        <v>50</v>
      </c>
      <c r="J1790" s="141">
        <v>11420</v>
      </c>
      <c r="K1790" s="238">
        <v>571000</v>
      </c>
      <c r="L1790" s="118" t="s">
        <v>237</v>
      </c>
      <c r="M1790" s="118" t="s">
        <v>163</v>
      </c>
      <c r="N1790" s="25" t="str">
        <f>IF(AND('331-CT'!$E$7=TH!H1790,OR(L1790="331",M1790="331")),"331",IF(AND(OR(L1790="131",M1790="131"),H1790='131-CT'!$E$7),"131",""))</f>
        <v>131</v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21"/>
    </row>
    <row r="1791" spans="1:26" ht="15.75" customHeight="1">
      <c r="A1791" s="125" t="str">
        <f>IF(B1791&lt;&gt;"",IF(AND(B1791&gt;=_TM1,B1791&lt;=_TM2,OR(TH!L1791="1111",TH!M1791="1111")),TH!D1791,""),"")</f>
        <v/>
      </c>
      <c r="B1791" s="11">
        <f t="shared" si="146"/>
        <v>10</v>
      </c>
      <c r="C1791" s="115">
        <v>40833</v>
      </c>
      <c r="D1791" s="115" t="s">
        <v>907</v>
      </c>
      <c r="E1791" s="115">
        <v>40833</v>
      </c>
      <c r="F1791" s="116" t="s">
        <v>1204</v>
      </c>
      <c r="G1791" s="224" t="s">
        <v>1183</v>
      </c>
      <c r="H1791" s="117" t="s">
        <v>709</v>
      </c>
      <c r="I1791" s="141">
        <v>70</v>
      </c>
      <c r="J1791" s="141">
        <v>14450</v>
      </c>
      <c r="K1791" s="238">
        <v>1011500</v>
      </c>
      <c r="L1791" s="118" t="s">
        <v>237</v>
      </c>
      <c r="M1791" s="118" t="s">
        <v>163</v>
      </c>
      <c r="N1791" s="25" t="str">
        <f>IF(AND('331-CT'!$E$7=TH!H1791,OR(L1791="331",M1791="331")),"331",IF(AND(OR(L1791="131",M1791="131"),H1791='131-CT'!$E$7),"131",""))</f>
        <v>131</v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21"/>
    </row>
    <row r="1792" spans="1:26" ht="15.75" customHeight="1">
      <c r="A1792" s="125" t="str">
        <f>IF(B1792&lt;&gt;"",IF(AND(B1792&gt;=_TM1,B1792&lt;=_TM2,OR(TH!L1792="1111",TH!M1792="1111")),TH!D1792,""),"")</f>
        <v/>
      </c>
      <c r="B1792" s="11">
        <f t="shared" si="146"/>
        <v>10</v>
      </c>
      <c r="C1792" s="115">
        <v>40833</v>
      </c>
      <c r="D1792" s="115" t="s">
        <v>907</v>
      </c>
      <c r="E1792" s="115">
        <v>40833</v>
      </c>
      <c r="F1792" s="116" t="s">
        <v>1205</v>
      </c>
      <c r="G1792" s="224" t="s">
        <v>1183</v>
      </c>
      <c r="H1792" s="117" t="s">
        <v>709</v>
      </c>
      <c r="I1792" s="141">
        <v>54</v>
      </c>
      <c r="J1792" s="141">
        <v>13881</v>
      </c>
      <c r="K1792" s="238">
        <v>749574</v>
      </c>
      <c r="L1792" s="118" t="s">
        <v>237</v>
      </c>
      <c r="M1792" s="118" t="s">
        <v>163</v>
      </c>
      <c r="N1792" s="25" t="str">
        <f>IF(AND('331-CT'!$E$7=TH!H1792,OR(L1792="331",M1792="331")),"331",IF(AND(OR(L1792="131",M1792="131"),H1792='131-CT'!$E$7),"131",""))</f>
        <v>131</v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21"/>
    </row>
    <row r="1793" spans="1:26" ht="15.75" customHeight="1">
      <c r="A1793" s="125" t="str">
        <f>IF(B1793&lt;&gt;"",IF(AND(B1793&gt;=_TM1,B1793&lt;=_TM2,OR(TH!L1793="1111",TH!M1793="1111")),TH!D1793,""),"")</f>
        <v/>
      </c>
      <c r="B1793" s="11">
        <f t="shared" si="146"/>
        <v>10</v>
      </c>
      <c r="C1793" s="115">
        <v>40833</v>
      </c>
      <c r="D1793" s="115" t="s">
        <v>907</v>
      </c>
      <c r="E1793" s="115">
        <v>40833</v>
      </c>
      <c r="F1793" s="116" t="s">
        <v>1206</v>
      </c>
      <c r="G1793" s="224" t="s">
        <v>1183</v>
      </c>
      <c r="H1793" s="117" t="s">
        <v>709</v>
      </c>
      <c r="I1793" s="141">
        <v>90</v>
      </c>
      <c r="J1793" s="141">
        <v>20891</v>
      </c>
      <c r="K1793" s="238">
        <v>1880190</v>
      </c>
      <c r="L1793" s="118" t="s">
        <v>237</v>
      </c>
      <c r="M1793" s="118" t="s">
        <v>163</v>
      </c>
      <c r="N1793" s="25" t="str">
        <f>IF(AND('331-CT'!$E$7=TH!H1793,OR(L1793="331",M1793="331")),"331",IF(AND(OR(L1793="131",M1793="131"),H1793='131-CT'!$E$7),"131",""))</f>
        <v>131</v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21"/>
    </row>
    <row r="1794" spans="1:26" ht="15.75" customHeight="1">
      <c r="A1794" s="125" t="str">
        <f>IF(B1794&lt;&gt;"",IF(AND(B1794&gt;=_TM1,B1794&lt;=_TM2,OR(TH!L1794="1111",TH!M1794="1111")),TH!D1794,""),"")</f>
        <v/>
      </c>
      <c r="B1794" s="11">
        <f t="shared" si="146"/>
        <v>10</v>
      </c>
      <c r="C1794" s="115">
        <v>40833</v>
      </c>
      <c r="D1794" s="115" t="s">
        <v>907</v>
      </c>
      <c r="E1794" s="115">
        <v>40833</v>
      </c>
      <c r="F1794" s="116" t="s">
        <v>1207</v>
      </c>
      <c r="G1794" s="224" t="s">
        <v>1183</v>
      </c>
      <c r="H1794" s="117" t="s">
        <v>709</v>
      </c>
      <c r="I1794" s="141">
        <v>100</v>
      </c>
      <c r="J1794" s="141">
        <v>16534</v>
      </c>
      <c r="K1794" s="238">
        <v>1653400</v>
      </c>
      <c r="L1794" s="118" t="s">
        <v>237</v>
      </c>
      <c r="M1794" s="118" t="s">
        <v>163</v>
      </c>
      <c r="N1794" s="25" t="str">
        <f>IF(AND('331-CT'!$E$7=TH!H1794,OR(L1794="331",M1794="331")),"331",IF(AND(OR(L1794="131",M1794="131"),H1794='131-CT'!$E$7),"131",""))</f>
        <v>131</v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21"/>
    </row>
    <row r="1795" spans="1:26" ht="15.75" customHeight="1">
      <c r="A1795" s="125" t="str">
        <f>IF(B1795&lt;&gt;"",IF(AND(B1795&gt;=_TM1,B1795&lt;=_TM2,OR(TH!L1795="1111",TH!M1795="1111")),TH!D1795,""),"")</f>
        <v/>
      </c>
      <c r="B1795" s="11">
        <f t="shared" si="146"/>
        <v>10</v>
      </c>
      <c r="C1795" s="115">
        <v>40833</v>
      </c>
      <c r="D1795" s="115" t="s">
        <v>907</v>
      </c>
      <c r="E1795" s="115">
        <v>40833</v>
      </c>
      <c r="F1795" s="116" t="s">
        <v>1206</v>
      </c>
      <c r="G1795" s="224" t="s">
        <v>1183</v>
      </c>
      <c r="H1795" s="117" t="s">
        <v>709</v>
      </c>
      <c r="I1795" s="141">
        <v>200</v>
      </c>
      <c r="J1795" s="141">
        <v>20981</v>
      </c>
      <c r="K1795" s="238">
        <v>4196200</v>
      </c>
      <c r="L1795" s="118" t="s">
        <v>237</v>
      </c>
      <c r="M1795" s="118" t="s">
        <v>163</v>
      </c>
      <c r="N1795" s="25" t="str">
        <f>IF(AND('331-CT'!$E$7=TH!H1795,OR(L1795="331",M1795="331")),"331",IF(AND(OR(L1795="131",M1795="131"),H1795='131-CT'!$E$7),"131",""))</f>
        <v>131</v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21"/>
    </row>
    <row r="1796" spans="1:26" ht="15.75" customHeight="1">
      <c r="A1796" s="125" t="str">
        <f>IF(B1796&lt;&gt;"",IF(AND(B1796&gt;=_TM1,B1796&lt;=_TM2,OR(TH!L1796="1111",TH!M1796="1111")),TH!D1796,""),"")</f>
        <v/>
      </c>
      <c r="B1796" s="11">
        <f t="shared" si="146"/>
        <v>10</v>
      </c>
      <c r="C1796" s="115">
        <v>40833</v>
      </c>
      <c r="D1796" s="115" t="s">
        <v>907</v>
      </c>
      <c r="E1796" s="115">
        <v>40833</v>
      </c>
      <c r="F1796" s="116" t="s">
        <v>1208</v>
      </c>
      <c r="G1796" s="224" t="s">
        <v>1183</v>
      </c>
      <c r="H1796" s="117" t="s">
        <v>709</v>
      </c>
      <c r="I1796" s="141">
        <v>50</v>
      </c>
      <c r="J1796" s="141">
        <v>15669</v>
      </c>
      <c r="K1796" s="238">
        <v>783450</v>
      </c>
      <c r="L1796" s="118" t="s">
        <v>237</v>
      </c>
      <c r="M1796" s="118" t="s">
        <v>163</v>
      </c>
      <c r="N1796" s="25" t="str">
        <f>IF(AND('331-CT'!$E$7=TH!H1796,OR(L1796="331",M1796="331")),"331",IF(AND(OR(L1796="131",M1796="131"),H1796='131-CT'!$E$7),"131",""))</f>
        <v>131</v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21"/>
    </row>
    <row r="1797" spans="1:26" ht="15.75" customHeight="1">
      <c r="A1797" s="125" t="str">
        <f>IF(B1797&lt;&gt;"",IF(AND(B1797&gt;=_TM1,B1797&lt;=_TM2,OR(TH!L1797="1111",TH!M1797="1111")),TH!D1797,""),"")</f>
        <v/>
      </c>
      <c r="B1797" s="11">
        <f t="shared" si="146"/>
        <v>10</v>
      </c>
      <c r="C1797" s="115">
        <v>40833</v>
      </c>
      <c r="D1797" s="115" t="s">
        <v>907</v>
      </c>
      <c r="E1797" s="115">
        <v>40833</v>
      </c>
      <c r="F1797" s="116" t="s">
        <v>1209</v>
      </c>
      <c r="G1797" s="224" t="s">
        <v>1183</v>
      </c>
      <c r="H1797" s="117" t="s">
        <v>709</v>
      </c>
      <c r="I1797" s="141">
        <v>30</v>
      </c>
      <c r="J1797" s="141">
        <v>20326</v>
      </c>
      <c r="K1797" s="238">
        <v>609780</v>
      </c>
      <c r="L1797" s="118" t="s">
        <v>237</v>
      </c>
      <c r="M1797" s="118" t="s">
        <v>163</v>
      </c>
      <c r="N1797" s="25" t="str">
        <f>IF(AND('331-CT'!$E$7=TH!H1797,OR(L1797="331",M1797="331")),"331",IF(AND(OR(L1797="131",M1797="131"),H1797='131-CT'!$E$7),"131",""))</f>
        <v>131</v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21"/>
    </row>
    <row r="1798" spans="1:26" ht="15.75" customHeight="1">
      <c r="A1798" s="125" t="str">
        <f>IF(B1798&lt;&gt;"",IF(AND(B1798&gt;=_TM1,B1798&lt;=_TM2,OR(TH!L1798="1111",TH!M1798="1111")),TH!D1798,""),"")</f>
        <v/>
      </c>
      <c r="B1798" s="11">
        <f t="shared" si="146"/>
        <v>10</v>
      </c>
      <c r="C1798" s="115">
        <v>40833</v>
      </c>
      <c r="D1798" s="115" t="s">
        <v>907</v>
      </c>
      <c r="E1798" s="115">
        <v>40833</v>
      </c>
      <c r="F1798" s="116" t="s">
        <v>1121</v>
      </c>
      <c r="G1798" s="224" t="s">
        <v>1183</v>
      </c>
      <c r="H1798" s="117" t="s">
        <v>709</v>
      </c>
      <c r="I1798" s="141"/>
      <c r="J1798" s="141"/>
      <c r="K1798" s="238">
        <f>2358194+1</f>
        <v>2358195</v>
      </c>
      <c r="L1798" s="118" t="s">
        <v>237</v>
      </c>
      <c r="M1798" s="118" t="s">
        <v>707</v>
      </c>
      <c r="N1798" s="25" t="str">
        <f>IF(AND('331-CT'!$E$7=TH!H1798,OR(L1798="331",M1798="331")),"331",IF(AND(OR(L1798="131",M1798="131"),H1798='131-CT'!$E$7),"131",""))</f>
        <v>131</v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21"/>
    </row>
    <row r="1799" spans="1:26" ht="15.75" customHeight="1">
      <c r="A1799" s="125" t="str">
        <f>IF(B1799&lt;&gt;"",IF(AND(B1799&gt;=_TM1,B1799&lt;=_TM2,OR(TH!L1799="1111",TH!M1799="1111")),TH!D1799,""),"")</f>
        <v/>
      </c>
      <c r="B1799" s="11">
        <f t="shared" si="146"/>
        <v>10</v>
      </c>
      <c r="C1799" s="324">
        <f t="shared" ref="C1799:C1832" si="149">E1799</f>
        <v>40833</v>
      </c>
      <c r="D1799" s="324" t="s">
        <v>1041</v>
      </c>
      <c r="E1799" s="12">
        <v>40833</v>
      </c>
      <c r="F1799" s="114" t="s">
        <v>467</v>
      </c>
      <c r="G1799" s="15"/>
      <c r="H1799" s="242" t="s">
        <v>1037</v>
      </c>
      <c r="I1799" s="141">
        <v>70</v>
      </c>
      <c r="J1799" s="141">
        <v>17427</v>
      </c>
      <c r="K1799" s="238">
        <f t="shared" ref="K1799:K1832" si="150">ROUND(I1799*J1799,0)</f>
        <v>1219890</v>
      </c>
      <c r="L1799" s="25" t="s">
        <v>153</v>
      </c>
      <c r="M1799" s="25" t="s">
        <v>147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21"/>
    </row>
    <row r="1800" spans="1:26" ht="15.75" customHeight="1">
      <c r="A1800" s="125" t="str">
        <f>IF(B1800&lt;&gt;"",IF(AND(B1800&gt;=_TM1,B1800&lt;=_TM2,OR(TH!L1800="1111",TH!M1800="1111")),TH!D1800,""),"")</f>
        <v/>
      </c>
      <c r="B1800" s="11">
        <f t="shared" si="146"/>
        <v>10</v>
      </c>
      <c r="C1800" s="324">
        <f t="shared" si="149"/>
        <v>40833</v>
      </c>
      <c r="D1800" s="324" t="s">
        <v>1041</v>
      </c>
      <c r="E1800" s="12">
        <v>40833</v>
      </c>
      <c r="F1800" s="15" t="s">
        <v>603</v>
      </c>
      <c r="G1800" s="15"/>
      <c r="H1800" s="242" t="s">
        <v>1037</v>
      </c>
      <c r="I1800" s="141">
        <v>46</v>
      </c>
      <c r="J1800" s="141">
        <v>23975</v>
      </c>
      <c r="K1800" s="238">
        <f t="shared" si="150"/>
        <v>1102850</v>
      </c>
      <c r="L1800" s="25" t="s">
        <v>153</v>
      </c>
      <c r="M1800" s="25" t="s">
        <v>147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21"/>
    </row>
    <row r="1801" spans="1:26" ht="15.75" customHeight="1">
      <c r="A1801" s="125" t="str">
        <f>IF(B1801&lt;&gt;"",IF(AND(B1801&gt;=_TM1,B1801&lt;=_TM2,OR(TH!L1801="1111",TH!M1801="1111")),TH!D1801,""),"")</f>
        <v/>
      </c>
      <c r="B1801" s="11">
        <f t="shared" si="146"/>
        <v>10</v>
      </c>
      <c r="C1801" s="324">
        <f t="shared" si="149"/>
        <v>40833</v>
      </c>
      <c r="D1801" s="324" t="s">
        <v>1041</v>
      </c>
      <c r="E1801" s="12">
        <v>40833</v>
      </c>
      <c r="F1801" s="15" t="s">
        <v>584</v>
      </c>
      <c r="G1801" s="15"/>
      <c r="H1801" s="242" t="s">
        <v>1037</v>
      </c>
      <c r="I1801" s="141">
        <v>132</v>
      </c>
      <c r="J1801" s="141">
        <v>21098</v>
      </c>
      <c r="K1801" s="238">
        <f t="shared" si="150"/>
        <v>2784936</v>
      </c>
      <c r="L1801" s="25" t="s">
        <v>153</v>
      </c>
      <c r="M1801" s="25" t="s">
        <v>147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21"/>
    </row>
    <row r="1802" spans="1:26" ht="15.75" customHeight="1">
      <c r="A1802" s="125" t="str">
        <f>IF(B1802&lt;&gt;"",IF(AND(B1802&gt;=_TM1,B1802&lt;=_TM2,OR(TH!L1802="1111",TH!M1802="1111")),TH!D1802,""),"")</f>
        <v/>
      </c>
      <c r="B1802" s="11">
        <f t="shared" si="146"/>
        <v>10</v>
      </c>
      <c r="C1802" s="324">
        <f t="shared" si="149"/>
        <v>40833</v>
      </c>
      <c r="D1802" s="324" t="s">
        <v>1041</v>
      </c>
      <c r="E1802" s="12">
        <v>40833</v>
      </c>
      <c r="F1802" s="15" t="s">
        <v>588</v>
      </c>
      <c r="G1802" s="15"/>
      <c r="H1802" s="242" t="s">
        <v>1037</v>
      </c>
      <c r="I1802" s="141">
        <v>50</v>
      </c>
      <c r="J1802" s="141">
        <v>18396</v>
      </c>
      <c r="K1802" s="238">
        <f t="shared" si="150"/>
        <v>919800</v>
      </c>
      <c r="L1802" s="25" t="s">
        <v>153</v>
      </c>
      <c r="M1802" s="25" t="s">
        <v>147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21"/>
    </row>
    <row r="1803" spans="1:26" ht="15.75" customHeight="1">
      <c r="A1803" s="125" t="str">
        <f>IF(B1803&lt;&gt;"",IF(AND(B1803&gt;=_TM1,B1803&lt;=_TM2,OR(TH!L1803="1111",TH!M1803="1111")),TH!D1803,""),"")</f>
        <v/>
      </c>
      <c r="B1803" s="11">
        <f t="shared" si="146"/>
        <v>10</v>
      </c>
      <c r="C1803" s="324">
        <f t="shared" si="149"/>
        <v>40833</v>
      </c>
      <c r="D1803" s="324" t="s">
        <v>1041</v>
      </c>
      <c r="E1803" s="12">
        <v>40833</v>
      </c>
      <c r="F1803" s="114" t="s">
        <v>467</v>
      </c>
      <c r="G1803" s="15"/>
      <c r="H1803" s="242" t="s">
        <v>1037</v>
      </c>
      <c r="I1803" s="141">
        <v>54</v>
      </c>
      <c r="J1803" s="141">
        <v>17427</v>
      </c>
      <c r="K1803" s="238">
        <f t="shared" si="150"/>
        <v>941058</v>
      </c>
      <c r="L1803" s="25" t="s">
        <v>153</v>
      </c>
      <c r="M1803" s="25" t="s">
        <v>147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21"/>
    </row>
    <row r="1804" spans="1:26" ht="15.75" customHeight="1">
      <c r="A1804" s="125" t="str">
        <f>IF(B1804&lt;&gt;"",IF(AND(B1804&gt;=_TM1,B1804&lt;=_TM2,OR(TH!L1804="1111",TH!M1804="1111")),TH!D1804,""),"")</f>
        <v/>
      </c>
      <c r="B1804" s="11">
        <f t="shared" si="146"/>
        <v>10</v>
      </c>
      <c r="C1804" s="324">
        <f t="shared" si="149"/>
        <v>40833</v>
      </c>
      <c r="D1804" s="324" t="s">
        <v>1041</v>
      </c>
      <c r="E1804" s="12">
        <v>40833</v>
      </c>
      <c r="F1804" s="15" t="s">
        <v>588</v>
      </c>
      <c r="G1804" s="15"/>
      <c r="H1804" s="242" t="s">
        <v>1037</v>
      </c>
      <c r="I1804" s="141">
        <v>50</v>
      </c>
      <c r="J1804" s="141">
        <v>18396</v>
      </c>
      <c r="K1804" s="238">
        <f t="shared" si="150"/>
        <v>919800</v>
      </c>
      <c r="L1804" s="25" t="s">
        <v>153</v>
      </c>
      <c r="M1804" s="25" t="s">
        <v>147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21"/>
    </row>
    <row r="1805" spans="1:26" ht="15.75" customHeight="1">
      <c r="A1805" s="125" t="str">
        <f>IF(B1805&lt;&gt;"",IF(AND(B1805&gt;=_TM1,B1805&lt;=_TM2,OR(TH!L1805="1111",TH!M1805="1111")),TH!D1805,""),"")</f>
        <v/>
      </c>
      <c r="B1805" s="11">
        <f t="shared" si="146"/>
        <v>10</v>
      </c>
      <c r="C1805" s="324">
        <f t="shared" si="149"/>
        <v>40833</v>
      </c>
      <c r="D1805" s="324" t="s">
        <v>1041</v>
      </c>
      <c r="E1805" s="12">
        <v>40833</v>
      </c>
      <c r="F1805" s="114" t="s">
        <v>461</v>
      </c>
      <c r="G1805" s="15"/>
      <c r="H1805" s="242" t="s">
        <v>1037</v>
      </c>
      <c r="I1805" s="141">
        <v>80</v>
      </c>
      <c r="J1805" s="141">
        <v>19112</v>
      </c>
      <c r="K1805" s="238">
        <f t="shared" si="150"/>
        <v>1528960</v>
      </c>
      <c r="L1805" s="25" t="s">
        <v>153</v>
      </c>
      <c r="M1805" s="25" t="s">
        <v>147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21"/>
    </row>
    <row r="1806" spans="1:26" ht="15.75" customHeight="1">
      <c r="A1806" s="125" t="str">
        <f>IF(B1806&lt;&gt;"",IF(AND(B1806&gt;=_TM1,B1806&lt;=_TM2,OR(TH!L1806="1111",TH!M1806="1111")),TH!D1806,""),"")</f>
        <v/>
      </c>
      <c r="B1806" s="11">
        <f t="shared" si="146"/>
        <v>10</v>
      </c>
      <c r="C1806" s="324">
        <f t="shared" si="149"/>
        <v>40833</v>
      </c>
      <c r="D1806" s="324" t="s">
        <v>1041</v>
      </c>
      <c r="E1806" s="12">
        <v>40833</v>
      </c>
      <c r="F1806" s="114" t="s">
        <v>492</v>
      </c>
      <c r="G1806" s="15"/>
      <c r="H1806" s="242" t="s">
        <v>1037</v>
      </c>
      <c r="I1806" s="141">
        <v>110</v>
      </c>
      <c r="J1806" s="141">
        <v>19316</v>
      </c>
      <c r="K1806" s="238">
        <f t="shared" si="150"/>
        <v>2124760</v>
      </c>
      <c r="L1806" s="25" t="s">
        <v>153</v>
      </c>
      <c r="M1806" s="25" t="s">
        <v>147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21"/>
    </row>
    <row r="1807" spans="1:26" ht="15.75" customHeight="1">
      <c r="A1807" s="125" t="str">
        <f>IF(B1807&lt;&gt;"",IF(AND(B1807&gt;=_TM1,B1807&lt;=_TM2,OR(TH!L1807="1111",TH!M1807="1111")),TH!D1807,""),"")</f>
        <v/>
      </c>
      <c r="B1807" s="11">
        <f t="shared" si="146"/>
        <v>10</v>
      </c>
      <c r="C1807" s="324">
        <f t="shared" si="149"/>
        <v>40833</v>
      </c>
      <c r="D1807" s="324" t="s">
        <v>1041</v>
      </c>
      <c r="E1807" s="12">
        <v>40833</v>
      </c>
      <c r="F1807" s="15" t="s">
        <v>588</v>
      </c>
      <c r="G1807" s="15"/>
      <c r="H1807" s="242" t="s">
        <v>1037</v>
      </c>
      <c r="I1807" s="141">
        <v>37</v>
      </c>
      <c r="J1807" s="141">
        <v>18396</v>
      </c>
      <c r="K1807" s="238">
        <f t="shared" si="150"/>
        <v>680652</v>
      </c>
      <c r="L1807" s="25" t="s">
        <v>153</v>
      </c>
      <c r="M1807" s="25" t="s">
        <v>147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21"/>
    </row>
    <row r="1808" spans="1:26" ht="15.75" customHeight="1">
      <c r="A1808" s="125" t="str">
        <f>IF(B1808&lt;&gt;"",IF(AND(B1808&gt;=_TM1,B1808&lt;=_TM2,OR(TH!L1808="1111",TH!M1808="1111")),TH!D1808,""),"")</f>
        <v/>
      </c>
      <c r="B1808" s="11">
        <f t="shared" si="146"/>
        <v>10</v>
      </c>
      <c r="C1808" s="324">
        <f t="shared" si="149"/>
        <v>40833</v>
      </c>
      <c r="D1808" s="324" t="s">
        <v>1041</v>
      </c>
      <c r="E1808" s="12">
        <v>40833</v>
      </c>
      <c r="F1808" s="15" t="s">
        <v>583</v>
      </c>
      <c r="G1808" s="15"/>
      <c r="H1808" s="242" t="s">
        <v>1037</v>
      </c>
      <c r="I1808" s="141">
        <v>90</v>
      </c>
      <c r="J1808" s="141">
        <v>26656</v>
      </c>
      <c r="K1808" s="238">
        <f t="shared" si="150"/>
        <v>2399040</v>
      </c>
      <c r="L1808" s="25" t="s">
        <v>153</v>
      </c>
      <c r="M1808" s="25" t="s">
        <v>147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21"/>
    </row>
    <row r="1809" spans="1:26" ht="15.75" customHeight="1">
      <c r="A1809" s="125" t="str">
        <f>IF(B1809&lt;&gt;"",IF(AND(B1809&gt;=_TM1,B1809&lt;=_TM2,OR(TH!L1809="1111",TH!M1809="1111")),TH!D1809,""),"")</f>
        <v/>
      </c>
      <c r="B1809" s="281">
        <f t="shared" si="146"/>
        <v>10</v>
      </c>
      <c r="C1809" s="324">
        <f t="shared" si="149"/>
        <v>40833</v>
      </c>
      <c r="D1809" s="21" t="s">
        <v>1059</v>
      </c>
      <c r="E1809" s="324">
        <v>40833</v>
      </c>
      <c r="F1809" s="331" t="s">
        <v>1199</v>
      </c>
      <c r="G1809" s="22"/>
      <c r="H1809" s="332" t="s">
        <v>1037</v>
      </c>
      <c r="I1809" s="139">
        <v>100</v>
      </c>
      <c r="J1809" s="139">
        <v>10854.498185845441</v>
      </c>
      <c r="K1809" s="285">
        <f t="shared" si="150"/>
        <v>1085450</v>
      </c>
      <c r="L1809" s="25" t="s">
        <v>155</v>
      </c>
      <c r="M1809" s="25" t="s">
        <v>153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308"/>
    </row>
    <row r="1810" spans="1:26" ht="15.75" customHeight="1">
      <c r="A1810" s="125" t="str">
        <f>IF(B1810&lt;&gt;"",IF(AND(B1810&gt;=_TM1,B1810&lt;=_TM2,OR(TH!L1810="1111",TH!M1810="1111")),TH!D1810,""),"")</f>
        <v/>
      </c>
      <c r="B1810" s="281">
        <f t="shared" si="146"/>
        <v>10</v>
      </c>
      <c r="C1810" s="324">
        <f t="shared" si="149"/>
        <v>40833</v>
      </c>
      <c r="D1810" s="21" t="s">
        <v>1059</v>
      </c>
      <c r="E1810" s="324">
        <v>40833</v>
      </c>
      <c r="F1810" s="331" t="s">
        <v>1200</v>
      </c>
      <c r="G1810" s="22"/>
      <c r="H1810" s="332" t="s">
        <v>1037</v>
      </c>
      <c r="I1810" s="139">
        <v>120</v>
      </c>
      <c r="J1810" s="139">
        <v>11992.241519178777</v>
      </c>
      <c r="K1810" s="285">
        <f t="shared" si="150"/>
        <v>1439069</v>
      </c>
      <c r="L1810" s="25" t="s">
        <v>155</v>
      </c>
      <c r="M1810" s="25" t="s">
        <v>153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308"/>
    </row>
    <row r="1811" spans="1:26" ht="15.75" customHeight="1">
      <c r="A1811" s="125" t="str">
        <f>IF(B1811&lt;&gt;"",IF(AND(B1811&gt;=_TM1,B1811&lt;=_TM2,OR(TH!L1811="1111",TH!M1811="1111")),TH!D1811,""),"")</f>
        <v/>
      </c>
      <c r="B1811" s="281">
        <f t="shared" si="146"/>
        <v>10</v>
      </c>
      <c r="C1811" s="324">
        <f t="shared" si="149"/>
        <v>40833</v>
      </c>
      <c r="D1811" s="21" t="s">
        <v>1059</v>
      </c>
      <c r="E1811" s="324">
        <v>40833</v>
      </c>
      <c r="F1811" s="331" t="s">
        <v>1201</v>
      </c>
      <c r="G1811" s="22"/>
      <c r="H1811" s="332" t="s">
        <v>1037</v>
      </c>
      <c r="I1811" s="139">
        <v>250</v>
      </c>
      <c r="J1811" s="139">
        <v>13958.424185845442</v>
      </c>
      <c r="K1811" s="285">
        <f t="shared" si="150"/>
        <v>3489606</v>
      </c>
      <c r="L1811" s="25" t="s">
        <v>155</v>
      </c>
      <c r="M1811" s="25" t="s">
        <v>153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308"/>
    </row>
    <row r="1812" spans="1:26" ht="15.75" customHeight="1">
      <c r="A1812" s="125" t="str">
        <f>IF(B1812&lt;&gt;"",IF(AND(B1812&gt;=_TM1,B1812&lt;=_TM2,OR(TH!L1812="1111",TH!M1812="1111")),TH!D1812,""),"")</f>
        <v/>
      </c>
      <c r="B1812" s="281">
        <f t="shared" si="146"/>
        <v>10</v>
      </c>
      <c r="C1812" s="324">
        <f t="shared" si="149"/>
        <v>40833</v>
      </c>
      <c r="D1812" s="21" t="s">
        <v>1059</v>
      </c>
      <c r="E1812" s="324">
        <v>40833</v>
      </c>
      <c r="F1812" s="331" t="s">
        <v>1202</v>
      </c>
      <c r="G1812" s="22"/>
      <c r="H1812" s="332" t="s">
        <v>1037</v>
      </c>
      <c r="I1812" s="139">
        <v>140</v>
      </c>
      <c r="J1812" s="139">
        <v>8841.5010429882987</v>
      </c>
      <c r="K1812" s="285">
        <f t="shared" si="150"/>
        <v>1237810</v>
      </c>
      <c r="L1812" s="25" t="s">
        <v>155</v>
      </c>
      <c r="M1812" s="25" t="s">
        <v>153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308"/>
    </row>
    <row r="1813" spans="1:26" ht="15.75" customHeight="1">
      <c r="A1813" s="125" t="str">
        <f>IF(B1813&lt;&gt;"",IF(AND(B1813&gt;=_TM1,B1813&lt;=_TM2,OR(TH!L1813="1111",TH!M1813="1111")),TH!D1813,""),"")</f>
        <v/>
      </c>
      <c r="B1813" s="281">
        <f t="shared" si="146"/>
        <v>10</v>
      </c>
      <c r="C1813" s="324">
        <f t="shared" si="149"/>
        <v>40833</v>
      </c>
      <c r="D1813" s="21" t="s">
        <v>1059</v>
      </c>
      <c r="E1813" s="324">
        <v>40833</v>
      </c>
      <c r="F1813" s="331" t="s">
        <v>1203</v>
      </c>
      <c r="G1813" s="22"/>
      <c r="H1813" s="332" t="s">
        <v>1037</v>
      </c>
      <c r="I1813" s="139">
        <v>50</v>
      </c>
      <c r="J1813" s="139">
        <v>7867.2881858454421</v>
      </c>
      <c r="K1813" s="285">
        <f t="shared" si="150"/>
        <v>393364</v>
      </c>
      <c r="L1813" s="25" t="s">
        <v>155</v>
      </c>
      <c r="M1813" s="25" t="s">
        <v>153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308"/>
    </row>
    <row r="1814" spans="1:26" ht="15.75" customHeight="1">
      <c r="A1814" s="125" t="str">
        <f>IF(B1814&lt;&gt;"",IF(AND(B1814&gt;=_TM1,B1814&lt;=_TM2,OR(TH!L1814="1111",TH!M1814="1111")),TH!D1814,""),"")</f>
        <v/>
      </c>
      <c r="B1814" s="281">
        <f t="shared" ref="B1814:B1877" si="151">IF(C1814&lt;&gt;"",MONTH(C1814),"")</f>
        <v>10</v>
      </c>
      <c r="C1814" s="324">
        <f t="shared" si="149"/>
        <v>40833</v>
      </c>
      <c r="D1814" s="21" t="s">
        <v>1059</v>
      </c>
      <c r="E1814" s="324">
        <v>40833</v>
      </c>
      <c r="F1814" s="331" t="s">
        <v>1204</v>
      </c>
      <c r="G1814" s="22"/>
      <c r="H1814" s="332" t="s">
        <v>1037</v>
      </c>
      <c r="I1814" s="139">
        <v>70</v>
      </c>
      <c r="J1814" s="139">
        <v>9790.4367572740139</v>
      </c>
      <c r="K1814" s="285">
        <f t="shared" si="150"/>
        <v>685331</v>
      </c>
      <c r="L1814" s="25" t="s">
        <v>155</v>
      </c>
      <c r="M1814" s="25" t="s">
        <v>153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308"/>
    </row>
    <row r="1815" spans="1:26" ht="15.75" customHeight="1">
      <c r="A1815" s="125" t="str">
        <f>IF(B1815&lt;&gt;"",IF(AND(B1815&gt;=_TM1,B1815&lt;=_TM2,OR(TH!L1815="1111",TH!M1815="1111")),TH!D1815,""),"")</f>
        <v/>
      </c>
      <c r="B1815" s="281">
        <f t="shared" si="151"/>
        <v>10</v>
      </c>
      <c r="C1815" s="324">
        <f t="shared" si="149"/>
        <v>40833</v>
      </c>
      <c r="D1815" s="21" t="s">
        <v>1059</v>
      </c>
      <c r="E1815" s="21">
        <v>40833</v>
      </c>
      <c r="F1815" s="331" t="s">
        <v>1205</v>
      </c>
      <c r="G1815" s="22"/>
      <c r="H1815" s="332" t="s">
        <v>1037</v>
      </c>
      <c r="I1815" s="139">
        <v>54</v>
      </c>
      <c r="J1815" s="139">
        <v>6981.4526302898867</v>
      </c>
      <c r="K1815" s="285">
        <f t="shared" si="150"/>
        <v>376998</v>
      </c>
      <c r="L1815" s="25" t="s">
        <v>155</v>
      </c>
      <c r="M1815" s="25" t="s">
        <v>153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308"/>
    </row>
    <row r="1816" spans="1:26" ht="15.75" customHeight="1">
      <c r="A1816" s="125" t="str">
        <f>IF(B1816&lt;&gt;"",IF(AND(B1816&gt;=_TM1,B1816&lt;=_TM2,OR(TH!L1816="1111",TH!M1816="1111")),TH!D1816,""),"")</f>
        <v/>
      </c>
      <c r="B1816" s="281">
        <f t="shared" si="151"/>
        <v>10</v>
      </c>
      <c r="C1816" s="324">
        <f t="shared" si="149"/>
        <v>40833</v>
      </c>
      <c r="D1816" s="21" t="s">
        <v>1059</v>
      </c>
      <c r="E1816" s="21">
        <v>40833</v>
      </c>
      <c r="F1816" s="331" t="s">
        <v>1206</v>
      </c>
      <c r="G1816" s="22"/>
      <c r="H1816" s="332" t="s">
        <v>1037</v>
      </c>
      <c r="I1816" s="139">
        <v>90</v>
      </c>
      <c r="J1816" s="139">
        <v>16194.497074734332</v>
      </c>
      <c r="K1816" s="285">
        <f t="shared" si="150"/>
        <v>1457505</v>
      </c>
      <c r="L1816" s="25" t="s">
        <v>155</v>
      </c>
      <c r="M1816" s="25" t="s">
        <v>153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308"/>
    </row>
    <row r="1817" spans="1:26" ht="15.75" customHeight="1">
      <c r="A1817" s="125" t="str">
        <f>IF(B1817&lt;&gt;"",IF(AND(B1817&gt;=_TM1,B1817&lt;=_TM2,OR(TH!L1817="1111",TH!M1817="1111")),TH!D1817,""),"")</f>
        <v/>
      </c>
      <c r="B1817" s="281">
        <f t="shared" si="151"/>
        <v>10</v>
      </c>
      <c r="C1817" s="324">
        <f t="shared" si="149"/>
        <v>40833</v>
      </c>
      <c r="D1817" s="21" t="s">
        <v>1060</v>
      </c>
      <c r="E1817" s="21">
        <v>40833</v>
      </c>
      <c r="F1817" s="331" t="s">
        <v>1207</v>
      </c>
      <c r="G1817" s="22"/>
      <c r="H1817" s="332" t="s">
        <v>1037</v>
      </c>
      <c r="I1817" s="139">
        <v>100</v>
      </c>
      <c r="J1817" s="139">
        <v>12419.958185845444</v>
      </c>
      <c r="K1817" s="285">
        <f t="shared" si="150"/>
        <v>1241996</v>
      </c>
      <c r="L1817" s="25" t="s">
        <v>155</v>
      </c>
      <c r="M1817" s="25" t="s">
        <v>153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308"/>
    </row>
    <row r="1818" spans="1:26" ht="15.75" customHeight="1">
      <c r="A1818" s="125" t="str">
        <f>IF(B1818&lt;&gt;"",IF(AND(B1818&gt;=_TM1,B1818&lt;=_TM2,OR(TH!L1818="1111",TH!M1818="1111")),TH!D1818,""),"")</f>
        <v/>
      </c>
      <c r="B1818" s="281">
        <f t="shared" si="151"/>
        <v>10</v>
      </c>
      <c r="C1818" s="324">
        <f t="shared" si="149"/>
        <v>40833</v>
      </c>
      <c r="D1818" s="21" t="s">
        <v>1060</v>
      </c>
      <c r="E1818" s="21">
        <v>40833</v>
      </c>
      <c r="F1818" s="331" t="s">
        <v>1206</v>
      </c>
      <c r="G1818" s="22"/>
      <c r="H1818" s="332" t="s">
        <v>1037</v>
      </c>
      <c r="I1818" s="139">
        <v>200</v>
      </c>
      <c r="J1818" s="139">
        <v>14919.103185845444</v>
      </c>
      <c r="K1818" s="285">
        <f t="shared" si="150"/>
        <v>2983821</v>
      </c>
      <c r="L1818" s="25" t="s">
        <v>155</v>
      </c>
      <c r="M1818" s="25" t="s">
        <v>153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308"/>
    </row>
    <row r="1819" spans="1:26" ht="15.75" customHeight="1">
      <c r="A1819" s="125" t="str">
        <f>IF(B1819&lt;&gt;"",IF(AND(B1819&gt;=_TM1,B1819&lt;=_TM2,OR(TH!L1819="1111",TH!M1819="1111")),TH!D1819,""),"")</f>
        <v/>
      </c>
      <c r="B1819" s="281">
        <f t="shared" si="151"/>
        <v>10</v>
      </c>
      <c r="C1819" s="324">
        <f t="shared" si="149"/>
        <v>40833</v>
      </c>
      <c r="D1819" s="21" t="s">
        <v>1060</v>
      </c>
      <c r="E1819" s="21">
        <v>40833</v>
      </c>
      <c r="F1819" s="331" t="s">
        <v>1208</v>
      </c>
      <c r="G1819" s="22"/>
      <c r="H1819" s="332" t="s">
        <v>1037</v>
      </c>
      <c r="I1819" s="139">
        <v>50</v>
      </c>
      <c r="J1819" s="139">
        <v>12722.488185845443</v>
      </c>
      <c r="K1819" s="285">
        <f t="shared" si="150"/>
        <v>636124</v>
      </c>
      <c r="L1819" s="25" t="s">
        <v>155</v>
      </c>
      <c r="M1819" s="25" t="s">
        <v>153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308"/>
    </row>
    <row r="1820" spans="1:26" ht="15.75" customHeight="1">
      <c r="A1820" s="125" t="str">
        <f>IF(B1820&lt;&gt;"",IF(AND(B1820&gt;=_TM1,B1820&lt;=_TM2,OR(TH!L1820="1111",TH!M1820="1111")),TH!D1820,""),"")</f>
        <v/>
      </c>
      <c r="B1820" s="281">
        <f t="shared" si="151"/>
        <v>10</v>
      </c>
      <c r="C1820" s="324">
        <f t="shared" si="149"/>
        <v>40833</v>
      </c>
      <c r="D1820" s="21" t="s">
        <v>1060</v>
      </c>
      <c r="E1820" s="21">
        <v>40833</v>
      </c>
      <c r="F1820" s="331" t="s">
        <v>1209</v>
      </c>
      <c r="G1820" s="22"/>
      <c r="H1820" s="332" t="s">
        <v>1037</v>
      </c>
      <c r="I1820" s="139">
        <v>30</v>
      </c>
      <c r="J1820" s="139">
        <v>18059.908185845437</v>
      </c>
      <c r="K1820" s="285">
        <f t="shared" si="150"/>
        <v>541797</v>
      </c>
      <c r="L1820" s="25" t="s">
        <v>155</v>
      </c>
      <c r="M1820" s="25" t="s">
        <v>153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308"/>
    </row>
    <row r="1821" spans="1:26" ht="15.75" customHeight="1">
      <c r="A1821" s="125" t="str">
        <f>IF(B1821&lt;&gt;"",IF(AND(B1821&gt;=_TM1,B1821&lt;=_TM2,OR(TH!L1821="1111",TH!M1821="1111")),TH!D1821,""),"")</f>
        <v/>
      </c>
      <c r="B1821" s="11">
        <f t="shared" si="151"/>
        <v>10</v>
      </c>
      <c r="C1821" s="324">
        <f t="shared" si="149"/>
        <v>40833</v>
      </c>
      <c r="D1821" s="21" t="s">
        <v>907</v>
      </c>
      <c r="E1821" s="324">
        <v>40833</v>
      </c>
      <c r="F1821" s="116" t="s">
        <v>1199</v>
      </c>
      <c r="G1821" s="224" t="s">
        <v>1183</v>
      </c>
      <c r="H1821" s="117" t="s">
        <v>709</v>
      </c>
      <c r="I1821" s="141">
        <v>100</v>
      </c>
      <c r="J1821" s="141">
        <v>10854.498185845441</v>
      </c>
      <c r="K1821" s="238">
        <f t="shared" si="150"/>
        <v>1085450</v>
      </c>
      <c r="L1821" s="25" t="s">
        <v>161</v>
      </c>
      <c r="M1821" s="25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21"/>
    </row>
    <row r="1822" spans="1:26" ht="15.75" customHeight="1">
      <c r="A1822" s="125" t="str">
        <f>IF(B1822&lt;&gt;"",IF(AND(B1822&gt;=_TM1,B1822&lt;=_TM2,OR(TH!L1822="1111",TH!M1822="1111")),TH!D1822,""),"")</f>
        <v/>
      </c>
      <c r="B1822" s="11">
        <f t="shared" si="151"/>
        <v>10</v>
      </c>
      <c r="C1822" s="324">
        <f t="shared" si="149"/>
        <v>40833</v>
      </c>
      <c r="D1822" s="21" t="s">
        <v>907</v>
      </c>
      <c r="E1822" s="324">
        <v>40833</v>
      </c>
      <c r="F1822" s="116" t="s">
        <v>1200</v>
      </c>
      <c r="G1822" s="224" t="s">
        <v>1183</v>
      </c>
      <c r="H1822" s="117" t="s">
        <v>709</v>
      </c>
      <c r="I1822" s="141">
        <v>120</v>
      </c>
      <c r="J1822" s="141">
        <v>11992.241519178777</v>
      </c>
      <c r="K1822" s="238">
        <f t="shared" si="150"/>
        <v>1439069</v>
      </c>
      <c r="L1822" s="25" t="s">
        <v>161</v>
      </c>
      <c r="M1822" s="25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21"/>
    </row>
    <row r="1823" spans="1:26" ht="15.75" customHeight="1">
      <c r="A1823" s="125" t="str">
        <f>IF(B1823&lt;&gt;"",IF(AND(B1823&gt;=_TM1,B1823&lt;=_TM2,OR(TH!L1823="1111",TH!M1823="1111")),TH!D1823,""),"")</f>
        <v/>
      </c>
      <c r="B1823" s="11">
        <f t="shared" si="151"/>
        <v>10</v>
      </c>
      <c r="C1823" s="324">
        <f t="shared" si="149"/>
        <v>40833</v>
      </c>
      <c r="D1823" s="21" t="s">
        <v>907</v>
      </c>
      <c r="E1823" s="324">
        <v>40833</v>
      </c>
      <c r="F1823" s="116" t="s">
        <v>1201</v>
      </c>
      <c r="G1823" s="224" t="s">
        <v>1183</v>
      </c>
      <c r="H1823" s="117" t="s">
        <v>709</v>
      </c>
      <c r="I1823" s="141">
        <v>250</v>
      </c>
      <c r="J1823" s="141">
        <v>13958.424185845442</v>
      </c>
      <c r="K1823" s="238">
        <f t="shared" si="150"/>
        <v>3489606</v>
      </c>
      <c r="L1823" s="25" t="s">
        <v>161</v>
      </c>
      <c r="M1823" s="25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21"/>
    </row>
    <row r="1824" spans="1:26" ht="15.75" customHeight="1">
      <c r="A1824" s="125" t="str">
        <f>IF(B1824&lt;&gt;"",IF(AND(B1824&gt;=_TM1,B1824&lt;=_TM2,OR(TH!L1824="1111",TH!M1824="1111")),TH!D1824,""),"")</f>
        <v/>
      </c>
      <c r="B1824" s="11">
        <f t="shared" si="151"/>
        <v>10</v>
      </c>
      <c r="C1824" s="324">
        <f t="shared" si="149"/>
        <v>40833</v>
      </c>
      <c r="D1824" s="21" t="s">
        <v>907</v>
      </c>
      <c r="E1824" s="115">
        <v>40833</v>
      </c>
      <c r="F1824" s="116" t="s">
        <v>1202</v>
      </c>
      <c r="G1824" s="224" t="s">
        <v>1183</v>
      </c>
      <c r="H1824" s="117" t="s">
        <v>709</v>
      </c>
      <c r="I1824" s="141">
        <v>140</v>
      </c>
      <c r="J1824" s="141">
        <v>8841.5010429882987</v>
      </c>
      <c r="K1824" s="238">
        <f t="shared" si="150"/>
        <v>1237810</v>
      </c>
      <c r="L1824" s="25" t="s">
        <v>161</v>
      </c>
      <c r="M1824" s="25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21"/>
    </row>
    <row r="1825" spans="1:26" ht="15.75" customHeight="1">
      <c r="A1825" s="125" t="str">
        <f>IF(B1825&lt;&gt;"",IF(AND(B1825&gt;=_TM1,B1825&lt;=_TM2,OR(TH!L1825="1111",TH!M1825="1111")),TH!D1825,""),"")</f>
        <v/>
      </c>
      <c r="B1825" s="11">
        <f t="shared" si="151"/>
        <v>10</v>
      </c>
      <c r="C1825" s="324">
        <f t="shared" si="149"/>
        <v>40833</v>
      </c>
      <c r="D1825" s="21" t="s">
        <v>907</v>
      </c>
      <c r="E1825" s="115">
        <v>40833</v>
      </c>
      <c r="F1825" s="116" t="s">
        <v>1203</v>
      </c>
      <c r="G1825" s="224" t="s">
        <v>1183</v>
      </c>
      <c r="H1825" s="117" t="s">
        <v>709</v>
      </c>
      <c r="I1825" s="141">
        <v>50</v>
      </c>
      <c r="J1825" s="141">
        <v>7867.2881858454421</v>
      </c>
      <c r="K1825" s="238">
        <f t="shared" si="150"/>
        <v>393364</v>
      </c>
      <c r="L1825" s="25" t="s">
        <v>161</v>
      </c>
      <c r="M1825" s="25" t="s">
        <v>155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21"/>
    </row>
    <row r="1826" spans="1:26" ht="15.75" customHeight="1">
      <c r="A1826" s="125" t="str">
        <f>IF(B1826&lt;&gt;"",IF(AND(B1826&gt;=_TM1,B1826&lt;=_TM2,OR(TH!L1826="1111",TH!M1826="1111")),TH!D1826,""),"")</f>
        <v/>
      </c>
      <c r="B1826" s="11">
        <f t="shared" si="151"/>
        <v>10</v>
      </c>
      <c r="C1826" s="324">
        <f t="shared" si="149"/>
        <v>40833</v>
      </c>
      <c r="D1826" s="21" t="s">
        <v>907</v>
      </c>
      <c r="E1826" s="115">
        <v>40833</v>
      </c>
      <c r="F1826" s="116" t="s">
        <v>1204</v>
      </c>
      <c r="G1826" s="224" t="s">
        <v>1183</v>
      </c>
      <c r="H1826" s="117" t="s">
        <v>709</v>
      </c>
      <c r="I1826" s="141">
        <v>70</v>
      </c>
      <c r="J1826" s="141">
        <v>9790.4367572740139</v>
      </c>
      <c r="K1826" s="238">
        <f t="shared" si="150"/>
        <v>685331</v>
      </c>
      <c r="L1826" s="25" t="s">
        <v>161</v>
      </c>
      <c r="M1826" s="25" t="s">
        <v>155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21"/>
    </row>
    <row r="1827" spans="1:26" ht="15.75" customHeight="1">
      <c r="A1827" s="125" t="str">
        <f>IF(B1827&lt;&gt;"",IF(AND(B1827&gt;=_TM1,B1827&lt;=_TM2,OR(TH!L1827="1111",TH!M1827="1111")),TH!D1827,""),"")</f>
        <v/>
      </c>
      <c r="B1827" s="11">
        <f t="shared" si="151"/>
        <v>10</v>
      </c>
      <c r="C1827" s="324">
        <f t="shared" si="149"/>
        <v>40833</v>
      </c>
      <c r="D1827" s="21" t="s">
        <v>907</v>
      </c>
      <c r="E1827" s="12">
        <v>40833</v>
      </c>
      <c r="F1827" s="116" t="s">
        <v>1205</v>
      </c>
      <c r="G1827" s="224" t="s">
        <v>1183</v>
      </c>
      <c r="H1827" s="117" t="s">
        <v>709</v>
      </c>
      <c r="I1827" s="141">
        <v>54</v>
      </c>
      <c r="J1827" s="141">
        <v>6981.4526302898867</v>
      </c>
      <c r="K1827" s="238">
        <f t="shared" si="150"/>
        <v>376998</v>
      </c>
      <c r="L1827" s="25" t="s">
        <v>161</v>
      </c>
      <c r="M1827" s="25" t="s">
        <v>155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21"/>
    </row>
    <row r="1828" spans="1:26" ht="15.75" customHeight="1">
      <c r="A1828" s="125" t="str">
        <f>IF(B1828&lt;&gt;"",IF(AND(B1828&gt;=_TM1,B1828&lt;=_TM2,OR(TH!L1828="1111",TH!M1828="1111")),TH!D1828,""),"")</f>
        <v/>
      </c>
      <c r="B1828" s="11">
        <f t="shared" si="151"/>
        <v>10</v>
      </c>
      <c r="C1828" s="324">
        <f t="shared" si="149"/>
        <v>40833</v>
      </c>
      <c r="D1828" s="21" t="s">
        <v>907</v>
      </c>
      <c r="E1828" s="12">
        <v>40833</v>
      </c>
      <c r="F1828" s="116" t="s">
        <v>1206</v>
      </c>
      <c r="G1828" s="224" t="s">
        <v>1183</v>
      </c>
      <c r="H1828" s="117" t="s">
        <v>709</v>
      </c>
      <c r="I1828" s="141">
        <v>90</v>
      </c>
      <c r="J1828" s="141">
        <v>16194.497074734332</v>
      </c>
      <c r="K1828" s="238">
        <f t="shared" si="150"/>
        <v>1457505</v>
      </c>
      <c r="L1828" s="25" t="s">
        <v>161</v>
      </c>
      <c r="M1828" s="25" t="s">
        <v>155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21"/>
    </row>
    <row r="1829" spans="1:26" ht="15.75" customHeight="1">
      <c r="A1829" s="125" t="str">
        <f>IF(B1829&lt;&gt;"",IF(AND(B1829&gt;=_TM1,B1829&lt;=_TM2,OR(TH!L1829="1111",TH!M1829="1111")),TH!D1829,""),"")</f>
        <v/>
      </c>
      <c r="B1829" s="11">
        <f t="shared" si="151"/>
        <v>10</v>
      </c>
      <c r="C1829" s="324">
        <f t="shared" si="149"/>
        <v>40833</v>
      </c>
      <c r="D1829" s="21" t="s">
        <v>907</v>
      </c>
      <c r="E1829" s="12">
        <v>40833</v>
      </c>
      <c r="F1829" s="116" t="s">
        <v>1207</v>
      </c>
      <c r="G1829" s="224" t="s">
        <v>1183</v>
      </c>
      <c r="H1829" s="117" t="s">
        <v>709</v>
      </c>
      <c r="I1829" s="141">
        <v>100</v>
      </c>
      <c r="J1829" s="141">
        <v>12419.958185845444</v>
      </c>
      <c r="K1829" s="238">
        <f t="shared" si="150"/>
        <v>1241996</v>
      </c>
      <c r="L1829" s="25" t="s">
        <v>161</v>
      </c>
      <c r="M1829" s="25" t="s">
        <v>155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21"/>
    </row>
    <row r="1830" spans="1:26" ht="15.75" customHeight="1">
      <c r="A1830" s="125" t="str">
        <f>IF(B1830&lt;&gt;"",IF(AND(B1830&gt;=_TM1,B1830&lt;=_TM2,OR(TH!L1830="1111",TH!M1830="1111")),TH!D1830,""),"")</f>
        <v/>
      </c>
      <c r="B1830" s="11">
        <f t="shared" si="151"/>
        <v>10</v>
      </c>
      <c r="C1830" s="324">
        <f t="shared" si="149"/>
        <v>40833</v>
      </c>
      <c r="D1830" s="21" t="s">
        <v>907</v>
      </c>
      <c r="E1830" s="12">
        <v>40833</v>
      </c>
      <c r="F1830" s="116" t="s">
        <v>1206</v>
      </c>
      <c r="G1830" s="224" t="s">
        <v>1183</v>
      </c>
      <c r="H1830" s="117" t="s">
        <v>709</v>
      </c>
      <c r="I1830" s="141">
        <v>200</v>
      </c>
      <c r="J1830" s="141">
        <v>14919.103185845444</v>
      </c>
      <c r="K1830" s="238">
        <f t="shared" si="150"/>
        <v>2983821</v>
      </c>
      <c r="L1830" s="25" t="s">
        <v>161</v>
      </c>
      <c r="M1830" s="25" t="s">
        <v>155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21"/>
    </row>
    <row r="1831" spans="1:26" ht="15.75" customHeight="1">
      <c r="A1831" s="125" t="str">
        <f>IF(B1831&lt;&gt;"",IF(AND(B1831&gt;=_TM1,B1831&lt;=_TM2,OR(TH!L1831="1111",TH!M1831="1111")),TH!D1831,""),"")</f>
        <v/>
      </c>
      <c r="B1831" s="11">
        <f t="shared" si="151"/>
        <v>10</v>
      </c>
      <c r="C1831" s="324">
        <f t="shared" si="149"/>
        <v>40833</v>
      </c>
      <c r="D1831" s="21" t="s">
        <v>907</v>
      </c>
      <c r="E1831" s="12">
        <v>40833</v>
      </c>
      <c r="F1831" s="322" t="s">
        <v>1208</v>
      </c>
      <c r="G1831" s="224" t="s">
        <v>1183</v>
      </c>
      <c r="H1831" s="117" t="s">
        <v>709</v>
      </c>
      <c r="I1831" s="141">
        <v>50</v>
      </c>
      <c r="J1831" s="141">
        <v>12722.488185845443</v>
      </c>
      <c r="K1831" s="238">
        <f t="shared" si="150"/>
        <v>636124</v>
      </c>
      <c r="L1831" s="25" t="s">
        <v>161</v>
      </c>
      <c r="M1831" s="25" t="s">
        <v>155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21"/>
    </row>
    <row r="1832" spans="1:26" ht="15.75" customHeight="1">
      <c r="A1832" s="125" t="str">
        <f>IF(B1832&lt;&gt;"",IF(AND(B1832&gt;=_TM1,B1832&lt;=_TM2,OR(TH!L1832="1111",TH!M1832="1111")),TH!D1832,""),"")</f>
        <v/>
      </c>
      <c r="B1832" s="11">
        <f t="shared" si="151"/>
        <v>10</v>
      </c>
      <c r="C1832" s="324">
        <f t="shared" si="149"/>
        <v>40833</v>
      </c>
      <c r="D1832" s="21" t="s">
        <v>907</v>
      </c>
      <c r="E1832" s="12">
        <v>40833</v>
      </c>
      <c r="F1832" s="116" t="s">
        <v>1209</v>
      </c>
      <c r="G1832" s="224" t="s">
        <v>1183</v>
      </c>
      <c r="H1832" s="117" t="s">
        <v>709</v>
      </c>
      <c r="I1832" s="141">
        <v>30</v>
      </c>
      <c r="J1832" s="141">
        <v>18059.908185845437</v>
      </c>
      <c r="K1832" s="238">
        <f t="shared" si="150"/>
        <v>541797</v>
      </c>
      <c r="L1832" s="25" t="s">
        <v>161</v>
      </c>
      <c r="M1832" s="25" t="s">
        <v>155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21"/>
    </row>
    <row r="1833" spans="1:26" ht="15.75" customHeight="1">
      <c r="A1833" s="125" t="str">
        <f>IF(B1833&lt;&gt;"",IF(AND(B1833&gt;=_TM1,B1833&lt;=_TM2,OR(TH!L1833="1111",TH!M1833="1111")),TH!D1833,""),"")</f>
        <v>C04</v>
      </c>
      <c r="B1833" s="11">
        <f t="shared" si="151"/>
        <v>10</v>
      </c>
      <c r="C1833" s="110">
        <v>40835</v>
      </c>
      <c r="D1833" s="110" t="s">
        <v>414</v>
      </c>
      <c r="E1833" s="110">
        <v>40835</v>
      </c>
      <c r="F1833" s="114" t="s">
        <v>339</v>
      </c>
      <c r="G1833" s="240" t="s">
        <v>307</v>
      </c>
      <c r="H1833" s="117" t="s">
        <v>340</v>
      </c>
      <c r="I1833" s="141"/>
      <c r="J1833" s="141"/>
      <c r="K1833" s="238">
        <v>20000000</v>
      </c>
      <c r="L1833" s="239" t="s">
        <v>23</v>
      </c>
      <c r="M1833" s="239" t="s">
        <v>44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21"/>
    </row>
    <row r="1834" spans="1:26" ht="15.75" customHeight="1">
      <c r="A1834" s="125" t="str">
        <f>IF(B1834&lt;&gt;"",IF(AND(B1834&gt;=_TM1,B1834&lt;=_TM2,OR(TH!L1834="1111",TH!M1834="1111")),TH!D1834,""),"")</f>
        <v/>
      </c>
      <c r="B1834" s="11">
        <f t="shared" si="151"/>
        <v>10</v>
      </c>
      <c r="C1834" s="110">
        <v>40835</v>
      </c>
      <c r="D1834" s="110" t="s">
        <v>311</v>
      </c>
      <c r="E1834" s="110">
        <v>40835</v>
      </c>
      <c r="F1834" s="114" t="s">
        <v>344</v>
      </c>
      <c r="G1834" s="240" t="s">
        <v>307</v>
      </c>
      <c r="H1834" s="4" t="s">
        <v>476</v>
      </c>
      <c r="I1834" s="141"/>
      <c r="J1834" s="141"/>
      <c r="K1834" s="238">
        <v>20000000</v>
      </c>
      <c r="L1834" s="239" t="s">
        <v>8</v>
      </c>
      <c r="M1834" s="239" t="s">
        <v>23</v>
      </c>
      <c r="N1834" s="25" t="str">
        <f>IF(AND('331-CT'!$E$7=TH!H1834,OR(L1834="331",M1834="331")),"331",IF(AND(OR(L1834="131",M1834="131"),H1834='131-CT'!$E$7),"131",""))</f>
        <v>331</v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21"/>
    </row>
    <row r="1835" spans="1:26" ht="15.75" customHeight="1">
      <c r="A1835" s="125" t="str">
        <f>IF(B1835&lt;&gt;"",IF(AND(B1835&gt;=_TM1,B1835&lt;=_TM2,OR(TH!L1835="1111",TH!M1835="1111")),TH!D1835,""),"")</f>
        <v/>
      </c>
      <c r="B1835" s="11">
        <f t="shared" si="151"/>
        <v>10</v>
      </c>
      <c r="C1835" s="110">
        <v>40835</v>
      </c>
      <c r="D1835" s="110" t="s">
        <v>311</v>
      </c>
      <c r="E1835" s="110">
        <v>40835</v>
      </c>
      <c r="F1835" s="114" t="s">
        <v>347</v>
      </c>
      <c r="G1835" s="240" t="s">
        <v>307</v>
      </c>
      <c r="H1835" s="4"/>
      <c r="I1835" s="141"/>
      <c r="J1835" s="141"/>
      <c r="K1835" s="238">
        <v>9091</v>
      </c>
      <c r="L1835" s="239" t="s">
        <v>73</v>
      </c>
      <c r="M1835" s="239" t="s">
        <v>23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>x</v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21">
        <v>10</v>
      </c>
    </row>
    <row r="1836" spans="1:26" ht="15.75" customHeight="1">
      <c r="A1836" s="125" t="str">
        <f>IF(B1836&lt;&gt;"",IF(AND(B1836&gt;=_TM1,B1836&lt;=_TM2,OR(TH!L1836="1111",TH!M1836="1111")),TH!D1836,""),"")</f>
        <v/>
      </c>
      <c r="B1836" s="11">
        <f t="shared" si="151"/>
        <v>10</v>
      </c>
      <c r="C1836" s="110">
        <v>40835</v>
      </c>
      <c r="D1836" s="110" t="s">
        <v>311</v>
      </c>
      <c r="E1836" s="110">
        <v>40835</v>
      </c>
      <c r="F1836" s="114" t="s">
        <v>1378</v>
      </c>
      <c r="G1836" s="240" t="s">
        <v>307</v>
      </c>
      <c r="H1836" s="4"/>
      <c r="I1836" s="141"/>
      <c r="J1836" s="141"/>
      <c r="K1836" s="238">
        <v>909</v>
      </c>
      <c r="L1836" s="239" t="s">
        <v>9</v>
      </c>
      <c r="M1836" s="239" t="s">
        <v>23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21">
        <v>10</v>
      </c>
    </row>
    <row r="1837" spans="1:26" ht="15.75" customHeight="1">
      <c r="A1837" s="125" t="str">
        <f>IF(B1837&lt;&gt;"",IF(AND(B1837&gt;=_TM1,B1837&lt;=_TM2,OR(TH!L1837="1111",TH!M1837="1111")),TH!D1837,""),"")</f>
        <v/>
      </c>
      <c r="B1837" s="11">
        <f t="shared" si="151"/>
        <v>10</v>
      </c>
      <c r="C1837" s="110">
        <v>40835</v>
      </c>
      <c r="D1837" s="110" t="s">
        <v>311</v>
      </c>
      <c r="E1837" s="110">
        <v>40835</v>
      </c>
      <c r="F1837" s="114" t="s">
        <v>313</v>
      </c>
      <c r="G1837" s="240" t="s">
        <v>307</v>
      </c>
      <c r="H1837" s="4"/>
      <c r="I1837" s="141"/>
      <c r="J1837" s="141"/>
      <c r="K1837" s="238">
        <v>9091</v>
      </c>
      <c r="L1837" s="239" t="s">
        <v>73</v>
      </c>
      <c r="M1837" s="239" t="s">
        <v>23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>x</v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21">
        <v>10</v>
      </c>
    </row>
    <row r="1838" spans="1:26" ht="15.75" customHeight="1">
      <c r="A1838" s="125" t="str">
        <f>IF(B1838&lt;&gt;"",IF(AND(B1838&gt;=_TM1,B1838&lt;=_TM2,OR(TH!L1838="1111",TH!M1838="1111")),TH!D1838,""),"")</f>
        <v/>
      </c>
      <c r="B1838" s="11">
        <f t="shared" si="151"/>
        <v>10</v>
      </c>
      <c r="C1838" s="110">
        <v>40835</v>
      </c>
      <c r="D1838" s="110" t="s">
        <v>311</v>
      </c>
      <c r="E1838" s="110">
        <v>40835</v>
      </c>
      <c r="F1838" s="114" t="s">
        <v>1379</v>
      </c>
      <c r="G1838" s="240" t="s">
        <v>307</v>
      </c>
      <c r="H1838" s="4"/>
      <c r="I1838" s="141"/>
      <c r="J1838" s="141"/>
      <c r="K1838" s="238">
        <v>909</v>
      </c>
      <c r="L1838" s="239" t="s">
        <v>9</v>
      </c>
      <c r="M1838" s="239" t="s">
        <v>23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21">
        <v>10</v>
      </c>
    </row>
    <row r="1839" spans="1:26" ht="15.75" customHeight="1">
      <c r="A1839" s="125" t="str">
        <f>IF(B1839&lt;&gt;"",IF(AND(B1839&gt;=_TM1,B1839&lt;=_TM2,OR(TH!L1839="1111",TH!M1839="1111")),TH!D1839,""),"")</f>
        <v>C05</v>
      </c>
      <c r="B1839" s="11">
        <f t="shared" si="151"/>
        <v>10</v>
      </c>
      <c r="C1839" s="115">
        <v>40835</v>
      </c>
      <c r="D1839" s="115" t="s">
        <v>415</v>
      </c>
      <c r="E1839" s="115">
        <v>40835</v>
      </c>
      <c r="F1839" s="116" t="s">
        <v>1171</v>
      </c>
      <c r="G1839" s="224" t="s">
        <v>1172</v>
      </c>
      <c r="H1839" s="4" t="s">
        <v>348</v>
      </c>
      <c r="I1839" s="141">
        <v>20</v>
      </c>
      <c r="J1839" s="141">
        <v>64000</v>
      </c>
      <c r="K1839" s="238">
        <v>1280000</v>
      </c>
      <c r="L1839" s="118" t="s">
        <v>153</v>
      </c>
      <c r="M1839" s="118" t="s">
        <v>44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21">
        <v>10</v>
      </c>
    </row>
    <row r="1840" spans="1:26" ht="15.75" customHeight="1">
      <c r="A1840" s="125" t="str">
        <f>IF(B1840&lt;&gt;"",IF(AND(B1840&gt;=_TM1,B1840&lt;=_TM2,OR(TH!L1840="1111",TH!M1840="1111")),TH!D1840,""),"")</f>
        <v>C05</v>
      </c>
      <c r="B1840" s="11">
        <f t="shared" si="151"/>
        <v>10</v>
      </c>
      <c r="C1840" s="115">
        <v>40835</v>
      </c>
      <c r="D1840" s="115" t="s">
        <v>415</v>
      </c>
      <c r="E1840" s="115">
        <v>40835</v>
      </c>
      <c r="F1840" s="116" t="s">
        <v>1110</v>
      </c>
      <c r="G1840" s="224" t="s">
        <v>1172</v>
      </c>
      <c r="H1840" s="4" t="s">
        <v>348</v>
      </c>
      <c r="I1840" s="141"/>
      <c r="J1840" s="141"/>
      <c r="K1840" s="13">
        <v>128000</v>
      </c>
      <c r="L1840" s="118" t="s">
        <v>9</v>
      </c>
      <c r="M1840" s="118" t="s">
        <v>44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21">
        <v>10</v>
      </c>
    </row>
    <row r="1841" spans="1:26" ht="15.75" customHeight="1">
      <c r="A1841" s="125" t="str">
        <f>IF(B1841&lt;&gt;"",IF(AND(B1841&gt;=_TM1,B1841&lt;=_TM2,OR(TH!L1841="1111",TH!M1841="1111")),TH!D1841,""),"")</f>
        <v>C06</v>
      </c>
      <c r="B1841" s="11">
        <f t="shared" si="151"/>
        <v>10</v>
      </c>
      <c r="C1841" s="115">
        <v>40836</v>
      </c>
      <c r="D1841" s="115" t="s">
        <v>416</v>
      </c>
      <c r="E1841" s="115">
        <v>40836</v>
      </c>
      <c r="F1841" s="116" t="s">
        <v>1173</v>
      </c>
      <c r="G1841" s="224" t="s">
        <v>1174</v>
      </c>
      <c r="H1841" s="4" t="s">
        <v>348</v>
      </c>
      <c r="I1841" s="141"/>
      <c r="J1841" s="141"/>
      <c r="K1841" s="238">
        <v>2740000</v>
      </c>
      <c r="L1841" s="118" t="s">
        <v>153</v>
      </c>
      <c r="M1841" s="118" t="s">
        <v>44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21">
        <v>10</v>
      </c>
    </row>
    <row r="1842" spans="1:26" ht="15.75" customHeight="1">
      <c r="A1842" s="125" t="str">
        <f>IF(B1842&lt;&gt;"",IF(AND(B1842&gt;=_TM1,B1842&lt;=_TM2,OR(TH!L1842="1111",TH!M1842="1111")),TH!D1842,""),"")</f>
        <v>C06</v>
      </c>
      <c r="B1842" s="11">
        <f t="shared" si="151"/>
        <v>10</v>
      </c>
      <c r="C1842" s="115">
        <v>40836</v>
      </c>
      <c r="D1842" s="115" t="s">
        <v>416</v>
      </c>
      <c r="E1842" s="115">
        <v>40836</v>
      </c>
      <c r="F1842" s="116" t="s">
        <v>1110</v>
      </c>
      <c r="G1842" s="224" t="s">
        <v>1174</v>
      </c>
      <c r="H1842" s="4" t="s">
        <v>348</v>
      </c>
      <c r="I1842" s="141"/>
      <c r="J1842" s="141"/>
      <c r="K1842" s="13">
        <v>274000</v>
      </c>
      <c r="L1842" s="118" t="s">
        <v>9</v>
      </c>
      <c r="M1842" s="118" t="s">
        <v>44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21">
        <v>10</v>
      </c>
    </row>
    <row r="1843" spans="1:26" ht="15.75" customHeight="1">
      <c r="A1843" s="125" t="str">
        <f>IF(B1843&lt;&gt;"",IF(AND(B1843&gt;=_TM1,B1843&lt;=_TM2,OR(TH!L1843="1111",TH!M1843="1111")),TH!D1843,""),"")</f>
        <v>C07</v>
      </c>
      <c r="B1843" s="11">
        <f t="shared" si="151"/>
        <v>10</v>
      </c>
      <c r="C1843" s="115">
        <v>40836</v>
      </c>
      <c r="D1843" s="115" t="s">
        <v>417</v>
      </c>
      <c r="E1843" s="115">
        <v>40836</v>
      </c>
      <c r="F1843" s="116" t="s">
        <v>1113</v>
      </c>
      <c r="G1843" s="224" t="s">
        <v>1175</v>
      </c>
      <c r="H1843" s="117" t="s">
        <v>1168</v>
      </c>
      <c r="I1843" s="141"/>
      <c r="J1843" s="141"/>
      <c r="K1843" s="13">
        <v>603200</v>
      </c>
      <c r="L1843" s="118" t="s">
        <v>239</v>
      </c>
      <c r="M1843" s="239" t="s">
        <v>44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21"/>
    </row>
    <row r="1844" spans="1:26" ht="15.75" customHeight="1">
      <c r="A1844" s="125" t="str">
        <f>IF(B1844&lt;&gt;"",IF(AND(B1844&gt;=_TM1,B1844&lt;=_TM2,OR(TH!L1844="1111",TH!M1844="1111")),TH!D1844,""),"")</f>
        <v/>
      </c>
      <c r="B1844" s="11">
        <f t="shared" si="151"/>
        <v>10</v>
      </c>
      <c r="C1844" s="115">
        <v>40836</v>
      </c>
      <c r="D1844" s="115" t="s">
        <v>908</v>
      </c>
      <c r="E1844" s="115">
        <v>40836</v>
      </c>
      <c r="F1844" s="116" t="s">
        <v>1210</v>
      </c>
      <c r="G1844" s="224" t="s">
        <v>1184</v>
      </c>
      <c r="H1844" s="117" t="s">
        <v>709</v>
      </c>
      <c r="I1844" s="141">
        <v>150</v>
      </c>
      <c r="J1844" s="141">
        <v>10397</v>
      </c>
      <c r="K1844" s="238">
        <v>1559550</v>
      </c>
      <c r="L1844" s="118" t="s">
        <v>237</v>
      </c>
      <c r="M1844" s="118" t="s">
        <v>163</v>
      </c>
      <c r="N1844" s="25" t="str">
        <f>IF(AND('331-CT'!$E$7=TH!H1844,OR(L1844="331",M1844="331")),"331",IF(AND(OR(L1844="131",M1844="131"),H1844='131-CT'!$E$7),"131",""))</f>
        <v>131</v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21"/>
    </row>
    <row r="1845" spans="1:26" ht="15.75" customHeight="1">
      <c r="A1845" s="125" t="str">
        <f>IF(B1845&lt;&gt;"",IF(AND(B1845&gt;=_TM1,B1845&lt;=_TM2,OR(TH!L1845="1111",TH!M1845="1111")),TH!D1845,""),"")</f>
        <v/>
      </c>
      <c r="B1845" s="11">
        <f t="shared" si="151"/>
        <v>10</v>
      </c>
      <c r="C1845" s="115">
        <v>40836</v>
      </c>
      <c r="D1845" s="115" t="s">
        <v>908</v>
      </c>
      <c r="E1845" s="115">
        <v>40836</v>
      </c>
      <c r="F1845" s="116" t="s">
        <v>1211</v>
      </c>
      <c r="G1845" s="224" t="s">
        <v>1184</v>
      </c>
      <c r="H1845" s="117" t="s">
        <v>709</v>
      </c>
      <c r="I1845" s="141">
        <v>200</v>
      </c>
      <c r="J1845" s="141">
        <v>12869</v>
      </c>
      <c r="K1845" s="238">
        <v>2573800</v>
      </c>
      <c r="L1845" s="118" t="s">
        <v>237</v>
      </c>
      <c r="M1845" s="118" t="s">
        <v>163</v>
      </c>
      <c r="N1845" s="25" t="str">
        <f>IF(AND('331-CT'!$E$7=TH!H1845,OR(L1845="331",M1845="331")),"331",IF(AND(OR(L1845="131",M1845="131"),H1845='131-CT'!$E$7),"131",""))</f>
        <v>131</v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21"/>
    </row>
    <row r="1846" spans="1:26" ht="15.75" customHeight="1">
      <c r="A1846" s="125" t="str">
        <f>IF(B1846&lt;&gt;"",IF(AND(B1846&gt;=_TM1,B1846&lt;=_TM2,OR(TH!L1846="1111",TH!M1846="1111")),TH!D1846,""),"")</f>
        <v/>
      </c>
      <c r="B1846" s="11">
        <f t="shared" si="151"/>
        <v>10</v>
      </c>
      <c r="C1846" s="115">
        <v>40836</v>
      </c>
      <c r="D1846" s="115" t="s">
        <v>908</v>
      </c>
      <c r="E1846" s="115">
        <v>40836</v>
      </c>
      <c r="F1846" s="116" t="s">
        <v>1204</v>
      </c>
      <c r="G1846" s="224" t="s">
        <v>1184</v>
      </c>
      <c r="H1846" s="117" t="s">
        <v>709</v>
      </c>
      <c r="I1846" s="141">
        <v>220</v>
      </c>
      <c r="J1846" s="141">
        <v>14450</v>
      </c>
      <c r="K1846" s="238">
        <v>3179000</v>
      </c>
      <c r="L1846" s="118" t="s">
        <v>237</v>
      </c>
      <c r="M1846" s="118" t="s">
        <v>163</v>
      </c>
      <c r="N1846" s="25" t="str">
        <f>IF(AND('331-CT'!$E$7=TH!H1846,OR(L1846="331",M1846="331")),"331",IF(AND(OR(L1846="131",M1846="131"),H1846='131-CT'!$E$7),"131",""))</f>
        <v>131</v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21"/>
    </row>
    <row r="1847" spans="1:26" ht="15.75" customHeight="1">
      <c r="A1847" s="125" t="str">
        <f>IF(B1847&lt;&gt;"",IF(AND(B1847&gt;=_TM1,B1847&lt;=_TM2,OR(TH!L1847="1111",TH!M1847="1111")),TH!D1847,""),"")</f>
        <v/>
      </c>
      <c r="B1847" s="11">
        <f t="shared" si="151"/>
        <v>10</v>
      </c>
      <c r="C1847" s="115">
        <v>40836</v>
      </c>
      <c r="D1847" s="115" t="s">
        <v>908</v>
      </c>
      <c r="E1847" s="115">
        <v>40836</v>
      </c>
      <c r="F1847" s="116" t="s">
        <v>1203</v>
      </c>
      <c r="G1847" s="224" t="s">
        <v>1184</v>
      </c>
      <c r="H1847" s="117" t="s">
        <v>709</v>
      </c>
      <c r="I1847" s="141">
        <v>180</v>
      </c>
      <c r="J1847" s="141">
        <v>11420</v>
      </c>
      <c r="K1847" s="238">
        <v>2055600</v>
      </c>
      <c r="L1847" s="118" t="s">
        <v>237</v>
      </c>
      <c r="M1847" s="118" t="s">
        <v>163</v>
      </c>
      <c r="N1847" s="25" t="str">
        <f>IF(AND('331-CT'!$E$7=TH!H1847,OR(L1847="331",M1847="331")),"331",IF(AND(OR(L1847="131",M1847="131"),H1847='131-CT'!$E$7),"131",""))</f>
        <v>131</v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21"/>
    </row>
    <row r="1848" spans="1:26" ht="15.75" customHeight="1">
      <c r="A1848" s="125" t="str">
        <f>IF(B1848&lt;&gt;"",IF(AND(B1848&gt;=_TM1,B1848&lt;=_TM2,OR(TH!L1848="1111",TH!M1848="1111")),TH!D1848,""),"")</f>
        <v/>
      </c>
      <c r="B1848" s="11">
        <f t="shared" si="151"/>
        <v>10</v>
      </c>
      <c r="C1848" s="115">
        <v>40836</v>
      </c>
      <c r="D1848" s="115" t="s">
        <v>908</v>
      </c>
      <c r="E1848" s="115">
        <v>40836</v>
      </c>
      <c r="F1848" s="116" t="s">
        <v>1205</v>
      </c>
      <c r="G1848" s="224" t="s">
        <v>1184</v>
      </c>
      <c r="H1848" s="117" t="s">
        <v>709</v>
      </c>
      <c r="I1848" s="141">
        <v>297</v>
      </c>
      <c r="J1848" s="141">
        <v>13881</v>
      </c>
      <c r="K1848" s="238">
        <v>4122657</v>
      </c>
      <c r="L1848" s="118" t="s">
        <v>237</v>
      </c>
      <c r="M1848" s="118" t="s">
        <v>163</v>
      </c>
      <c r="N1848" s="25" t="str">
        <f>IF(AND('331-CT'!$E$7=TH!H1848,OR(L1848="331",M1848="331")),"331",IF(AND(OR(L1848="131",M1848="131"),H1848='131-CT'!$E$7),"131",""))</f>
        <v>131</v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21"/>
    </row>
    <row r="1849" spans="1:26" ht="15.75" customHeight="1">
      <c r="A1849" s="125" t="str">
        <f>IF(B1849&lt;&gt;"",IF(AND(B1849&gt;=_TM1,B1849&lt;=_TM2,OR(TH!L1849="1111",TH!M1849="1111")),TH!D1849,""),"")</f>
        <v/>
      </c>
      <c r="B1849" s="11">
        <f t="shared" si="151"/>
        <v>10</v>
      </c>
      <c r="C1849" s="115">
        <v>40836</v>
      </c>
      <c r="D1849" s="115" t="s">
        <v>908</v>
      </c>
      <c r="E1849" s="115">
        <v>40836</v>
      </c>
      <c r="F1849" s="116" t="s">
        <v>1209</v>
      </c>
      <c r="G1849" s="224" t="s">
        <v>1184</v>
      </c>
      <c r="H1849" s="117" t="s">
        <v>709</v>
      </c>
      <c r="I1849" s="141">
        <v>320</v>
      </c>
      <c r="J1849" s="141">
        <v>17372</v>
      </c>
      <c r="K1849" s="238">
        <v>5559040</v>
      </c>
      <c r="L1849" s="118" t="s">
        <v>237</v>
      </c>
      <c r="M1849" s="118" t="s">
        <v>163</v>
      </c>
      <c r="N1849" s="25" t="str">
        <f>IF(AND('331-CT'!$E$7=TH!H1849,OR(L1849="331",M1849="331")),"331",IF(AND(OR(L1849="131",M1849="131"),H1849='131-CT'!$E$7),"131",""))</f>
        <v>131</v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21"/>
    </row>
    <row r="1850" spans="1:26" ht="15.75" customHeight="1">
      <c r="A1850" s="125" t="str">
        <f>IF(B1850&lt;&gt;"",IF(AND(B1850&gt;=_TM1,B1850&lt;=_TM2,OR(TH!L1850="1111",TH!M1850="1111")),TH!D1850,""),"")</f>
        <v/>
      </c>
      <c r="B1850" s="11">
        <f t="shared" si="151"/>
        <v>10</v>
      </c>
      <c r="C1850" s="115">
        <v>40836</v>
      </c>
      <c r="D1850" s="115" t="s">
        <v>908</v>
      </c>
      <c r="E1850" s="115">
        <v>40836</v>
      </c>
      <c r="F1850" s="116" t="s">
        <v>1206</v>
      </c>
      <c r="G1850" s="224" t="s">
        <v>1184</v>
      </c>
      <c r="H1850" s="117" t="s">
        <v>709</v>
      </c>
      <c r="I1850" s="141">
        <v>150</v>
      </c>
      <c r="J1850" s="141">
        <v>20981</v>
      </c>
      <c r="K1850" s="238">
        <v>3147150</v>
      </c>
      <c r="L1850" s="118" t="s">
        <v>237</v>
      </c>
      <c r="M1850" s="118" t="s">
        <v>163</v>
      </c>
      <c r="N1850" s="25" t="str">
        <f>IF(AND('331-CT'!$E$7=TH!H1850,OR(L1850="331",M1850="331")),"331",IF(AND(OR(L1850="131",M1850="131"),H1850='131-CT'!$E$7),"131",""))</f>
        <v>131</v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21"/>
    </row>
    <row r="1851" spans="1:26" ht="15.75" customHeight="1">
      <c r="A1851" s="125" t="str">
        <f>IF(B1851&lt;&gt;"",IF(AND(B1851&gt;=_TM1,B1851&lt;=_TM2,OR(TH!L1851="1111",TH!M1851="1111")),TH!D1851,""),"")</f>
        <v/>
      </c>
      <c r="B1851" s="11">
        <f t="shared" si="151"/>
        <v>10</v>
      </c>
      <c r="C1851" s="115">
        <v>40836</v>
      </c>
      <c r="D1851" s="115" t="s">
        <v>908</v>
      </c>
      <c r="E1851" s="115">
        <v>40836</v>
      </c>
      <c r="F1851" s="116" t="s">
        <v>1212</v>
      </c>
      <c r="G1851" s="224" t="s">
        <v>1184</v>
      </c>
      <c r="H1851" s="117" t="s">
        <v>709</v>
      </c>
      <c r="I1851" s="141">
        <v>270</v>
      </c>
      <c r="J1851" s="141">
        <v>16832</v>
      </c>
      <c r="K1851" s="238">
        <v>4544640</v>
      </c>
      <c r="L1851" s="118" t="s">
        <v>237</v>
      </c>
      <c r="M1851" s="118" t="s">
        <v>163</v>
      </c>
      <c r="N1851" s="25" t="str">
        <f>IF(AND('331-CT'!$E$7=TH!H1851,OR(L1851="331",M1851="331")),"331",IF(AND(OR(L1851="131",M1851="131"),H1851='131-CT'!$E$7),"131",""))</f>
        <v>131</v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21"/>
    </row>
    <row r="1852" spans="1:26" ht="15.75" customHeight="1">
      <c r="A1852" s="125" t="str">
        <f>IF(B1852&lt;&gt;"",IF(AND(B1852&gt;=_TM1,B1852&lt;=_TM2,OR(TH!L1852="1111",TH!M1852="1111")),TH!D1852,""),"")</f>
        <v/>
      </c>
      <c r="B1852" s="11">
        <f t="shared" si="151"/>
        <v>10</v>
      </c>
      <c r="C1852" s="115">
        <v>40836</v>
      </c>
      <c r="D1852" s="115" t="s">
        <v>908</v>
      </c>
      <c r="E1852" s="115">
        <v>40836</v>
      </c>
      <c r="F1852" s="116" t="s">
        <v>724</v>
      </c>
      <c r="G1852" s="224" t="s">
        <v>1184</v>
      </c>
      <c r="H1852" s="117" t="s">
        <v>709</v>
      </c>
      <c r="I1852" s="141">
        <v>190</v>
      </c>
      <c r="J1852" s="141">
        <v>10253</v>
      </c>
      <c r="K1852" s="238">
        <v>1948070</v>
      </c>
      <c r="L1852" s="118" t="s">
        <v>237</v>
      </c>
      <c r="M1852" s="118" t="s">
        <v>163</v>
      </c>
      <c r="N1852" s="25" t="str">
        <f>IF(AND('331-CT'!$E$7=TH!H1852,OR(L1852="331",M1852="331")),"331",IF(AND(OR(L1852="131",M1852="131"),H1852='131-CT'!$E$7),"131",""))</f>
        <v>131</v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21"/>
    </row>
    <row r="1853" spans="1:26" ht="15.75" customHeight="1">
      <c r="A1853" s="125" t="str">
        <f>IF(B1853&lt;&gt;"",IF(AND(B1853&gt;=_TM1,B1853&lt;=_TM2,OR(TH!L1853="1111",TH!M1853="1111")),TH!D1853,""),"")</f>
        <v/>
      </c>
      <c r="B1853" s="281">
        <f t="shared" si="151"/>
        <v>10</v>
      </c>
      <c r="C1853" s="115">
        <v>40836</v>
      </c>
      <c r="D1853" s="115" t="s">
        <v>908</v>
      </c>
      <c r="E1853" s="115">
        <v>40836</v>
      </c>
      <c r="F1853" s="116" t="s">
        <v>722</v>
      </c>
      <c r="G1853" s="224" t="s">
        <v>1184</v>
      </c>
      <c r="H1853" s="117" t="s">
        <v>709</v>
      </c>
      <c r="I1853" s="141">
        <v>320</v>
      </c>
      <c r="J1853" s="141">
        <v>10595</v>
      </c>
      <c r="K1853" s="238">
        <v>3390400</v>
      </c>
      <c r="L1853" s="118" t="s">
        <v>237</v>
      </c>
      <c r="M1853" s="118" t="s">
        <v>163</v>
      </c>
      <c r="N1853" s="25" t="str">
        <f>IF(AND('331-CT'!$E$7=TH!H1853,OR(L1853="331",M1853="331")),"331",IF(AND(OR(L1853="131",M1853="131"),H1853='131-CT'!$E$7),"131",""))</f>
        <v>131</v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308"/>
    </row>
    <row r="1854" spans="1:26" ht="15.75" customHeight="1">
      <c r="A1854" s="125" t="str">
        <f>IF(B1854&lt;&gt;"",IF(AND(B1854&gt;=_TM1,B1854&lt;=_TM2,OR(TH!L1854="1111",TH!M1854="1111")),TH!D1854,""),"")</f>
        <v/>
      </c>
      <c r="B1854" s="281">
        <f t="shared" si="151"/>
        <v>10</v>
      </c>
      <c r="C1854" s="115">
        <v>40836</v>
      </c>
      <c r="D1854" s="115" t="s">
        <v>908</v>
      </c>
      <c r="E1854" s="115">
        <v>40836</v>
      </c>
      <c r="F1854" s="116" t="s">
        <v>731</v>
      </c>
      <c r="G1854" s="224" t="s">
        <v>1184</v>
      </c>
      <c r="H1854" s="117" t="s">
        <v>709</v>
      </c>
      <c r="I1854" s="141">
        <v>300</v>
      </c>
      <c r="J1854" s="141">
        <v>12179</v>
      </c>
      <c r="K1854" s="238">
        <v>3653700</v>
      </c>
      <c r="L1854" s="118" t="s">
        <v>237</v>
      </c>
      <c r="M1854" s="118" t="s">
        <v>163</v>
      </c>
      <c r="N1854" s="25" t="str">
        <f>IF(AND('331-CT'!$E$7=TH!H1854,OR(L1854="331",M1854="331")),"331",IF(AND(OR(L1854="131",M1854="131"),H1854='131-CT'!$E$7),"131",""))</f>
        <v>131</v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308"/>
    </row>
    <row r="1855" spans="1:26" ht="15.75" customHeight="1">
      <c r="A1855" s="125" t="str">
        <f>IF(B1855&lt;&gt;"",IF(AND(B1855&gt;=_TM1,B1855&lt;=_TM2,OR(TH!L1855="1111",TH!M1855="1111")),TH!D1855,""),"")</f>
        <v/>
      </c>
      <c r="B1855" s="281">
        <f t="shared" si="151"/>
        <v>10</v>
      </c>
      <c r="C1855" s="115">
        <v>40836</v>
      </c>
      <c r="D1855" s="115" t="s">
        <v>908</v>
      </c>
      <c r="E1855" s="115">
        <v>40836</v>
      </c>
      <c r="F1855" s="116" t="s">
        <v>726</v>
      </c>
      <c r="G1855" s="224" t="s">
        <v>1184</v>
      </c>
      <c r="H1855" s="117" t="s">
        <v>709</v>
      </c>
      <c r="I1855" s="141">
        <v>350</v>
      </c>
      <c r="J1855" s="141">
        <v>15618</v>
      </c>
      <c r="K1855" s="238">
        <v>5466300</v>
      </c>
      <c r="L1855" s="118" t="s">
        <v>237</v>
      </c>
      <c r="M1855" s="118" t="s">
        <v>163</v>
      </c>
      <c r="N1855" s="25" t="str">
        <f>IF(AND('331-CT'!$E$7=TH!H1855,OR(L1855="331",M1855="331")),"331",IF(AND(OR(L1855="131",M1855="131"),H1855='131-CT'!$E$7),"131",""))</f>
        <v>131</v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308"/>
    </row>
    <row r="1856" spans="1:26" ht="15.75" customHeight="1">
      <c r="A1856" s="125" t="str">
        <f>IF(B1856&lt;&gt;"",IF(AND(B1856&gt;=_TM1,B1856&lt;=_TM2,OR(TH!L1856="1111",TH!M1856="1111")),TH!D1856,""),"")</f>
        <v/>
      </c>
      <c r="B1856" s="281">
        <f t="shared" si="151"/>
        <v>10</v>
      </c>
      <c r="C1856" s="115">
        <v>40836</v>
      </c>
      <c r="D1856" s="115" t="s">
        <v>908</v>
      </c>
      <c r="E1856" s="115">
        <v>40836</v>
      </c>
      <c r="F1856" s="116" t="s">
        <v>1207</v>
      </c>
      <c r="G1856" s="224" t="s">
        <v>1184</v>
      </c>
      <c r="H1856" s="117" t="s">
        <v>709</v>
      </c>
      <c r="I1856" s="141">
        <v>290</v>
      </c>
      <c r="J1856" s="141">
        <v>16534</v>
      </c>
      <c r="K1856" s="238">
        <v>4794860</v>
      </c>
      <c r="L1856" s="118" t="s">
        <v>237</v>
      </c>
      <c r="M1856" s="118" t="s">
        <v>163</v>
      </c>
      <c r="N1856" s="25" t="str">
        <f>IF(AND('331-CT'!$E$7=TH!H1856,OR(L1856="331",M1856="331")),"331",IF(AND(OR(L1856="131",M1856="131"),H1856='131-CT'!$E$7),"131",""))</f>
        <v>131</v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308"/>
    </row>
    <row r="1857" spans="1:26" ht="15.75" customHeight="1">
      <c r="A1857" s="125" t="str">
        <f>IF(B1857&lt;&gt;"",IF(AND(B1857&gt;=_TM1,B1857&lt;=_TM2,OR(TH!L1857="1111",TH!M1857="1111")),TH!D1857,""),"")</f>
        <v/>
      </c>
      <c r="B1857" s="281">
        <f t="shared" si="151"/>
        <v>10</v>
      </c>
      <c r="C1857" s="115">
        <v>40836</v>
      </c>
      <c r="D1857" s="115" t="s">
        <v>908</v>
      </c>
      <c r="E1857" s="115">
        <v>40836</v>
      </c>
      <c r="F1857" s="116" t="s">
        <v>1213</v>
      </c>
      <c r="G1857" s="224" t="s">
        <v>1184</v>
      </c>
      <c r="H1857" s="117" t="s">
        <v>709</v>
      </c>
      <c r="I1857" s="141">
        <v>130</v>
      </c>
      <c r="J1857" s="141">
        <v>20633</v>
      </c>
      <c r="K1857" s="238">
        <v>2682290</v>
      </c>
      <c r="L1857" s="118" t="s">
        <v>237</v>
      </c>
      <c r="M1857" s="118" t="s">
        <v>163</v>
      </c>
      <c r="N1857" s="25" t="str">
        <f>IF(AND('331-CT'!$E$7=TH!H1857,OR(L1857="331",M1857="331")),"331",IF(AND(OR(L1857="131",M1857="131"),H1857='131-CT'!$E$7),"131",""))</f>
        <v>131</v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308"/>
    </row>
    <row r="1858" spans="1:26" ht="15.75" customHeight="1">
      <c r="A1858" s="125" t="str">
        <f>IF(B1858&lt;&gt;"",IF(AND(B1858&gt;=_TM1,B1858&lt;=_TM2,OR(TH!L1858="1111",TH!M1858="1111")),TH!D1858,""),"")</f>
        <v/>
      </c>
      <c r="B1858" s="281">
        <f t="shared" si="151"/>
        <v>10</v>
      </c>
      <c r="C1858" s="115">
        <v>40836</v>
      </c>
      <c r="D1858" s="115" t="s">
        <v>908</v>
      </c>
      <c r="E1858" s="115">
        <v>40836</v>
      </c>
      <c r="F1858" s="116" t="s">
        <v>1121</v>
      </c>
      <c r="G1858" s="224" t="s">
        <v>1184</v>
      </c>
      <c r="H1858" s="117" t="s">
        <v>709</v>
      </c>
      <c r="I1858" s="141"/>
      <c r="J1858" s="141"/>
      <c r="K1858" s="238">
        <f>4867706+1</f>
        <v>4867707</v>
      </c>
      <c r="L1858" s="118" t="s">
        <v>237</v>
      </c>
      <c r="M1858" s="118" t="s">
        <v>707</v>
      </c>
      <c r="N1858" s="25" t="str">
        <f>IF(AND('331-CT'!$E$7=TH!H1858,OR(L1858="331",M1858="331")),"331",IF(AND(OR(L1858="131",M1858="131"),H1858='131-CT'!$E$7),"131",""))</f>
        <v>131</v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308"/>
    </row>
    <row r="1859" spans="1:26" ht="15.75" customHeight="1">
      <c r="A1859" s="125" t="str">
        <f>IF(B1859&lt;&gt;"",IF(AND(B1859&gt;=_TM1,B1859&lt;=_TM2,OR(TH!L1859="1111",TH!M1859="1111")),TH!D1859,""),"")</f>
        <v/>
      </c>
      <c r="B1859" s="11">
        <f t="shared" si="151"/>
        <v>10</v>
      </c>
      <c r="C1859" s="324">
        <f t="shared" ref="C1859:C1888" si="152">E1859</f>
        <v>40836</v>
      </c>
      <c r="D1859" s="324" t="s">
        <v>1043</v>
      </c>
      <c r="E1859" s="12">
        <v>40836</v>
      </c>
      <c r="F1859" s="15" t="s">
        <v>565</v>
      </c>
      <c r="G1859" s="15"/>
      <c r="H1859" s="242" t="s">
        <v>1037</v>
      </c>
      <c r="I1859" s="141">
        <v>86</v>
      </c>
      <c r="J1859" s="141">
        <v>36906</v>
      </c>
      <c r="K1859" s="238">
        <f t="shared" ref="K1859:K1888" si="153">ROUND(I1859*J1859,0)</f>
        <v>3173916</v>
      </c>
      <c r="L1859" s="25" t="s">
        <v>153</v>
      </c>
      <c r="M1859" s="25" t="s">
        <v>147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21"/>
    </row>
    <row r="1860" spans="1:26" ht="15.75" customHeight="1">
      <c r="A1860" s="125" t="str">
        <f>IF(B1860&lt;&gt;"",IF(AND(B1860&gt;=_TM1,B1860&lt;=_TM2,OR(TH!L1860="1111",TH!M1860="1111")),TH!D1860,""),"")</f>
        <v/>
      </c>
      <c r="B1860" s="11">
        <f t="shared" si="151"/>
        <v>10</v>
      </c>
      <c r="C1860" s="324">
        <f t="shared" si="152"/>
        <v>40836</v>
      </c>
      <c r="D1860" s="324" t="s">
        <v>1043</v>
      </c>
      <c r="E1860" s="12">
        <v>40836</v>
      </c>
      <c r="F1860" s="15" t="s">
        <v>570</v>
      </c>
      <c r="G1860" s="15"/>
      <c r="H1860" s="242" t="s">
        <v>1037</v>
      </c>
      <c r="I1860" s="141">
        <v>326</v>
      </c>
      <c r="J1860" s="141">
        <v>23611.12883435583</v>
      </c>
      <c r="K1860" s="238">
        <f t="shared" si="153"/>
        <v>7697228</v>
      </c>
      <c r="L1860" s="25" t="s">
        <v>153</v>
      </c>
      <c r="M1860" s="25" t="s">
        <v>147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21"/>
    </row>
    <row r="1861" spans="1:26" ht="15.75" customHeight="1">
      <c r="A1861" s="125" t="str">
        <f>IF(B1861&lt;&gt;"",IF(AND(B1861&gt;=_TM1,B1861&lt;=_TM2,OR(TH!L1861="1111",TH!M1861="1111")),TH!D1861,""),"")</f>
        <v/>
      </c>
      <c r="B1861" s="281">
        <f t="shared" si="151"/>
        <v>10</v>
      </c>
      <c r="C1861" s="324">
        <f t="shared" si="152"/>
        <v>40836</v>
      </c>
      <c r="D1861" s="21" t="s">
        <v>1061</v>
      </c>
      <c r="E1861" s="21">
        <v>40836</v>
      </c>
      <c r="F1861" s="331" t="s">
        <v>1210</v>
      </c>
      <c r="G1861" s="22"/>
      <c r="H1861" s="332" t="s">
        <v>1037</v>
      </c>
      <c r="I1861" s="139">
        <v>150</v>
      </c>
      <c r="J1861" s="139">
        <v>7107.5015191787761</v>
      </c>
      <c r="K1861" s="285">
        <f t="shared" si="153"/>
        <v>1066125</v>
      </c>
      <c r="L1861" s="25" t="s">
        <v>155</v>
      </c>
      <c r="M1861" s="25" t="s">
        <v>153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308"/>
    </row>
    <row r="1862" spans="1:26" ht="15.75" customHeight="1">
      <c r="A1862" s="125" t="str">
        <f>IF(B1862&lt;&gt;"",IF(AND(B1862&gt;=_TM1,B1862&lt;=_TM2,OR(TH!L1862="1111",TH!M1862="1111")),TH!D1862,""),"")</f>
        <v/>
      </c>
      <c r="B1862" s="281">
        <f t="shared" si="151"/>
        <v>10</v>
      </c>
      <c r="C1862" s="324">
        <f t="shared" si="152"/>
        <v>40836</v>
      </c>
      <c r="D1862" s="21" t="s">
        <v>1061</v>
      </c>
      <c r="E1862" s="21">
        <v>40836</v>
      </c>
      <c r="F1862" s="331" t="s">
        <v>1211</v>
      </c>
      <c r="G1862" s="22"/>
      <c r="H1862" s="332" t="s">
        <v>1037</v>
      </c>
      <c r="I1862" s="139">
        <v>200</v>
      </c>
      <c r="J1862" s="139">
        <v>10854.50318584544</v>
      </c>
      <c r="K1862" s="285">
        <f t="shared" si="153"/>
        <v>2170901</v>
      </c>
      <c r="L1862" s="25" t="s">
        <v>155</v>
      </c>
      <c r="M1862" s="25" t="s">
        <v>153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308"/>
    </row>
    <row r="1863" spans="1:26" ht="15.75" customHeight="1">
      <c r="A1863" s="125" t="str">
        <f>IF(B1863&lt;&gt;"",IF(AND(B1863&gt;=_TM1,B1863&lt;=_TM2,OR(TH!L1863="1111",TH!M1863="1111")),TH!D1863,""),"")</f>
        <v/>
      </c>
      <c r="B1863" s="281">
        <f t="shared" si="151"/>
        <v>10</v>
      </c>
      <c r="C1863" s="324">
        <f t="shared" si="152"/>
        <v>40836</v>
      </c>
      <c r="D1863" s="21" t="s">
        <v>1061</v>
      </c>
      <c r="E1863" s="21">
        <v>40836</v>
      </c>
      <c r="F1863" s="331" t="s">
        <v>1204</v>
      </c>
      <c r="G1863" s="22"/>
      <c r="H1863" s="332" t="s">
        <v>1037</v>
      </c>
      <c r="I1863" s="139">
        <v>220</v>
      </c>
      <c r="J1863" s="139">
        <v>9657.5945494818079</v>
      </c>
      <c r="K1863" s="285">
        <f t="shared" si="153"/>
        <v>2124671</v>
      </c>
      <c r="L1863" s="25" t="s">
        <v>155</v>
      </c>
      <c r="M1863" s="25" t="s">
        <v>153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308"/>
    </row>
    <row r="1864" spans="1:26" ht="15.75" customHeight="1">
      <c r="A1864" s="125" t="str">
        <f>IF(B1864&lt;&gt;"",IF(AND(B1864&gt;=_TM1,B1864&lt;=_TM2,OR(TH!L1864="1111",TH!M1864="1111")),TH!D1864,""),"")</f>
        <v/>
      </c>
      <c r="B1864" s="281">
        <f t="shared" si="151"/>
        <v>10</v>
      </c>
      <c r="C1864" s="324">
        <f t="shared" si="152"/>
        <v>40836</v>
      </c>
      <c r="D1864" s="21" t="s">
        <v>1061</v>
      </c>
      <c r="E1864" s="21">
        <v>40836</v>
      </c>
      <c r="F1864" s="331" t="s">
        <v>1203</v>
      </c>
      <c r="G1864" s="22"/>
      <c r="H1864" s="332" t="s">
        <v>1037</v>
      </c>
      <c r="I1864" s="139">
        <v>180</v>
      </c>
      <c r="J1864" s="139">
        <v>7430.5026302898868</v>
      </c>
      <c r="K1864" s="285">
        <f t="shared" si="153"/>
        <v>1337490</v>
      </c>
      <c r="L1864" s="25" t="s">
        <v>155</v>
      </c>
      <c r="M1864" s="25" t="s">
        <v>153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308"/>
    </row>
    <row r="1865" spans="1:26" ht="15.75" customHeight="1">
      <c r="A1865" s="125" t="str">
        <f>IF(B1865&lt;&gt;"",IF(AND(B1865&gt;=_TM1,B1865&lt;=_TM2,OR(TH!L1865="1111",TH!M1865="1111")),TH!D1865,""),"")</f>
        <v/>
      </c>
      <c r="B1865" s="281">
        <f t="shared" si="151"/>
        <v>10</v>
      </c>
      <c r="C1865" s="324">
        <f t="shared" si="152"/>
        <v>40836</v>
      </c>
      <c r="D1865" s="21" t="s">
        <v>1061</v>
      </c>
      <c r="E1865" s="21">
        <v>40836</v>
      </c>
      <c r="F1865" s="331" t="s">
        <v>1205</v>
      </c>
      <c r="G1865" s="22"/>
      <c r="H1865" s="332" t="s">
        <v>1037</v>
      </c>
      <c r="I1865" s="139">
        <v>297</v>
      </c>
      <c r="J1865" s="139">
        <v>11136.484616821876</v>
      </c>
      <c r="K1865" s="285">
        <f t="shared" si="153"/>
        <v>3307536</v>
      </c>
      <c r="L1865" s="25" t="s">
        <v>155</v>
      </c>
      <c r="M1865" s="25" t="s">
        <v>153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308"/>
    </row>
    <row r="1866" spans="1:26" ht="15.75" customHeight="1">
      <c r="A1866" s="125" t="str">
        <f>IF(B1866&lt;&gt;"",IF(AND(B1866&gt;=_TM1,B1866&lt;=_TM2,OR(TH!L1866="1111",TH!M1866="1111")),TH!D1866,""),"")</f>
        <v/>
      </c>
      <c r="B1866" s="281">
        <f t="shared" si="151"/>
        <v>10</v>
      </c>
      <c r="C1866" s="324">
        <f t="shared" si="152"/>
        <v>40836</v>
      </c>
      <c r="D1866" s="21" t="s">
        <v>1061</v>
      </c>
      <c r="E1866" s="21">
        <v>40836</v>
      </c>
      <c r="F1866" s="331" t="s">
        <v>1209</v>
      </c>
      <c r="G1866" s="22"/>
      <c r="H1866" s="332" t="s">
        <v>1037</v>
      </c>
      <c r="I1866" s="139">
        <v>320</v>
      </c>
      <c r="J1866" s="139">
        <v>11216.317560845442</v>
      </c>
      <c r="K1866" s="285">
        <f t="shared" si="153"/>
        <v>3589222</v>
      </c>
      <c r="L1866" s="25" t="s">
        <v>155</v>
      </c>
      <c r="M1866" s="25" t="s">
        <v>153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308"/>
    </row>
    <row r="1867" spans="1:26" ht="15.75" customHeight="1">
      <c r="A1867" s="125" t="str">
        <f>IF(B1867&lt;&gt;"",IF(AND(B1867&gt;=_TM1,B1867&lt;=_TM2,OR(TH!L1867="1111",TH!M1867="1111")),TH!D1867,""),"")</f>
        <v/>
      </c>
      <c r="B1867" s="281">
        <f t="shared" si="151"/>
        <v>10</v>
      </c>
      <c r="C1867" s="324">
        <f t="shared" si="152"/>
        <v>40836</v>
      </c>
      <c r="D1867" s="21" t="s">
        <v>1061</v>
      </c>
      <c r="E1867" s="21">
        <v>40836</v>
      </c>
      <c r="F1867" s="331" t="s">
        <v>1206</v>
      </c>
      <c r="G1867" s="22"/>
      <c r="H1867" s="332" t="s">
        <v>1037</v>
      </c>
      <c r="I1867" s="139">
        <v>150</v>
      </c>
      <c r="J1867" s="139">
        <v>15701.494852512109</v>
      </c>
      <c r="K1867" s="285">
        <f t="shared" si="153"/>
        <v>2355224</v>
      </c>
      <c r="L1867" s="25" t="s">
        <v>155</v>
      </c>
      <c r="M1867" s="25" t="s">
        <v>153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308"/>
    </row>
    <row r="1868" spans="1:26" ht="15.75" customHeight="1">
      <c r="A1868" s="125" t="str">
        <f>IF(B1868&lt;&gt;"",IF(AND(B1868&gt;=_TM1,B1868&lt;=_TM2,OR(TH!L1868="1111",TH!M1868="1111")),TH!D1868,""),"")</f>
        <v/>
      </c>
      <c r="B1868" s="281">
        <f t="shared" si="151"/>
        <v>10</v>
      </c>
      <c r="C1868" s="324">
        <f t="shared" si="152"/>
        <v>40836</v>
      </c>
      <c r="D1868" s="21" t="s">
        <v>1061</v>
      </c>
      <c r="E1868" s="21">
        <v>40836</v>
      </c>
      <c r="F1868" s="331" t="s">
        <v>1212</v>
      </c>
      <c r="G1868" s="22"/>
      <c r="H1868" s="332" t="s">
        <v>1037</v>
      </c>
      <c r="I1868" s="139">
        <v>270</v>
      </c>
      <c r="J1868" s="139">
        <v>10759.430408067663</v>
      </c>
      <c r="K1868" s="285">
        <f t="shared" si="153"/>
        <v>2905046</v>
      </c>
      <c r="L1868" s="25" t="s">
        <v>155</v>
      </c>
      <c r="M1868" s="25" t="s">
        <v>153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308"/>
    </row>
    <row r="1869" spans="1:26" ht="15.75" customHeight="1">
      <c r="A1869" s="125" t="str">
        <f>IF(B1869&lt;&gt;"",IF(AND(B1869&gt;=_TM1,B1869&lt;=_TM2,OR(TH!L1869="1111",TH!M1869="1111")),TH!D1869,""),"")</f>
        <v/>
      </c>
      <c r="B1869" s="281">
        <f t="shared" si="151"/>
        <v>10</v>
      </c>
      <c r="C1869" s="324">
        <f t="shared" si="152"/>
        <v>40836</v>
      </c>
      <c r="D1869" s="21" t="s">
        <v>1062</v>
      </c>
      <c r="E1869" s="21">
        <v>40836</v>
      </c>
      <c r="F1869" s="331" t="s">
        <v>724</v>
      </c>
      <c r="G1869" s="22"/>
      <c r="H1869" s="332" t="s">
        <v>1037</v>
      </c>
      <c r="I1869" s="139">
        <v>190</v>
      </c>
      <c r="J1869" s="139">
        <v>7168.6502911086</v>
      </c>
      <c r="K1869" s="285">
        <f t="shared" si="153"/>
        <v>1362044</v>
      </c>
      <c r="L1869" s="25" t="s">
        <v>155</v>
      </c>
      <c r="M1869" s="25" t="s">
        <v>153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308"/>
    </row>
    <row r="1870" spans="1:26" ht="15.75" customHeight="1">
      <c r="A1870" s="125" t="str">
        <f>IF(B1870&lt;&gt;"",IF(AND(B1870&gt;=_TM1,B1870&lt;=_TM2,OR(TH!L1870="1111",TH!M1870="1111")),TH!D1870,""),"")</f>
        <v/>
      </c>
      <c r="B1870" s="281">
        <f t="shared" si="151"/>
        <v>10</v>
      </c>
      <c r="C1870" s="324">
        <f t="shared" si="152"/>
        <v>40836</v>
      </c>
      <c r="D1870" s="21" t="s">
        <v>1062</v>
      </c>
      <c r="E1870" s="21">
        <v>40836</v>
      </c>
      <c r="F1870" s="331" t="s">
        <v>722</v>
      </c>
      <c r="G1870" s="22"/>
      <c r="H1870" s="332" t="s">
        <v>1037</v>
      </c>
      <c r="I1870" s="139">
        <v>320</v>
      </c>
      <c r="J1870" s="139">
        <v>7125.6581858454429</v>
      </c>
      <c r="K1870" s="285">
        <f t="shared" si="153"/>
        <v>2280211</v>
      </c>
      <c r="L1870" s="25" t="s">
        <v>155</v>
      </c>
      <c r="M1870" s="25" t="s">
        <v>153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/>
      </c>
      <c r="Z1870" s="308"/>
    </row>
    <row r="1871" spans="1:26" ht="15.75" customHeight="1">
      <c r="A1871" s="125" t="str">
        <f>IF(B1871&lt;&gt;"",IF(AND(B1871&gt;=_TM1,B1871&lt;=_TM2,OR(TH!L1871="1111",TH!M1871="1111")),TH!D1871,""),"")</f>
        <v/>
      </c>
      <c r="B1871" s="281">
        <f t="shared" si="151"/>
        <v>10</v>
      </c>
      <c r="C1871" s="324">
        <f t="shared" si="152"/>
        <v>40836</v>
      </c>
      <c r="D1871" s="21" t="s">
        <v>1062</v>
      </c>
      <c r="E1871" s="21">
        <v>40836</v>
      </c>
      <c r="F1871" s="331" t="s">
        <v>731</v>
      </c>
      <c r="G1871" s="22"/>
      <c r="H1871" s="332" t="s">
        <v>1037</v>
      </c>
      <c r="I1871" s="139">
        <v>300</v>
      </c>
      <c r="J1871" s="139">
        <v>9389.7048525121081</v>
      </c>
      <c r="K1871" s="285">
        <f t="shared" si="153"/>
        <v>2816911</v>
      </c>
      <c r="L1871" s="25" t="s">
        <v>155</v>
      </c>
      <c r="M1871" s="25" t="s">
        <v>153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/>
      </c>
      <c r="Z1871" s="308"/>
    </row>
    <row r="1872" spans="1:26" ht="15.75" customHeight="1">
      <c r="A1872" s="125" t="str">
        <f>IF(B1872&lt;&gt;"",IF(AND(B1872&gt;=_TM1,B1872&lt;=_TM2,OR(TH!L1872="1111",TH!M1872="1111")),TH!D1872,""),"")</f>
        <v/>
      </c>
      <c r="B1872" s="281">
        <f t="shared" si="151"/>
        <v>10</v>
      </c>
      <c r="C1872" s="324">
        <f t="shared" si="152"/>
        <v>40836</v>
      </c>
      <c r="D1872" s="21" t="s">
        <v>1062</v>
      </c>
      <c r="E1872" s="21">
        <v>40836</v>
      </c>
      <c r="F1872" s="331" t="s">
        <v>726</v>
      </c>
      <c r="G1872" s="22"/>
      <c r="H1872" s="332" t="s">
        <v>1037</v>
      </c>
      <c r="I1872" s="139">
        <v>350</v>
      </c>
      <c r="J1872" s="139">
        <v>11395.865328702588</v>
      </c>
      <c r="K1872" s="285">
        <f t="shared" si="153"/>
        <v>3988553</v>
      </c>
      <c r="L1872" s="25" t="s">
        <v>155</v>
      </c>
      <c r="M1872" s="25" t="s">
        <v>153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/>
      </c>
      <c r="Z1872" s="308"/>
    </row>
    <row r="1873" spans="1:26" ht="15.75" customHeight="1">
      <c r="A1873" s="125" t="str">
        <f>IF(B1873&lt;&gt;"",IF(AND(B1873&gt;=_TM1,B1873&lt;=_TM2,OR(TH!L1873="1111",TH!M1873="1111")),TH!D1873,""),"")</f>
        <v/>
      </c>
      <c r="B1873" s="281">
        <f t="shared" si="151"/>
        <v>10</v>
      </c>
      <c r="C1873" s="324">
        <f t="shared" si="152"/>
        <v>40836</v>
      </c>
      <c r="D1873" s="21" t="s">
        <v>1062</v>
      </c>
      <c r="E1873" s="21">
        <v>40836</v>
      </c>
      <c r="F1873" s="331" t="s">
        <v>1207</v>
      </c>
      <c r="G1873" s="22"/>
      <c r="H1873" s="332" t="s">
        <v>1037</v>
      </c>
      <c r="I1873" s="139">
        <v>290</v>
      </c>
      <c r="J1873" s="139">
        <v>11153.042668604065</v>
      </c>
      <c r="K1873" s="285">
        <f t="shared" si="153"/>
        <v>3234382</v>
      </c>
      <c r="L1873" s="25" t="s">
        <v>155</v>
      </c>
      <c r="M1873" s="25" t="s">
        <v>153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/>
      </c>
      <c r="Z1873" s="308"/>
    </row>
    <row r="1874" spans="1:26" ht="15.75" customHeight="1">
      <c r="A1874" s="125" t="str">
        <f>IF(B1874&lt;&gt;"",IF(AND(B1874&gt;=_TM1,B1874&lt;=_TM2,OR(TH!L1874="1111",TH!M1874="1111")),TH!D1874,""),"")</f>
        <v/>
      </c>
      <c r="B1874" s="281">
        <f t="shared" si="151"/>
        <v>10</v>
      </c>
      <c r="C1874" s="324">
        <f t="shared" si="152"/>
        <v>40836</v>
      </c>
      <c r="D1874" s="21" t="s">
        <v>1062</v>
      </c>
      <c r="E1874" s="21">
        <v>40836</v>
      </c>
      <c r="F1874" s="331" t="s">
        <v>1213</v>
      </c>
      <c r="G1874" s="22"/>
      <c r="H1874" s="332" t="s">
        <v>1037</v>
      </c>
      <c r="I1874" s="139">
        <v>130</v>
      </c>
      <c r="J1874" s="139">
        <v>15454.500493537751</v>
      </c>
      <c r="K1874" s="285">
        <f t="shared" si="153"/>
        <v>2009085</v>
      </c>
      <c r="L1874" s="25" t="s">
        <v>155</v>
      </c>
      <c r="M1874" s="25" t="s">
        <v>153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/>
      </c>
      <c r="Z1874" s="308"/>
    </row>
    <row r="1875" spans="1:26" ht="15.75" customHeight="1">
      <c r="A1875" s="125" t="str">
        <f>IF(B1875&lt;&gt;"",IF(AND(B1875&gt;=_TM1,B1875&lt;=_TM2,OR(TH!L1875="1111",TH!M1875="1111")),TH!D1875,""),"")</f>
        <v/>
      </c>
      <c r="B1875" s="11">
        <f t="shared" si="151"/>
        <v>10</v>
      </c>
      <c r="C1875" s="324">
        <f t="shared" si="152"/>
        <v>40836</v>
      </c>
      <c r="D1875" s="21" t="s">
        <v>908</v>
      </c>
      <c r="E1875" s="12">
        <v>40836</v>
      </c>
      <c r="F1875" s="116" t="s">
        <v>1210</v>
      </c>
      <c r="G1875" s="224" t="s">
        <v>1184</v>
      </c>
      <c r="H1875" s="117" t="s">
        <v>709</v>
      </c>
      <c r="I1875" s="141">
        <v>150</v>
      </c>
      <c r="J1875" s="141">
        <v>7107.5015191787761</v>
      </c>
      <c r="K1875" s="238">
        <f t="shared" si="153"/>
        <v>1066125</v>
      </c>
      <c r="L1875" s="25" t="s">
        <v>161</v>
      </c>
      <c r="M1875" s="25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/>
      </c>
      <c r="Z1875" s="121"/>
    </row>
    <row r="1876" spans="1:26" ht="15.75" customHeight="1">
      <c r="A1876" s="125" t="str">
        <f>IF(B1876&lt;&gt;"",IF(AND(B1876&gt;=_TM1,B1876&lt;=_TM2,OR(TH!L1876="1111",TH!M1876="1111")),TH!D1876,""),"")</f>
        <v/>
      </c>
      <c r="B1876" s="11">
        <f t="shared" si="151"/>
        <v>10</v>
      </c>
      <c r="C1876" s="324">
        <f t="shared" si="152"/>
        <v>40836</v>
      </c>
      <c r="D1876" s="21" t="s">
        <v>908</v>
      </c>
      <c r="E1876" s="12">
        <v>40836</v>
      </c>
      <c r="F1876" s="116" t="s">
        <v>1211</v>
      </c>
      <c r="G1876" s="224" t="s">
        <v>1184</v>
      </c>
      <c r="H1876" s="117" t="s">
        <v>709</v>
      </c>
      <c r="I1876" s="141">
        <v>200</v>
      </c>
      <c r="J1876" s="141">
        <v>10854.50318584544</v>
      </c>
      <c r="K1876" s="238">
        <f t="shared" si="153"/>
        <v>2170901</v>
      </c>
      <c r="L1876" s="25" t="s">
        <v>161</v>
      </c>
      <c r="M1876" s="25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/>
      </c>
      <c r="Z1876" s="121"/>
    </row>
    <row r="1877" spans="1:26" ht="15.75" customHeight="1">
      <c r="A1877" s="125" t="str">
        <f>IF(B1877&lt;&gt;"",IF(AND(B1877&gt;=_TM1,B1877&lt;=_TM2,OR(TH!L1877="1111",TH!M1877="1111")),TH!D1877,""),"")</f>
        <v/>
      </c>
      <c r="B1877" s="11">
        <f t="shared" si="151"/>
        <v>10</v>
      </c>
      <c r="C1877" s="324">
        <f t="shared" si="152"/>
        <v>40836</v>
      </c>
      <c r="D1877" s="21" t="s">
        <v>908</v>
      </c>
      <c r="E1877" s="12">
        <v>40836</v>
      </c>
      <c r="F1877" s="116" t="s">
        <v>1204</v>
      </c>
      <c r="G1877" s="224" t="s">
        <v>1184</v>
      </c>
      <c r="H1877" s="117" t="s">
        <v>709</v>
      </c>
      <c r="I1877" s="141">
        <v>220</v>
      </c>
      <c r="J1877" s="141">
        <v>9657.5945494818079</v>
      </c>
      <c r="K1877" s="238">
        <f t="shared" si="153"/>
        <v>2124671</v>
      </c>
      <c r="L1877" s="25" t="s">
        <v>161</v>
      </c>
      <c r="M1877" s="25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/>
      </c>
      <c r="Z1877" s="121"/>
    </row>
    <row r="1878" spans="1:26" ht="15.75" customHeight="1">
      <c r="A1878" s="125" t="str">
        <f>IF(B1878&lt;&gt;"",IF(AND(B1878&gt;=_TM1,B1878&lt;=_TM2,OR(TH!L1878="1111",TH!M1878="1111")),TH!D1878,""),"")</f>
        <v/>
      </c>
      <c r="B1878" s="11">
        <f t="shared" ref="B1878:B1941" si="154">IF(C1878&lt;&gt;"",MONTH(C1878),"")</f>
        <v>10</v>
      </c>
      <c r="C1878" s="324">
        <f t="shared" si="152"/>
        <v>40836</v>
      </c>
      <c r="D1878" s="21" t="s">
        <v>908</v>
      </c>
      <c r="E1878" s="12">
        <v>40836</v>
      </c>
      <c r="F1878" s="116" t="s">
        <v>1203</v>
      </c>
      <c r="G1878" s="224" t="s">
        <v>1184</v>
      </c>
      <c r="H1878" s="117" t="s">
        <v>709</v>
      </c>
      <c r="I1878" s="141">
        <v>180</v>
      </c>
      <c r="J1878" s="141">
        <v>7430.5026302898868</v>
      </c>
      <c r="K1878" s="238">
        <f t="shared" si="153"/>
        <v>1337490</v>
      </c>
      <c r="L1878" s="25" t="s">
        <v>161</v>
      </c>
      <c r="M1878" s="25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/>
      </c>
      <c r="Z1878" s="121"/>
    </row>
    <row r="1879" spans="1:26" ht="15.75" customHeight="1">
      <c r="A1879" s="125" t="str">
        <f>IF(B1879&lt;&gt;"",IF(AND(B1879&gt;=_TM1,B1879&lt;=_TM2,OR(TH!L1879="1111",TH!M1879="1111")),TH!D1879,""),"")</f>
        <v/>
      </c>
      <c r="B1879" s="11">
        <f t="shared" si="154"/>
        <v>10</v>
      </c>
      <c r="C1879" s="324">
        <f t="shared" si="152"/>
        <v>40836</v>
      </c>
      <c r="D1879" s="21" t="s">
        <v>908</v>
      </c>
      <c r="E1879" s="12">
        <v>40836</v>
      </c>
      <c r="F1879" s="116" t="s">
        <v>1205</v>
      </c>
      <c r="G1879" s="224" t="s">
        <v>1184</v>
      </c>
      <c r="H1879" s="117" t="s">
        <v>709</v>
      </c>
      <c r="I1879" s="141">
        <v>297</v>
      </c>
      <c r="J1879" s="141">
        <v>11136.484616821876</v>
      </c>
      <c r="K1879" s="238">
        <f t="shared" si="153"/>
        <v>3307536</v>
      </c>
      <c r="L1879" s="25" t="s">
        <v>161</v>
      </c>
      <c r="M1879" s="25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/>
      </c>
      <c r="Z1879" s="121"/>
    </row>
    <row r="1880" spans="1:26" ht="15.75" customHeight="1">
      <c r="A1880" s="125" t="str">
        <f>IF(B1880&lt;&gt;"",IF(AND(B1880&gt;=_TM1,B1880&lt;=_TM2,OR(TH!L1880="1111",TH!M1880="1111")),TH!D1880,""),"")</f>
        <v/>
      </c>
      <c r="B1880" s="11">
        <f t="shared" si="154"/>
        <v>10</v>
      </c>
      <c r="C1880" s="324">
        <f t="shared" si="152"/>
        <v>40836</v>
      </c>
      <c r="D1880" s="21" t="s">
        <v>908</v>
      </c>
      <c r="E1880" s="12">
        <v>40836</v>
      </c>
      <c r="F1880" s="116" t="s">
        <v>1209</v>
      </c>
      <c r="G1880" s="224" t="s">
        <v>1184</v>
      </c>
      <c r="H1880" s="117" t="s">
        <v>709</v>
      </c>
      <c r="I1880" s="141">
        <v>320</v>
      </c>
      <c r="J1880" s="141">
        <v>11216.317560845442</v>
      </c>
      <c r="K1880" s="238">
        <f t="shared" si="153"/>
        <v>3589222</v>
      </c>
      <c r="L1880" s="25" t="s">
        <v>161</v>
      </c>
      <c r="M1880" s="25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/>
      </c>
      <c r="Z1880" s="121"/>
    </row>
    <row r="1881" spans="1:26" ht="15.75" customHeight="1">
      <c r="A1881" s="125" t="str">
        <f>IF(B1881&lt;&gt;"",IF(AND(B1881&gt;=_TM1,B1881&lt;=_TM2,OR(TH!L1881="1111",TH!M1881="1111")),TH!D1881,""),"")</f>
        <v/>
      </c>
      <c r="B1881" s="11">
        <f t="shared" si="154"/>
        <v>10</v>
      </c>
      <c r="C1881" s="324">
        <f t="shared" si="152"/>
        <v>40836</v>
      </c>
      <c r="D1881" s="21" t="s">
        <v>908</v>
      </c>
      <c r="E1881" s="12">
        <v>40836</v>
      </c>
      <c r="F1881" s="116" t="s">
        <v>1206</v>
      </c>
      <c r="G1881" s="224" t="s">
        <v>1184</v>
      </c>
      <c r="H1881" s="117" t="s">
        <v>709</v>
      </c>
      <c r="I1881" s="141">
        <v>150</v>
      </c>
      <c r="J1881" s="141">
        <v>15701.494852512109</v>
      </c>
      <c r="K1881" s="238">
        <f t="shared" si="153"/>
        <v>2355224</v>
      </c>
      <c r="L1881" s="25" t="s">
        <v>161</v>
      </c>
      <c r="M1881" s="25" t="s">
        <v>155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/>
      </c>
      <c r="Z1881" s="121"/>
    </row>
    <row r="1882" spans="1:26" ht="15.75" customHeight="1">
      <c r="A1882" s="125" t="str">
        <f>IF(B1882&lt;&gt;"",IF(AND(B1882&gt;=_TM1,B1882&lt;=_TM2,OR(TH!L1882="1111",TH!M1882="1111")),TH!D1882,""),"")</f>
        <v/>
      </c>
      <c r="B1882" s="11">
        <f t="shared" si="154"/>
        <v>10</v>
      </c>
      <c r="C1882" s="324">
        <f t="shared" si="152"/>
        <v>40836</v>
      </c>
      <c r="D1882" s="21" t="s">
        <v>908</v>
      </c>
      <c r="E1882" s="12">
        <v>40836</v>
      </c>
      <c r="F1882" s="116" t="s">
        <v>1212</v>
      </c>
      <c r="G1882" s="224" t="s">
        <v>1184</v>
      </c>
      <c r="H1882" s="117" t="s">
        <v>709</v>
      </c>
      <c r="I1882" s="141">
        <v>270</v>
      </c>
      <c r="J1882" s="141">
        <v>10759.430408067663</v>
      </c>
      <c r="K1882" s="238">
        <f t="shared" si="153"/>
        <v>2905046</v>
      </c>
      <c r="L1882" s="25" t="s">
        <v>161</v>
      </c>
      <c r="M1882" s="25" t="s">
        <v>155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/>
      </c>
      <c r="Z1882" s="121"/>
    </row>
    <row r="1883" spans="1:26" ht="15.75" customHeight="1">
      <c r="A1883" s="125" t="str">
        <f>IF(B1883&lt;&gt;"",IF(AND(B1883&gt;=_TM1,B1883&lt;=_TM2,OR(TH!L1883="1111",TH!M1883="1111")),TH!D1883,""),"")</f>
        <v/>
      </c>
      <c r="B1883" s="11">
        <f t="shared" si="154"/>
        <v>10</v>
      </c>
      <c r="C1883" s="324">
        <f t="shared" si="152"/>
        <v>40836</v>
      </c>
      <c r="D1883" s="21" t="s">
        <v>908</v>
      </c>
      <c r="E1883" s="12">
        <v>40836</v>
      </c>
      <c r="F1883" s="116" t="s">
        <v>724</v>
      </c>
      <c r="G1883" s="224" t="s">
        <v>1184</v>
      </c>
      <c r="H1883" s="117" t="s">
        <v>709</v>
      </c>
      <c r="I1883" s="141">
        <v>190</v>
      </c>
      <c r="J1883" s="141">
        <v>7168.6502911086</v>
      </c>
      <c r="K1883" s="238">
        <f t="shared" si="153"/>
        <v>1362044</v>
      </c>
      <c r="L1883" s="25" t="s">
        <v>161</v>
      </c>
      <c r="M1883" s="25" t="s">
        <v>155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/>
      </c>
      <c r="Z1883" s="121"/>
    </row>
    <row r="1884" spans="1:26" ht="15.75" customHeight="1">
      <c r="A1884" s="125" t="str">
        <f>IF(B1884&lt;&gt;"",IF(AND(B1884&gt;=_TM1,B1884&lt;=_TM2,OR(TH!L1884="1111",TH!M1884="1111")),TH!D1884,""),"")</f>
        <v/>
      </c>
      <c r="B1884" s="11">
        <f t="shared" si="154"/>
        <v>10</v>
      </c>
      <c r="C1884" s="324">
        <f t="shared" si="152"/>
        <v>40836</v>
      </c>
      <c r="D1884" s="21" t="s">
        <v>908</v>
      </c>
      <c r="E1884" s="12">
        <v>40836</v>
      </c>
      <c r="F1884" s="116" t="s">
        <v>722</v>
      </c>
      <c r="G1884" s="224" t="s">
        <v>1184</v>
      </c>
      <c r="H1884" s="117" t="s">
        <v>709</v>
      </c>
      <c r="I1884" s="141">
        <v>320</v>
      </c>
      <c r="J1884" s="141">
        <v>7125.6581858454429</v>
      </c>
      <c r="K1884" s="238">
        <f t="shared" si="153"/>
        <v>2280211</v>
      </c>
      <c r="L1884" s="25" t="s">
        <v>161</v>
      </c>
      <c r="M1884" s="25" t="s">
        <v>155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/>
      </c>
      <c r="Z1884" s="121"/>
    </row>
    <row r="1885" spans="1:26" ht="15.75" customHeight="1">
      <c r="A1885" s="125" t="str">
        <f>IF(B1885&lt;&gt;"",IF(AND(B1885&gt;=_TM1,B1885&lt;=_TM2,OR(TH!L1885="1111",TH!M1885="1111")),TH!D1885,""),"")</f>
        <v/>
      </c>
      <c r="B1885" s="11">
        <f t="shared" si="154"/>
        <v>10</v>
      </c>
      <c r="C1885" s="324">
        <f t="shared" si="152"/>
        <v>40836</v>
      </c>
      <c r="D1885" s="21" t="s">
        <v>908</v>
      </c>
      <c r="E1885" s="12">
        <v>40836</v>
      </c>
      <c r="F1885" s="116" t="s">
        <v>731</v>
      </c>
      <c r="G1885" s="224" t="s">
        <v>1184</v>
      </c>
      <c r="H1885" s="117" t="s">
        <v>709</v>
      </c>
      <c r="I1885" s="141">
        <v>300</v>
      </c>
      <c r="J1885" s="141">
        <v>9389.7048525121081</v>
      </c>
      <c r="K1885" s="238">
        <f t="shared" si="153"/>
        <v>2816911</v>
      </c>
      <c r="L1885" s="25" t="s">
        <v>161</v>
      </c>
      <c r="M1885" s="25" t="s">
        <v>155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/>
      </c>
      <c r="Z1885" s="121"/>
    </row>
    <row r="1886" spans="1:26" ht="15.75" customHeight="1">
      <c r="A1886" s="125" t="str">
        <f>IF(B1886&lt;&gt;"",IF(AND(B1886&gt;=_TM1,B1886&lt;=_TM2,OR(TH!L1886="1111",TH!M1886="1111")),TH!D1886,""),"")</f>
        <v/>
      </c>
      <c r="B1886" s="11">
        <f t="shared" si="154"/>
        <v>10</v>
      </c>
      <c r="C1886" s="324">
        <f t="shared" si="152"/>
        <v>40836</v>
      </c>
      <c r="D1886" s="21" t="s">
        <v>908</v>
      </c>
      <c r="E1886" s="12">
        <v>40836</v>
      </c>
      <c r="F1886" s="116" t="s">
        <v>726</v>
      </c>
      <c r="G1886" s="224" t="s">
        <v>1184</v>
      </c>
      <c r="H1886" s="117" t="s">
        <v>709</v>
      </c>
      <c r="I1886" s="141">
        <v>350</v>
      </c>
      <c r="J1886" s="141">
        <v>11395.865328702588</v>
      </c>
      <c r="K1886" s="238">
        <f t="shared" si="153"/>
        <v>3988553</v>
      </c>
      <c r="L1886" s="25" t="s">
        <v>161</v>
      </c>
      <c r="M1886" s="25" t="s">
        <v>155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/>
      </c>
      <c r="Z1886" s="121"/>
    </row>
    <row r="1887" spans="1:26" ht="15.75" customHeight="1">
      <c r="A1887" s="125" t="str">
        <f>IF(B1887&lt;&gt;"",IF(AND(B1887&gt;=_TM1,B1887&lt;=_TM2,OR(TH!L1887="1111",TH!M1887="1111")),TH!D1887,""),"")</f>
        <v/>
      </c>
      <c r="B1887" s="11">
        <f t="shared" si="154"/>
        <v>10</v>
      </c>
      <c r="C1887" s="324">
        <f t="shared" si="152"/>
        <v>40836</v>
      </c>
      <c r="D1887" s="21" t="s">
        <v>908</v>
      </c>
      <c r="E1887" s="12">
        <v>40836</v>
      </c>
      <c r="F1887" s="116" t="s">
        <v>1207</v>
      </c>
      <c r="G1887" s="224" t="s">
        <v>1184</v>
      </c>
      <c r="H1887" s="117" t="s">
        <v>709</v>
      </c>
      <c r="I1887" s="141">
        <v>290</v>
      </c>
      <c r="J1887" s="141">
        <v>11153.042668604065</v>
      </c>
      <c r="K1887" s="238">
        <f t="shared" si="153"/>
        <v>3234382</v>
      </c>
      <c r="L1887" s="25" t="s">
        <v>161</v>
      </c>
      <c r="M1887" s="25" t="s">
        <v>155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/>
      </c>
      <c r="Z1887" s="121"/>
    </row>
    <row r="1888" spans="1:26" ht="15.75" customHeight="1">
      <c r="A1888" s="125" t="str">
        <f>IF(B1888&lt;&gt;"",IF(AND(B1888&gt;=_TM1,B1888&lt;=_TM2,OR(TH!L1888="1111",TH!M1888="1111")),TH!D1888,""),"")</f>
        <v/>
      </c>
      <c r="B1888" s="11">
        <f t="shared" si="154"/>
        <v>10</v>
      </c>
      <c r="C1888" s="324">
        <f t="shared" si="152"/>
        <v>40836</v>
      </c>
      <c r="D1888" s="21" t="s">
        <v>908</v>
      </c>
      <c r="E1888" s="12">
        <v>40836</v>
      </c>
      <c r="F1888" s="116" t="s">
        <v>1213</v>
      </c>
      <c r="G1888" s="224" t="s">
        <v>1184</v>
      </c>
      <c r="H1888" s="117" t="s">
        <v>709</v>
      </c>
      <c r="I1888" s="141">
        <v>130</v>
      </c>
      <c r="J1888" s="141">
        <v>15454.500493537751</v>
      </c>
      <c r="K1888" s="238">
        <f t="shared" si="153"/>
        <v>2009085</v>
      </c>
      <c r="L1888" s="25" t="s">
        <v>161</v>
      </c>
      <c r="M1888" s="25" t="s">
        <v>155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/>
      </c>
      <c r="Z1888" s="121"/>
    </row>
    <row r="1889" spans="1:26" ht="15.75" customHeight="1">
      <c r="A1889" s="125" t="str">
        <f>IF(B1889&lt;&gt;"",IF(AND(B1889&gt;=_TM1,B1889&lt;=_TM2,OR(TH!L1889="1111",TH!M1889="1111")),TH!D1889,""),"")</f>
        <v/>
      </c>
      <c r="B1889" s="281">
        <f t="shared" si="154"/>
        <v>10</v>
      </c>
      <c r="C1889" s="115">
        <v>40838</v>
      </c>
      <c r="D1889" s="115" t="s">
        <v>909</v>
      </c>
      <c r="E1889" s="115">
        <v>40838</v>
      </c>
      <c r="F1889" s="116" t="s">
        <v>722</v>
      </c>
      <c r="G1889" s="224" t="s">
        <v>1185</v>
      </c>
      <c r="H1889" s="117" t="s">
        <v>709</v>
      </c>
      <c r="I1889" s="141">
        <v>210</v>
      </c>
      <c r="J1889" s="141">
        <v>10595</v>
      </c>
      <c r="K1889" s="238">
        <v>2224950</v>
      </c>
      <c r="L1889" s="118" t="s">
        <v>237</v>
      </c>
      <c r="M1889" s="118" t="s">
        <v>163</v>
      </c>
      <c r="N1889" s="25" t="str">
        <f>IF(AND('331-CT'!$E$7=TH!H1889,OR(L1889="331",M1889="331")),"331",IF(AND(OR(L1889="131",M1889="131"),H1889='131-CT'!$E$7),"131",""))</f>
        <v>131</v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/>
      </c>
      <c r="Z1889" s="308"/>
    </row>
    <row r="1890" spans="1:26" ht="15.75" customHeight="1">
      <c r="A1890" s="125" t="str">
        <f>IF(B1890&lt;&gt;"",IF(AND(B1890&gt;=_TM1,B1890&lt;=_TM2,OR(TH!L1890="1111",TH!M1890="1111")),TH!D1890,""),"")</f>
        <v/>
      </c>
      <c r="B1890" s="281">
        <f t="shared" si="154"/>
        <v>10</v>
      </c>
      <c r="C1890" s="115">
        <v>40838</v>
      </c>
      <c r="D1890" s="115" t="s">
        <v>909</v>
      </c>
      <c r="E1890" s="115">
        <v>40838</v>
      </c>
      <c r="F1890" s="116" t="s">
        <v>1214</v>
      </c>
      <c r="G1890" s="224" t="s">
        <v>1185</v>
      </c>
      <c r="H1890" s="117" t="s">
        <v>709</v>
      </c>
      <c r="I1890" s="141">
        <v>150</v>
      </c>
      <c r="J1890" s="141">
        <v>17966</v>
      </c>
      <c r="K1890" s="238">
        <v>2694900</v>
      </c>
      <c r="L1890" s="118" t="s">
        <v>237</v>
      </c>
      <c r="M1890" s="118" t="s">
        <v>163</v>
      </c>
      <c r="N1890" s="25" t="str">
        <f>IF(AND('331-CT'!$E$7=TH!H1890,OR(L1890="331",M1890="331")),"331",IF(AND(OR(L1890="131",M1890="131"),H1890='131-CT'!$E$7),"131",""))</f>
        <v>131</v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/>
      </c>
      <c r="Z1890" s="308"/>
    </row>
    <row r="1891" spans="1:26" ht="15.75" customHeight="1">
      <c r="A1891" s="125" t="str">
        <f>IF(B1891&lt;&gt;"",IF(AND(B1891&gt;=_TM1,B1891&lt;=_TM2,OR(TH!L1891="1111",TH!M1891="1111")),TH!D1891,""),"")</f>
        <v/>
      </c>
      <c r="B1891" s="281">
        <f t="shared" si="154"/>
        <v>10</v>
      </c>
      <c r="C1891" s="115">
        <v>40838</v>
      </c>
      <c r="D1891" s="115" t="s">
        <v>909</v>
      </c>
      <c r="E1891" s="115">
        <v>40838</v>
      </c>
      <c r="F1891" s="116" t="s">
        <v>1215</v>
      </c>
      <c r="G1891" s="224" t="s">
        <v>1185</v>
      </c>
      <c r="H1891" s="117" t="s">
        <v>709</v>
      </c>
      <c r="I1891" s="141">
        <v>342</v>
      </c>
      <c r="J1891" s="141">
        <v>14535</v>
      </c>
      <c r="K1891" s="238">
        <v>4970970</v>
      </c>
      <c r="L1891" s="118" t="s">
        <v>237</v>
      </c>
      <c r="M1891" s="118" t="s">
        <v>163</v>
      </c>
      <c r="N1891" s="25" t="str">
        <f>IF(AND('331-CT'!$E$7=TH!H1891,OR(L1891="331",M1891="331")),"331",IF(AND(OR(L1891="131",M1891="131"),H1891='131-CT'!$E$7),"131",""))</f>
        <v>131</v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/>
      </c>
      <c r="Z1891" s="308"/>
    </row>
    <row r="1892" spans="1:26" ht="15.75" customHeight="1">
      <c r="A1892" s="125" t="str">
        <f>IF(B1892&lt;&gt;"",IF(AND(B1892&gt;=_TM1,B1892&lt;=_TM2,OR(TH!L1892="1111",TH!M1892="1111")),TH!D1892,""),"")</f>
        <v/>
      </c>
      <c r="B1892" s="281">
        <f t="shared" si="154"/>
        <v>10</v>
      </c>
      <c r="C1892" s="115">
        <v>40838</v>
      </c>
      <c r="D1892" s="115" t="s">
        <v>909</v>
      </c>
      <c r="E1892" s="115">
        <v>40838</v>
      </c>
      <c r="F1892" s="116" t="s">
        <v>723</v>
      </c>
      <c r="G1892" s="224" t="s">
        <v>1185</v>
      </c>
      <c r="H1892" s="117" t="s">
        <v>709</v>
      </c>
      <c r="I1892" s="141">
        <v>150</v>
      </c>
      <c r="J1892" s="141">
        <v>11321</v>
      </c>
      <c r="K1892" s="238">
        <v>1698150</v>
      </c>
      <c r="L1892" s="118" t="s">
        <v>237</v>
      </c>
      <c r="M1892" s="118" t="s">
        <v>163</v>
      </c>
      <c r="N1892" s="25" t="str">
        <f>IF(AND('331-CT'!$E$7=TH!H1892,OR(L1892="331",M1892="331")),"331",IF(AND(OR(L1892="131",M1892="131"),H1892='131-CT'!$E$7),"131",""))</f>
        <v>131</v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/>
      </c>
      <c r="Z1892" s="308"/>
    </row>
    <row r="1893" spans="1:26" ht="15.75" customHeight="1">
      <c r="A1893" s="125" t="str">
        <f>IF(B1893&lt;&gt;"",IF(AND(B1893&gt;=_TM1,B1893&lt;=_TM2,OR(TH!L1893="1111",TH!M1893="1111")),TH!D1893,""),"")</f>
        <v/>
      </c>
      <c r="B1893" s="281">
        <f t="shared" si="154"/>
        <v>10</v>
      </c>
      <c r="C1893" s="115">
        <v>40838</v>
      </c>
      <c r="D1893" s="115" t="s">
        <v>909</v>
      </c>
      <c r="E1893" s="115">
        <v>40838</v>
      </c>
      <c r="F1893" s="116" t="s">
        <v>1216</v>
      </c>
      <c r="G1893" s="224" t="s">
        <v>1185</v>
      </c>
      <c r="H1893" s="117" t="s">
        <v>709</v>
      </c>
      <c r="I1893" s="141">
        <v>160</v>
      </c>
      <c r="J1893" s="141">
        <v>10267</v>
      </c>
      <c r="K1893" s="238">
        <v>1642720</v>
      </c>
      <c r="L1893" s="118" t="s">
        <v>237</v>
      </c>
      <c r="M1893" s="118" t="s">
        <v>163</v>
      </c>
      <c r="N1893" s="25" t="str">
        <f>IF(AND('331-CT'!$E$7=TH!H1893,OR(L1893="331",M1893="331")),"331",IF(AND(OR(L1893="131",M1893="131"),H1893='131-CT'!$E$7),"131",""))</f>
        <v>131</v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/>
      </c>
      <c r="Z1893" s="308"/>
    </row>
    <row r="1894" spans="1:26" ht="15.75" customHeight="1">
      <c r="A1894" s="125" t="str">
        <f>IF(B1894&lt;&gt;"",IF(AND(B1894&gt;=_TM1,B1894&lt;=_TM2,OR(TH!L1894="1111",TH!M1894="1111")),TH!D1894,""),"")</f>
        <v/>
      </c>
      <c r="B1894" s="281">
        <f t="shared" si="154"/>
        <v>10</v>
      </c>
      <c r="C1894" s="115">
        <v>40838</v>
      </c>
      <c r="D1894" s="115" t="s">
        <v>909</v>
      </c>
      <c r="E1894" s="115">
        <v>40838</v>
      </c>
      <c r="F1894" s="116" t="s">
        <v>958</v>
      </c>
      <c r="G1894" s="224" t="s">
        <v>1185</v>
      </c>
      <c r="H1894" s="117" t="s">
        <v>709</v>
      </c>
      <c r="I1894" s="141">
        <v>100</v>
      </c>
      <c r="J1894" s="141">
        <v>13099</v>
      </c>
      <c r="K1894" s="238">
        <v>1309900</v>
      </c>
      <c r="L1894" s="118" t="s">
        <v>237</v>
      </c>
      <c r="M1894" s="118" t="s">
        <v>163</v>
      </c>
      <c r="N1894" s="25" t="str">
        <f>IF(AND('331-CT'!$E$7=TH!H1894,OR(L1894="331",M1894="331")),"331",IF(AND(OR(L1894="131",M1894="131"),H1894='131-CT'!$E$7),"131",""))</f>
        <v>131</v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/>
      </c>
      <c r="Z1894" s="308"/>
    </row>
    <row r="1895" spans="1:26" ht="15.75" customHeight="1">
      <c r="A1895" s="125" t="str">
        <f>IF(B1895&lt;&gt;"",IF(AND(B1895&gt;=_TM1,B1895&lt;=_TM2,OR(TH!L1895="1111",TH!M1895="1111")),TH!D1895,""),"")</f>
        <v/>
      </c>
      <c r="B1895" s="281">
        <f t="shared" si="154"/>
        <v>10</v>
      </c>
      <c r="C1895" s="115">
        <v>40838</v>
      </c>
      <c r="D1895" s="115" t="s">
        <v>909</v>
      </c>
      <c r="E1895" s="115">
        <v>40838</v>
      </c>
      <c r="F1895" s="116" t="s">
        <v>725</v>
      </c>
      <c r="G1895" s="224" t="s">
        <v>1185</v>
      </c>
      <c r="H1895" s="117" t="s">
        <v>709</v>
      </c>
      <c r="I1895" s="141">
        <v>170</v>
      </c>
      <c r="J1895" s="141">
        <v>12564</v>
      </c>
      <c r="K1895" s="238">
        <v>2135880</v>
      </c>
      <c r="L1895" s="118" t="s">
        <v>237</v>
      </c>
      <c r="M1895" s="118" t="s">
        <v>163</v>
      </c>
      <c r="N1895" s="25" t="str">
        <f>IF(AND('331-CT'!$E$7=TH!H1895,OR(L1895="331",M1895="331")),"331",IF(AND(OR(L1895="131",M1895="131"),H1895='131-CT'!$E$7),"131",""))</f>
        <v>131</v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/>
      </c>
      <c r="Z1895" s="308"/>
    </row>
    <row r="1896" spans="1:26" ht="15.75" customHeight="1">
      <c r="A1896" s="125" t="str">
        <f>IF(B1896&lt;&gt;"",IF(AND(B1896&gt;=_TM1,B1896&lt;=_TM2,OR(TH!L1896="1111",TH!M1896="1111")),TH!D1896,""),"")</f>
        <v/>
      </c>
      <c r="B1896" s="281">
        <f t="shared" si="154"/>
        <v>10</v>
      </c>
      <c r="C1896" s="115">
        <v>40838</v>
      </c>
      <c r="D1896" s="115" t="s">
        <v>909</v>
      </c>
      <c r="E1896" s="115">
        <v>40838</v>
      </c>
      <c r="F1896" s="116" t="s">
        <v>728</v>
      </c>
      <c r="G1896" s="224" t="s">
        <v>1185</v>
      </c>
      <c r="H1896" s="117" t="s">
        <v>709</v>
      </c>
      <c r="I1896" s="141">
        <v>190</v>
      </c>
      <c r="J1896" s="141">
        <v>16284</v>
      </c>
      <c r="K1896" s="238">
        <v>3093960</v>
      </c>
      <c r="L1896" s="118" t="s">
        <v>237</v>
      </c>
      <c r="M1896" s="118" t="s">
        <v>163</v>
      </c>
      <c r="N1896" s="25" t="str">
        <f>IF(AND('331-CT'!$E$7=TH!H1896,OR(L1896="331",M1896="331")),"331",IF(AND(OR(L1896="131",M1896="131"),H1896='131-CT'!$E$7),"131",""))</f>
        <v>131</v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/>
      </c>
      <c r="Z1896" s="308"/>
    </row>
    <row r="1897" spans="1:26" ht="15.75" customHeight="1">
      <c r="A1897" s="125" t="str">
        <f>IF(B1897&lt;&gt;"",IF(AND(B1897&gt;=_TM1,B1897&lt;=_TM2,OR(TH!L1897="1111",TH!M1897="1111")),TH!D1897,""),"")</f>
        <v/>
      </c>
      <c r="B1897" s="281">
        <f t="shared" si="154"/>
        <v>10</v>
      </c>
      <c r="C1897" s="115">
        <v>40838</v>
      </c>
      <c r="D1897" s="115" t="s">
        <v>909</v>
      </c>
      <c r="E1897" s="115">
        <v>40838</v>
      </c>
      <c r="F1897" s="116" t="s">
        <v>724</v>
      </c>
      <c r="G1897" s="224" t="s">
        <v>1185</v>
      </c>
      <c r="H1897" s="117" t="s">
        <v>709</v>
      </c>
      <c r="I1897" s="141">
        <v>110</v>
      </c>
      <c r="J1897" s="141">
        <v>10253</v>
      </c>
      <c r="K1897" s="238">
        <v>1127830</v>
      </c>
      <c r="L1897" s="118" t="s">
        <v>237</v>
      </c>
      <c r="M1897" s="118" t="s">
        <v>163</v>
      </c>
      <c r="N1897" s="25" t="str">
        <f>IF(AND('331-CT'!$E$7=TH!H1897,OR(L1897="331",M1897="331")),"331",IF(AND(OR(L1897="131",M1897="131"),H1897='131-CT'!$E$7),"131",""))</f>
        <v>131</v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/>
      </c>
      <c r="Z1897" s="308"/>
    </row>
    <row r="1898" spans="1:26" ht="15.75" customHeight="1">
      <c r="A1898" s="125" t="str">
        <f>IF(B1898&lt;&gt;"",IF(AND(B1898&gt;=_TM1,B1898&lt;=_TM2,OR(TH!L1898="1111",TH!M1898="1111")),TH!D1898,""),"")</f>
        <v/>
      </c>
      <c r="B1898" s="281">
        <f t="shared" si="154"/>
        <v>10</v>
      </c>
      <c r="C1898" s="115">
        <v>40838</v>
      </c>
      <c r="D1898" s="115" t="s">
        <v>909</v>
      </c>
      <c r="E1898" s="115">
        <v>40838</v>
      </c>
      <c r="F1898" s="116" t="s">
        <v>1217</v>
      </c>
      <c r="G1898" s="224" t="s">
        <v>1185</v>
      </c>
      <c r="H1898" s="117" t="s">
        <v>709</v>
      </c>
      <c r="I1898" s="141">
        <v>300</v>
      </c>
      <c r="J1898" s="141">
        <v>18620</v>
      </c>
      <c r="K1898" s="238">
        <v>5586000</v>
      </c>
      <c r="L1898" s="118" t="s">
        <v>237</v>
      </c>
      <c r="M1898" s="118" t="s">
        <v>163</v>
      </c>
      <c r="N1898" s="25" t="str">
        <f>IF(AND('331-CT'!$E$7=TH!H1898,OR(L1898="331",M1898="331")),"331",IF(AND(OR(L1898="131",M1898="131"),H1898='131-CT'!$E$7),"131",""))</f>
        <v>131</v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/>
      </c>
      <c r="Z1898" s="308"/>
    </row>
    <row r="1899" spans="1:26" ht="15.75" customHeight="1">
      <c r="A1899" s="125" t="str">
        <f>IF(B1899&lt;&gt;"",IF(AND(B1899&gt;=_TM1,B1899&lt;=_TM2,OR(TH!L1899="1111",TH!M1899="1111")),TH!D1899,""),"")</f>
        <v/>
      </c>
      <c r="B1899" s="281">
        <f t="shared" si="154"/>
        <v>10</v>
      </c>
      <c r="C1899" s="115">
        <v>40838</v>
      </c>
      <c r="D1899" s="115" t="s">
        <v>909</v>
      </c>
      <c r="E1899" s="115">
        <v>40838</v>
      </c>
      <c r="F1899" s="116" t="s">
        <v>1121</v>
      </c>
      <c r="G1899" s="224" t="s">
        <v>1185</v>
      </c>
      <c r="H1899" s="117" t="s">
        <v>709</v>
      </c>
      <c r="I1899" s="141"/>
      <c r="J1899" s="141"/>
      <c r="K1899" s="238">
        <f>2648526+1</f>
        <v>2648527</v>
      </c>
      <c r="L1899" s="118" t="s">
        <v>237</v>
      </c>
      <c r="M1899" s="118" t="s">
        <v>707</v>
      </c>
      <c r="N1899" s="25" t="str">
        <f>IF(AND('331-CT'!$E$7=TH!H1899,OR(L1899="331",M1899="331")),"331",IF(AND(OR(L1899="131",M1899="131"),H1899='131-CT'!$E$7),"131",""))</f>
        <v>131</v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/>
      </c>
      <c r="Z1899" s="308"/>
    </row>
    <row r="1900" spans="1:26" ht="15.75" customHeight="1">
      <c r="A1900" s="125" t="str">
        <f>IF(B1900&lt;&gt;"",IF(AND(B1900&gt;=_TM1,B1900&lt;=_TM2,OR(TH!L1900="1111",TH!M1900="1111")),TH!D1900,""),"")</f>
        <v/>
      </c>
      <c r="B1900" s="281">
        <f t="shared" si="154"/>
        <v>10</v>
      </c>
      <c r="C1900" s="324">
        <f t="shared" ref="C1900:C1919" si="155">E1900</f>
        <v>40838</v>
      </c>
      <c r="D1900" s="21" t="s">
        <v>1063</v>
      </c>
      <c r="E1900" s="21">
        <v>40838</v>
      </c>
      <c r="F1900" s="331" t="s">
        <v>722</v>
      </c>
      <c r="G1900" s="22"/>
      <c r="H1900" s="332" t="s">
        <v>1037</v>
      </c>
      <c r="I1900" s="139">
        <v>210</v>
      </c>
      <c r="J1900" s="139">
        <v>7107.5034239406823</v>
      </c>
      <c r="K1900" s="285">
        <f t="shared" ref="K1900:K1919" si="156">ROUND(I1900*J1900,0)</f>
        <v>1492576</v>
      </c>
      <c r="L1900" s="25" t="s">
        <v>155</v>
      </c>
      <c r="M1900" s="25" t="s">
        <v>153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/>
      </c>
      <c r="Z1900" s="308"/>
    </row>
    <row r="1901" spans="1:26" ht="15.75" customHeight="1">
      <c r="A1901" s="125" t="str">
        <f>IF(B1901&lt;&gt;"",IF(AND(B1901&gt;=_TM1,B1901&lt;=_TM2,OR(TH!L1901="1111",TH!M1901="1111")),TH!D1901,""),"")</f>
        <v/>
      </c>
      <c r="B1901" s="281">
        <f t="shared" si="154"/>
        <v>10</v>
      </c>
      <c r="C1901" s="324">
        <f t="shared" si="155"/>
        <v>40838</v>
      </c>
      <c r="D1901" s="21" t="s">
        <v>1063</v>
      </c>
      <c r="E1901" s="21">
        <v>40838</v>
      </c>
      <c r="F1901" s="331" t="s">
        <v>1214</v>
      </c>
      <c r="G1901" s="22"/>
      <c r="H1901" s="332" t="s">
        <v>1037</v>
      </c>
      <c r="I1901" s="139">
        <v>150</v>
      </c>
      <c r="J1901" s="139">
        <v>8650.8348525121073</v>
      </c>
      <c r="K1901" s="285">
        <f t="shared" si="156"/>
        <v>1297625</v>
      </c>
      <c r="L1901" s="25" t="s">
        <v>155</v>
      </c>
      <c r="M1901" s="25" t="s">
        <v>153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/>
      </c>
      <c r="Z1901" s="308"/>
    </row>
    <row r="1902" spans="1:26" ht="15.75" customHeight="1">
      <c r="A1902" s="125" t="str">
        <f>IF(B1902&lt;&gt;"",IF(AND(B1902&gt;=_TM1,B1902&lt;=_TM2,OR(TH!L1902="1111",TH!M1902="1111")),TH!D1902,""),"")</f>
        <v/>
      </c>
      <c r="B1902" s="281">
        <f t="shared" si="154"/>
        <v>10</v>
      </c>
      <c r="C1902" s="324">
        <f t="shared" si="155"/>
        <v>40838</v>
      </c>
      <c r="D1902" s="21" t="s">
        <v>1063</v>
      </c>
      <c r="E1902" s="21">
        <v>40838</v>
      </c>
      <c r="F1902" s="331" t="s">
        <v>1215</v>
      </c>
      <c r="G1902" s="22"/>
      <c r="H1902" s="332" t="s">
        <v>1037</v>
      </c>
      <c r="I1902" s="139">
        <v>342</v>
      </c>
      <c r="J1902" s="139">
        <v>9441.5929811670794</v>
      </c>
      <c r="K1902" s="285">
        <f t="shared" si="156"/>
        <v>3229025</v>
      </c>
      <c r="L1902" s="25" t="s">
        <v>155</v>
      </c>
      <c r="M1902" s="25" t="s">
        <v>153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/>
      </c>
      <c r="Z1902" s="308"/>
    </row>
    <row r="1903" spans="1:26" ht="15.75" customHeight="1">
      <c r="A1903" s="125" t="str">
        <f>IF(B1903&lt;&gt;"",IF(AND(B1903&gt;=_TM1,B1903&lt;=_TM2,OR(TH!L1903="1111",TH!M1903="1111")),TH!D1903,""),"")</f>
        <v/>
      </c>
      <c r="B1903" s="281">
        <f t="shared" si="154"/>
        <v>10</v>
      </c>
      <c r="C1903" s="324">
        <f t="shared" si="155"/>
        <v>40838</v>
      </c>
      <c r="D1903" s="21" t="s">
        <v>1063</v>
      </c>
      <c r="E1903" s="21">
        <v>40838</v>
      </c>
      <c r="F1903" s="331" t="s">
        <v>723</v>
      </c>
      <c r="G1903" s="22"/>
      <c r="H1903" s="332" t="s">
        <v>1037</v>
      </c>
      <c r="I1903" s="139">
        <v>150</v>
      </c>
      <c r="J1903" s="139">
        <v>7430.5015191787761</v>
      </c>
      <c r="K1903" s="285">
        <f t="shared" si="156"/>
        <v>1114575</v>
      </c>
      <c r="L1903" s="25" t="s">
        <v>155</v>
      </c>
      <c r="M1903" s="25" t="s">
        <v>153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/>
      </c>
      <c r="Z1903" s="308"/>
    </row>
    <row r="1904" spans="1:26" ht="15.75" customHeight="1">
      <c r="A1904" s="125" t="str">
        <f>IF(B1904&lt;&gt;"",IF(AND(B1904&gt;=_TM1,B1904&lt;=_TM2,OR(TH!L1904="1111",TH!M1904="1111")),TH!D1904,""),"")</f>
        <v/>
      </c>
      <c r="B1904" s="281">
        <f t="shared" si="154"/>
        <v>10</v>
      </c>
      <c r="C1904" s="324">
        <f t="shared" si="155"/>
        <v>40838</v>
      </c>
      <c r="D1904" s="21" t="s">
        <v>1063</v>
      </c>
      <c r="E1904" s="21">
        <v>40838</v>
      </c>
      <c r="F1904" s="116" t="s">
        <v>1216</v>
      </c>
      <c r="G1904" s="22"/>
      <c r="H1904" s="332" t="s">
        <v>1037</v>
      </c>
      <c r="I1904" s="139">
        <v>160</v>
      </c>
      <c r="J1904" s="139">
        <v>7180.114435845443</v>
      </c>
      <c r="K1904" s="285">
        <f t="shared" si="156"/>
        <v>1148818</v>
      </c>
      <c r="L1904" s="25" t="s">
        <v>155</v>
      </c>
      <c r="M1904" s="25" t="s">
        <v>153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/>
      </c>
      <c r="Z1904" s="308"/>
    </row>
    <row r="1905" spans="1:26" ht="15.75" customHeight="1">
      <c r="A1905" s="125" t="str">
        <f>IF(B1905&lt;&gt;"",IF(AND(B1905&gt;=_TM1,B1905&lt;=_TM2,OR(TH!L1905="1111",TH!M1905="1111")),TH!D1905,""),"")</f>
        <v/>
      </c>
      <c r="B1905" s="281">
        <f t="shared" si="154"/>
        <v>10</v>
      </c>
      <c r="C1905" s="324">
        <f t="shared" si="155"/>
        <v>40838</v>
      </c>
      <c r="D1905" s="21" t="s">
        <v>1063</v>
      </c>
      <c r="E1905" s="21">
        <v>40838</v>
      </c>
      <c r="F1905" s="331" t="s">
        <v>958</v>
      </c>
      <c r="G1905" s="22"/>
      <c r="H1905" s="332" t="s">
        <v>1037</v>
      </c>
      <c r="I1905" s="139">
        <v>100</v>
      </c>
      <c r="J1905" s="139">
        <v>10496.498185845441</v>
      </c>
      <c r="K1905" s="285">
        <f t="shared" si="156"/>
        <v>1049650</v>
      </c>
      <c r="L1905" s="25" t="s">
        <v>155</v>
      </c>
      <c r="M1905" s="25" t="s">
        <v>153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/>
      </c>
      <c r="Z1905" s="308"/>
    </row>
    <row r="1906" spans="1:26" ht="15.75" customHeight="1">
      <c r="A1906" s="125" t="str">
        <f>IF(B1906&lt;&gt;"",IF(AND(B1906&gt;=_TM1,B1906&lt;=_TM2,OR(TH!L1906="1111",TH!M1906="1111")),TH!D1906,""),"")</f>
        <v/>
      </c>
      <c r="B1906" s="281">
        <f t="shared" si="154"/>
        <v>10</v>
      </c>
      <c r="C1906" s="324">
        <f t="shared" si="155"/>
        <v>40838</v>
      </c>
      <c r="D1906" s="21" t="s">
        <v>1063</v>
      </c>
      <c r="E1906" s="21">
        <v>40838</v>
      </c>
      <c r="F1906" s="331" t="s">
        <v>725</v>
      </c>
      <c r="G1906" s="22"/>
      <c r="H1906" s="332" t="s">
        <v>1037</v>
      </c>
      <c r="I1906" s="139">
        <v>170</v>
      </c>
      <c r="J1906" s="139">
        <v>10292.384656433678</v>
      </c>
      <c r="K1906" s="285">
        <f t="shared" si="156"/>
        <v>1749705</v>
      </c>
      <c r="L1906" s="25" t="s">
        <v>155</v>
      </c>
      <c r="M1906" s="25" t="s">
        <v>153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/>
      </c>
      <c r="Z1906" s="308"/>
    </row>
    <row r="1907" spans="1:26" ht="15.75" customHeight="1">
      <c r="A1907" s="125" t="str">
        <f>IF(B1907&lt;&gt;"",IF(AND(B1907&gt;=_TM1,B1907&lt;=_TM2,OR(TH!L1907="1111",TH!M1907="1111")),TH!D1907,""),"")</f>
        <v/>
      </c>
      <c r="B1907" s="281">
        <f t="shared" si="154"/>
        <v>10</v>
      </c>
      <c r="C1907" s="324">
        <f t="shared" si="155"/>
        <v>40838</v>
      </c>
      <c r="D1907" s="21" t="s">
        <v>1064</v>
      </c>
      <c r="E1907" s="21">
        <v>40838</v>
      </c>
      <c r="F1907" s="331" t="s">
        <v>728</v>
      </c>
      <c r="G1907" s="22"/>
      <c r="H1907" s="332" t="s">
        <v>1037</v>
      </c>
      <c r="I1907" s="139">
        <v>190</v>
      </c>
      <c r="J1907" s="139">
        <v>12481.4502911086</v>
      </c>
      <c r="K1907" s="285">
        <f t="shared" si="156"/>
        <v>2371476</v>
      </c>
      <c r="L1907" s="25" t="s">
        <v>155</v>
      </c>
      <c r="M1907" s="25" t="s">
        <v>153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/>
      </c>
      <c r="Z1907" s="308"/>
    </row>
    <row r="1908" spans="1:26" ht="15.75" customHeight="1">
      <c r="A1908" s="125" t="str">
        <f>IF(B1908&lt;&gt;"",IF(AND(B1908&gt;=_TM1,B1908&lt;=_TM2,OR(TH!L1908="1111",TH!M1908="1111")),TH!D1908,""),"")</f>
        <v/>
      </c>
      <c r="B1908" s="281">
        <f t="shared" si="154"/>
        <v>10</v>
      </c>
      <c r="C1908" s="324">
        <f t="shared" si="155"/>
        <v>40838</v>
      </c>
      <c r="D1908" s="21" t="s">
        <v>1064</v>
      </c>
      <c r="E1908" s="21">
        <v>40838</v>
      </c>
      <c r="F1908" s="331" t="s">
        <v>724</v>
      </c>
      <c r="G1908" s="22"/>
      <c r="H1908" s="332" t="s">
        <v>1037</v>
      </c>
      <c r="I1908" s="139">
        <v>110</v>
      </c>
      <c r="J1908" s="139">
        <v>7486.2445494818066</v>
      </c>
      <c r="K1908" s="285">
        <f t="shared" si="156"/>
        <v>823487</v>
      </c>
      <c r="L1908" s="25" t="s">
        <v>155</v>
      </c>
      <c r="M1908" s="25" t="s">
        <v>153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/>
      </c>
      <c r="Z1908" s="308"/>
    </row>
    <row r="1909" spans="1:26" ht="15.75" customHeight="1">
      <c r="A1909" s="125" t="str">
        <f>IF(B1909&lt;&gt;"",IF(AND(B1909&gt;=_TM1,B1909&lt;=_TM2,OR(TH!L1909="1111",TH!M1909="1111")),TH!D1909,""),"")</f>
        <v/>
      </c>
      <c r="B1909" s="281">
        <f t="shared" si="154"/>
        <v>10</v>
      </c>
      <c r="C1909" s="324">
        <f t="shared" si="155"/>
        <v>40838</v>
      </c>
      <c r="D1909" s="21" t="s">
        <v>1064</v>
      </c>
      <c r="E1909" s="21">
        <v>40838</v>
      </c>
      <c r="F1909" s="331" t="s">
        <v>1217</v>
      </c>
      <c r="G1909" s="22"/>
      <c r="H1909" s="332" t="s">
        <v>1037</v>
      </c>
      <c r="I1909" s="139">
        <v>300</v>
      </c>
      <c r="J1909" s="139">
        <v>9295.3048525121085</v>
      </c>
      <c r="K1909" s="285">
        <f t="shared" si="156"/>
        <v>2788591</v>
      </c>
      <c r="L1909" s="25" t="s">
        <v>155</v>
      </c>
      <c r="M1909" s="25" t="s">
        <v>153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/>
      </c>
      <c r="Z1909" s="308"/>
    </row>
    <row r="1910" spans="1:26" ht="15.75" customHeight="1">
      <c r="A1910" s="125" t="str">
        <f>IF(B1910&lt;&gt;"",IF(AND(B1910&gt;=_TM1,B1910&lt;=_TM2,OR(TH!L1910="1111",TH!M1910="1111")),TH!D1910,""),"")</f>
        <v/>
      </c>
      <c r="B1910" s="11">
        <f t="shared" si="154"/>
        <v>10</v>
      </c>
      <c r="C1910" s="324">
        <f t="shared" si="155"/>
        <v>40838</v>
      </c>
      <c r="D1910" s="21" t="s">
        <v>909</v>
      </c>
      <c r="E1910" s="12">
        <v>40838</v>
      </c>
      <c r="F1910" s="116" t="s">
        <v>722</v>
      </c>
      <c r="G1910" s="224" t="s">
        <v>1185</v>
      </c>
      <c r="H1910" s="117" t="s">
        <v>709</v>
      </c>
      <c r="I1910" s="141">
        <v>210</v>
      </c>
      <c r="J1910" s="141">
        <v>7107.5034239406823</v>
      </c>
      <c r="K1910" s="238">
        <f t="shared" si="156"/>
        <v>1492576</v>
      </c>
      <c r="L1910" s="25" t="s">
        <v>161</v>
      </c>
      <c r="M1910" s="25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/>
      </c>
      <c r="Z1910" s="121"/>
    </row>
    <row r="1911" spans="1:26" ht="15.75" customHeight="1">
      <c r="A1911" s="125" t="str">
        <f>IF(B1911&lt;&gt;"",IF(AND(B1911&gt;=_TM1,B1911&lt;=_TM2,OR(TH!L1911="1111",TH!M1911="1111")),TH!D1911,""),"")</f>
        <v/>
      </c>
      <c r="B1911" s="11">
        <f t="shared" si="154"/>
        <v>10</v>
      </c>
      <c r="C1911" s="324">
        <f t="shared" si="155"/>
        <v>40838</v>
      </c>
      <c r="D1911" s="21" t="s">
        <v>909</v>
      </c>
      <c r="E1911" s="12">
        <v>40838</v>
      </c>
      <c r="F1911" s="116" t="s">
        <v>1214</v>
      </c>
      <c r="G1911" s="224" t="s">
        <v>1185</v>
      </c>
      <c r="H1911" s="117" t="s">
        <v>709</v>
      </c>
      <c r="I1911" s="141">
        <v>150</v>
      </c>
      <c r="J1911" s="141">
        <v>8650.8348525121073</v>
      </c>
      <c r="K1911" s="238">
        <f t="shared" si="156"/>
        <v>1297625</v>
      </c>
      <c r="L1911" s="25" t="s">
        <v>161</v>
      </c>
      <c r="M1911" s="25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/>
      </c>
      <c r="Z1911" s="121"/>
    </row>
    <row r="1912" spans="1:26" ht="15.75" customHeight="1">
      <c r="A1912" s="125" t="str">
        <f>IF(B1912&lt;&gt;"",IF(AND(B1912&gt;=_TM1,B1912&lt;=_TM2,OR(TH!L1912="1111",TH!M1912="1111")),TH!D1912,""),"")</f>
        <v/>
      </c>
      <c r="B1912" s="11">
        <f t="shared" si="154"/>
        <v>10</v>
      </c>
      <c r="C1912" s="324">
        <f t="shared" si="155"/>
        <v>40838</v>
      </c>
      <c r="D1912" s="21" t="s">
        <v>909</v>
      </c>
      <c r="E1912" s="12">
        <v>40838</v>
      </c>
      <c r="F1912" s="116" t="s">
        <v>1215</v>
      </c>
      <c r="G1912" s="224" t="s">
        <v>1185</v>
      </c>
      <c r="H1912" s="117" t="s">
        <v>709</v>
      </c>
      <c r="I1912" s="141">
        <v>342</v>
      </c>
      <c r="J1912" s="141">
        <v>9441.5929811670794</v>
      </c>
      <c r="K1912" s="238">
        <f t="shared" si="156"/>
        <v>3229025</v>
      </c>
      <c r="L1912" s="25" t="s">
        <v>161</v>
      </c>
      <c r="M1912" s="25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/>
      </c>
      <c r="Z1912" s="121"/>
    </row>
    <row r="1913" spans="1:26" ht="15.75" customHeight="1">
      <c r="A1913" s="125" t="str">
        <f>IF(B1913&lt;&gt;"",IF(AND(B1913&gt;=_TM1,B1913&lt;=_TM2,OR(TH!L1913="1111",TH!M1913="1111")),TH!D1913,""),"")</f>
        <v/>
      </c>
      <c r="B1913" s="11">
        <f t="shared" si="154"/>
        <v>10</v>
      </c>
      <c r="C1913" s="324">
        <f t="shared" si="155"/>
        <v>40838</v>
      </c>
      <c r="D1913" s="21" t="s">
        <v>909</v>
      </c>
      <c r="E1913" s="12">
        <v>40838</v>
      </c>
      <c r="F1913" s="116" t="s">
        <v>723</v>
      </c>
      <c r="G1913" s="224" t="s">
        <v>1185</v>
      </c>
      <c r="H1913" s="117" t="s">
        <v>709</v>
      </c>
      <c r="I1913" s="141">
        <v>150</v>
      </c>
      <c r="J1913" s="141">
        <v>7430.5015191787761</v>
      </c>
      <c r="K1913" s="238">
        <f t="shared" si="156"/>
        <v>1114575</v>
      </c>
      <c r="L1913" s="25" t="s">
        <v>161</v>
      </c>
      <c r="M1913" s="25" t="s">
        <v>155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/>
      </c>
      <c r="Z1913" s="121"/>
    </row>
    <row r="1914" spans="1:26" ht="15.75" customHeight="1">
      <c r="A1914" s="125" t="str">
        <f>IF(B1914&lt;&gt;"",IF(AND(B1914&gt;=_TM1,B1914&lt;=_TM2,OR(TH!L1914="1111",TH!M1914="1111")),TH!D1914,""),"")</f>
        <v/>
      </c>
      <c r="B1914" s="11">
        <f t="shared" si="154"/>
        <v>10</v>
      </c>
      <c r="C1914" s="324">
        <f t="shared" si="155"/>
        <v>40838</v>
      </c>
      <c r="D1914" s="21" t="s">
        <v>909</v>
      </c>
      <c r="E1914" s="12">
        <v>40838</v>
      </c>
      <c r="F1914" s="116" t="s">
        <v>1216</v>
      </c>
      <c r="G1914" s="224" t="s">
        <v>1185</v>
      </c>
      <c r="H1914" s="117" t="s">
        <v>709</v>
      </c>
      <c r="I1914" s="141">
        <v>160</v>
      </c>
      <c r="J1914" s="141">
        <v>7180.114435845443</v>
      </c>
      <c r="K1914" s="238">
        <f t="shared" si="156"/>
        <v>1148818</v>
      </c>
      <c r="L1914" s="25" t="s">
        <v>161</v>
      </c>
      <c r="M1914" s="25" t="s">
        <v>155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/>
      </c>
      <c r="Z1914" s="121"/>
    </row>
    <row r="1915" spans="1:26" ht="15.75" customHeight="1">
      <c r="A1915" s="125" t="str">
        <f>IF(B1915&lt;&gt;"",IF(AND(B1915&gt;=_TM1,B1915&lt;=_TM2,OR(TH!L1915="1111",TH!M1915="1111")),TH!D1915,""),"")</f>
        <v/>
      </c>
      <c r="B1915" s="11">
        <f t="shared" si="154"/>
        <v>10</v>
      </c>
      <c r="C1915" s="324">
        <f t="shared" si="155"/>
        <v>40838</v>
      </c>
      <c r="D1915" s="21" t="s">
        <v>909</v>
      </c>
      <c r="E1915" s="12">
        <v>40838</v>
      </c>
      <c r="F1915" s="116" t="s">
        <v>958</v>
      </c>
      <c r="G1915" s="224" t="s">
        <v>1185</v>
      </c>
      <c r="H1915" s="117" t="s">
        <v>709</v>
      </c>
      <c r="I1915" s="141">
        <v>100</v>
      </c>
      <c r="J1915" s="141">
        <v>10496.498185845441</v>
      </c>
      <c r="K1915" s="238">
        <f t="shared" si="156"/>
        <v>1049650</v>
      </c>
      <c r="L1915" s="25" t="s">
        <v>161</v>
      </c>
      <c r="M1915" s="25" t="s">
        <v>155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/>
      </c>
      <c r="Z1915" s="121"/>
    </row>
    <row r="1916" spans="1:26" ht="15.75" customHeight="1">
      <c r="A1916" s="125" t="str">
        <f>IF(B1916&lt;&gt;"",IF(AND(B1916&gt;=_TM1,B1916&lt;=_TM2,OR(TH!L1916="1111",TH!M1916="1111")),TH!D1916,""),"")</f>
        <v/>
      </c>
      <c r="B1916" s="11">
        <f t="shared" si="154"/>
        <v>10</v>
      </c>
      <c r="C1916" s="324">
        <f t="shared" si="155"/>
        <v>40838</v>
      </c>
      <c r="D1916" s="21" t="s">
        <v>909</v>
      </c>
      <c r="E1916" s="12">
        <v>40838</v>
      </c>
      <c r="F1916" s="116" t="s">
        <v>725</v>
      </c>
      <c r="G1916" s="224" t="s">
        <v>1185</v>
      </c>
      <c r="H1916" s="117" t="s">
        <v>709</v>
      </c>
      <c r="I1916" s="141">
        <v>170</v>
      </c>
      <c r="J1916" s="141">
        <v>10292.384656433678</v>
      </c>
      <c r="K1916" s="238">
        <f t="shared" si="156"/>
        <v>1749705</v>
      </c>
      <c r="L1916" s="25" t="s">
        <v>161</v>
      </c>
      <c r="M1916" s="25" t="s">
        <v>155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/>
      </c>
      <c r="Z1916" s="121"/>
    </row>
    <row r="1917" spans="1:26" ht="15.75" customHeight="1">
      <c r="A1917" s="125" t="str">
        <f>IF(B1917&lt;&gt;"",IF(AND(B1917&gt;=_TM1,B1917&lt;=_TM2,OR(TH!L1917="1111",TH!M1917="1111")),TH!D1917,""),"")</f>
        <v/>
      </c>
      <c r="B1917" s="11">
        <f t="shared" si="154"/>
        <v>10</v>
      </c>
      <c r="C1917" s="324">
        <f t="shared" si="155"/>
        <v>40838</v>
      </c>
      <c r="D1917" s="21" t="s">
        <v>909</v>
      </c>
      <c r="E1917" s="12">
        <v>40838</v>
      </c>
      <c r="F1917" s="116" t="s">
        <v>728</v>
      </c>
      <c r="G1917" s="224" t="s">
        <v>1185</v>
      </c>
      <c r="H1917" s="117" t="s">
        <v>709</v>
      </c>
      <c r="I1917" s="141">
        <v>190</v>
      </c>
      <c r="J1917" s="141">
        <v>12481.4502911086</v>
      </c>
      <c r="K1917" s="238">
        <f t="shared" si="156"/>
        <v>2371476</v>
      </c>
      <c r="L1917" s="25" t="s">
        <v>161</v>
      </c>
      <c r="M1917" s="25" t="s">
        <v>155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/>
      </c>
      <c r="Z1917" s="121"/>
    </row>
    <row r="1918" spans="1:26" ht="15.75" customHeight="1">
      <c r="A1918" s="125" t="str">
        <f>IF(B1918&lt;&gt;"",IF(AND(B1918&gt;=_TM1,B1918&lt;=_TM2,OR(TH!L1918="1111",TH!M1918="1111")),TH!D1918,""),"")</f>
        <v/>
      </c>
      <c r="B1918" s="11">
        <f t="shared" si="154"/>
        <v>10</v>
      </c>
      <c r="C1918" s="324">
        <f t="shared" si="155"/>
        <v>40838</v>
      </c>
      <c r="D1918" s="21" t="s">
        <v>909</v>
      </c>
      <c r="E1918" s="12">
        <v>40838</v>
      </c>
      <c r="F1918" s="116" t="s">
        <v>724</v>
      </c>
      <c r="G1918" s="224" t="s">
        <v>1185</v>
      </c>
      <c r="H1918" s="117" t="s">
        <v>709</v>
      </c>
      <c r="I1918" s="141">
        <v>110</v>
      </c>
      <c r="J1918" s="141">
        <v>7486.2445494818066</v>
      </c>
      <c r="K1918" s="238">
        <f t="shared" si="156"/>
        <v>823487</v>
      </c>
      <c r="L1918" s="25" t="s">
        <v>161</v>
      </c>
      <c r="M1918" s="25" t="s">
        <v>155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/>
      </c>
      <c r="Z1918" s="121"/>
    </row>
    <row r="1919" spans="1:26" ht="15.75" customHeight="1">
      <c r="A1919" s="125" t="str">
        <f>IF(B1919&lt;&gt;"",IF(AND(B1919&gt;=_TM1,B1919&lt;=_TM2,OR(TH!L1919="1111",TH!M1919="1111")),TH!D1919,""),"")</f>
        <v/>
      </c>
      <c r="B1919" s="11">
        <f t="shared" si="154"/>
        <v>10</v>
      </c>
      <c r="C1919" s="324">
        <f t="shared" si="155"/>
        <v>40838</v>
      </c>
      <c r="D1919" s="21" t="s">
        <v>909</v>
      </c>
      <c r="E1919" s="12">
        <v>40838</v>
      </c>
      <c r="F1919" s="116" t="s">
        <v>1217</v>
      </c>
      <c r="G1919" s="224" t="s">
        <v>1185</v>
      </c>
      <c r="H1919" s="117" t="s">
        <v>709</v>
      </c>
      <c r="I1919" s="141">
        <v>300</v>
      </c>
      <c r="J1919" s="141">
        <v>9295.3048525121085</v>
      </c>
      <c r="K1919" s="238">
        <f t="shared" si="156"/>
        <v>2788591</v>
      </c>
      <c r="L1919" s="25" t="s">
        <v>161</v>
      </c>
      <c r="M1919" s="25" t="s">
        <v>155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/>
      </c>
      <c r="Z1919" s="121"/>
    </row>
    <row r="1920" spans="1:26" ht="15.75" customHeight="1">
      <c r="A1920" s="125" t="str">
        <f>IF(B1920&lt;&gt;"",IF(AND(B1920&gt;=_TM1,B1920&lt;=_TM2,OR(TH!L1920="1111",TH!M1920="1111")),TH!D1920,""),"")</f>
        <v/>
      </c>
      <c r="B1920" s="281">
        <f t="shared" si="154"/>
        <v>10</v>
      </c>
      <c r="C1920" s="115">
        <v>40839</v>
      </c>
      <c r="D1920" s="115" t="s">
        <v>912</v>
      </c>
      <c r="E1920" s="115">
        <v>40839</v>
      </c>
      <c r="F1920" s="116" t="s">
        <v>1186</v>
      </c>
      <c r="G1920" s="224" t="s">
        <v>1187</v>
      </c>
      <c r="H1920" s="4" t="s">
        <v>741</v>
      </c>
      <c r="I1920" s="141">
        <v>564</v>
      </c>
      <c r="J1920" s="141">
        <v>5080</v>
      </c>
      <c r="K1920" s="238">
        <v>2865120</v>
      </c>
      <c r="L1920" s="118" t="s">
        <v>237</v>
      </c>
      <c r="M1920" s="118" t="s">
        <v>163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/>
      </c>
      <c r="Z1920" s="308"/>
    </row>
    <row r="1921" spans="1:26" ht="15.75" customHeight="1">
      <c r="A1921" s="125" t="str">
        <f>IF(B1921&lt;&gt;"",IF(AND(B1921&gt;=_TM1,B1921&lt;=_TM2,OR(TH!L1921="1111",TH!M1921="1111")),TH!D1921,""),"")</f>
        <v/>
      </c>
      <c r="B1921" s="281">
        <f t="shared" si="154"/>
        <v>10</v>
      </c>
      <c r="C1921" s="115">
        <v>40839</v>
      </c>
      <c r="D1921" s="115" t="s">
        <v>912</v>
      </c>
      <c r="E1921" s="115">
        <v>40839</v>
      </c>
      <c r="F1921" s="116" t="s">
        <v>1188</v>
      </c>
      <c r="G1921" s="224" t="s">
        <v>1187</v>
      </c>
      <c r="H1921" s="4" t="s">
        <v>741</v>
      </c>
      <c r="I1921" s="141">
        <v>401</v>
      </c>
      <c r="J1921" s="141">
        <v>4980</v>
      </c>
      <c r="K1921" s="238">
        <v>1996980</v>
      </c>
      <c r="L1921" s="118" t="s">
        <v>237</v>
      </c>
      <c r="M1921" s="118" t="s">
        <v>163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/>
      </c>
      <c r="Z1921" s="308"/>
    </row>
    <row r="1922" spans="1:26" ht="15.75" customHeight="1">
      <c r="A1922" s="125" t="str">
        <f>IF(B1922&lt;&gt;"",IF(AND(B1922&gt;=_TM1,B1922&lt;=_TM2,OR(TH!L1922="1111",TH!M1922="1111")),TH!D1922,""),"")</f>
        <v/>
      </c>
      <c r="B1922" s="281">
        <f t="shared" si="154"/>
        <v>10</v>
      </c>
      <c r="C1922" s="115">
        <v>40839</v>
      </c>
      <c r="D1922" s="115" t="s">
        <v>912</v>
      </c>
      <c r="E1922" s="115">
        <v>40839</v>
      </c>
      <c r="F1922" s="116" t="s">
        <v>1189</v>
      </c>
      <c r="G1922" s="224" t="s">
        <v>1187</v>
      </c>
      <c r="H1922" s="4" t="s">
        <v>741</v>
      </c>
      <c r="I1922" s="141">
        <v>506</v>
      </c>
      <c r="J1922" s="141">
        <v>5180</v>
      </c>
      <c r="K1922" s="238">
        <v>2621080</v>
      </c>
      <c r="L1922" s="118" t="s">
        <v>237</v>
      </c>
      <c r="M1922" s="118" t="s">
        <v>163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/>
      </c>
      <c r="Z1922" s="308"/>
    </row>
    <row r="1923" spans="1:26" ht="15.75" customHeight="1">
      <c r="A1923" s="125" t="str">
        <f>IF(B1923&lt;&gt;"",IF(AND(B1923&gt;=_TM1,B1923&lt;=_TM2,OR(TH!L1923="1111",TH!M1923="1111")),TH!D1923,""),"")</f>
        <v/>
      </c>
      <c r="B1923" s="281">
        <f t="shared" si="154"/>
        <v>10</v>
      </c>
      <c r="C1923" s="115">
        <v>40839</v>
      </c>
      <c r="D1923" s="115" t="s">
        <v>912</v>
      </c>
      <c r="E1923" s="115">
        <v>40839</v>
      </c>
      <c r="F1923" s="116" t="s">
        <v>1190</v>
      </c>
      <c r="G1923" s="224" t="s">
        <v>1187</v>
      </c>
      <c r="H1923" s="4" t="s">
        <v>741</v>
      </c>
      <c r="I1923" s="141">
        <v>301</v>
      </c>
      <c r="J1923" s="141">
        <v>6740</v>
      </c>
      <c r="K1923" s="238">
        <v>2028740</v>
      </c>
      <c r="L1923" s="118" t="s">
        <v>237</v>
      </c>
      <c r="M1923" s="118" t="s">
        <v>163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/>
      </c>
      <c r="Z1923" s="308"/>
    </row>
    <row r="1924" spans="1:26" ht="15.75" customHeight="1">
      <c r="A1924" s="125" t="str">
        <f>IF(B1924&lt;&gt;"",IF(AND(B1924&gt;=_TM1,B1924&lt;=_TM2,OR(TH!L1924="1111",TH!M1924="1111")),TH!D1924,""),"")</f>
        <v/>
      </c>
      <c r="B1924" s="281">
        <f t="shared" si="154"/>
        <v>10</v>
      </c>
      <c r="C1924" s="115">
        <v>40839</v>
      </c>
      <c r="D1924" s="115" t="s">
        <v>912</v>
      </c>
      <c r="E1924" s="115">
        <v>40839</v>
      </c>
      <c r="F1924" s="116" t="s">
        <v>1191</v>
      </c>
      <c r="G1924" s="224" t="s">
        <v>1187</v>
      </c>
      <c r="H1924" s="4" t="s">
        <v>741</v>
      </c>
      <c r="I1924" s="141">
        <v>308</v>
      </c>
      <c r="J1924" s="141">
        <v>4980</v>
      </c>
      <c r="K1924" s="238">
        <v>1533840</v>
      </c>
      <c r="L1924" s="118" t="s">
        <v>237</v>
      </c>
      <c r="M1924" s="118" t="s">
        <v>163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/>
      </c>
      <c r="Z1924" s="308"/>
    </row>
    <row r="1925" spans="1:26" ht="15.75" customHeight="1">
      <c r="A1925" s="125" t="str">
        <f>IF(B1925&lt;&gt;"",IF(AND(B1925&gt;=_TM1,B1925&lt;=_TM2,OR(TH!L1925="1111",TH!M1925="1111")),TH!D1925,""),"")</f>
        <v/>
      </c>
      <c r="B1925" s="281">
        <f t="shared" si="154"/>
        <v>10</v>
      </c>
      <c r="C1925" s="115">
        <v>40839</v>
      </c>
      <c r="D1925" s="115" t="s">
        <v>912</v>
      </c>
      <c r="E1925" s="115">
        <v>40839</v>
      </c>
      <c r="F1925" s="116" t="s">
        <v>1192</v>
      </c>
      <c r="G1925" s="224" t="s">
        <v>1187</v>
      </c>
      <c r="H1925" s="4" t="s">
        <v>741</v>
      </c>
      <c r="I1925" s="141">
        <v>506</v>
      </c>
      <c r="J1925" s="141">
        <v>6680</v>
      </c>
      <c r="K1925" s="238">
        <v>3380080</v>
      </c>
      <c r="L1925" s="118" t="s">
        <v>237</v>
      </c>
      <c r="M1925" s="118" t="s">
        <v>163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/>
      </c>
      <c r="Z1925" s="308"/>
    </row>
    <row r="1926" spans="1:26" ht="15.75" customHeight="1">
      <c r="A1926" s="125" t="str">
        <f>IF(B1926&lt;&gt;"",IF(AND(B1926&gt;=_TM1,B1926&lt;=_TM2,OR(TH!L1926="1111",TH!M1926="1111")),TH!D1926,""),"")</f>
        <v/>
      </c>
      <c r="B1926" s="281">
        <f t="shared" si="154"/>
        <v>10</v>
      </c>
      <c r="C1926" s="115">
        <v>40839</v>
      </c>
      <c r="D1926" s="115" t="s">
        <v>912</v>
      </c>
      <c r="E1926" s="115">
        <v>40839</v>
      </c>
      <c r="F1926" s="116" t="s">
        <v>1193</v>
      </c>
      <c r="G1926" s="224" t="s">
        <v>1187</v>
      </c>
      <c r="H1926" s="4" t="s">
        <v>741</v>
      </c>
      <c r="I1926" s="141">
        <v>396</v>
      </c>
      <c r="J1926" s="141">
        <v>4400</v>
      </c>
      <c r="K1926" s="238">
        <v>1742400</v>
      </c>
      <c r="L1926" s="118" t="s">
        <v>237</v>
      </c>
      <c r="M1926" s="118" t="s">
        <v>163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/>
      </c>
      <c r="Z1926" s="308"/>
    </row>
    <row r="1927" spans="1:26" ht="15.75" customHeight="1">
      <c r="A1927" s="125" t="str">
        <f>IF(B1927&lt;&gt;"",IF(AND(B1927&gt;=_TM1,B1927&lt;=_TM2,OR(TH!L1927="1111",TH!M1927="1111")),TH!D1927,""),"")</f>
        <v/>
      </c>
      <c r="B1927" s="281">
        <f t="shared" si="154"/>
        <v>10</v>
      </c>
      <c r="C1927" s="115">
        <v>40839</v>
      </c>
      <c r="D1927" s="115" t="s">
        <v>912</v>
      </c>
      <c r="E1927" s="115">
        <v>40839</v>
      </c>
      <c r="F1927" s="116" t="s">
        <v>1194</v>
      </c>
      <c r="G1927" s="224" t="s">
        <v>1187</v>
      </c>
      <c r="H1927" s="4" t="s">
        <v>741</v>
      </c>
      <c r="I1927" s="141">
        <v>280</v>
      </c>
      <c r="J1927" s="141">
        <v>2700</v>
      </c>
      <c r="K1927" s="238">
        <v>756000</v>
      </c>
      <c r="L1927" s="118" t="s">
        <v>237</v>
      </c>
      <c r="M1927" s="118" t="s">
        <v>163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/>
      </c>
      <c r="Z1927" s="308"/>
    </row>
    <row r="1928" spans="1:26" ht="15.75" customHeight="1">
      <c r="A1928" s="125" t="str">
        <f>IF(B1928&lt;&gt;"",IF(AND(B1928&gt;=_TM1,B1928&lt;=_TM2,OR(TH!L1928="1111",TH!M1928="1111")),TH!D1928,""),"")</f>
        <v/>
      </c>
      <c r="B1928" s="281">
        <f t="shared" si="154"/>
        <v>10</v>
      </c>
      <c r="C1928" s="115">
        <v>40839</v>
      </c>
      <c r="D1928" s="115" t="s">
        <v>912</v>
      </c>
      <c r="E1928" s="115">
        <v>40839</v>
      </c>
      <c r="F1928" s="116" t="s">
        <v>1121</v>
      </c>
      <c r="G1928" s="224" t="s">
        <v>1187</v>
      </c>
      <c r="H1928" s="4" t="s">
        <v>741</v>
      </c>
      <c r="I1928" s="141"/>
      <c r="J1928" s="141"/>
      <c r="K1928" s="238">
        <f>1692424+1</f>
        <v>1692425</v>
      </c>
      <c r="L1928" s="118" t="s">
        <v>237</v>
      </c>
      <c r="M1928" s="118" t="s">
        <v>707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/>
      </c>
      <c r="Z1928" s="308"/>
    </row>
    <row r="1929" spans="1:26" ht="15.75" customHeight="1">
      <c r="A1929" s="125" t="str">
        <f>IF(B1929&lt;&gt;"",IF(AND(B1929&gt;=_TM1,B1929&lt;=_TM2,OR(TH!L1929="1111",TH!M1929="1111")),TH!D1929,""),"")</f>
        <v/>
      </c>
      <c r="B1929" s="281">
        <f t="shared" si="154"/>
        <v>10</v>
      </c>
      <c r="C1929" s="324">
        <f t="shared" ref="C1929:C1944" si="157">E1929</f>
        <v>40839</v>
      </c>
      <c r="D1929" s="21" t="s">
        <v>1065</v>
      </c>
      <c r="E1929" s="21">
        <v>40839</v>
      </c>
      <c r="F1929" s="331" t="s">
        <v>1186</v>
      </c>
      <c r="G1929" s="22"/>
      <c r="H1929" s="332" t="s">
        <v>1037</v>
      </c>
      <c r="I1929" s="139">
        <v>564</v>
      </c>
      <c r="J1929" s="139">
        <v>4226.8893915192002</v>
      </c>
      <c r="K1929" s="285">
        <f t="shared" ref="K1929:K1944" si="158">ROUND(I1929*J1929,0)</f>
        <v>2383966</v>
      </c>
      <c r="L1929" s="25" t="s">
        <v>155</v>
      </c>
      <c r="M1929" s="25" t="s">
        <v>153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/>
      </c>
      <c r="Z1929" s="308"/>
    </row>
    <row r="1930" spans="1:26" ht="15.75" customHeight="1">
      <c r="A1930" s="125" t="str">
        <f>IF(B1930&lt;&gt;"",IF(AND(B1930&gt;=_TM1,B1930&lt;=_TM2,OR(TH!L1930="1111",TH!M1930="1111")),TH!D1930,""),"")</f>
        <v/>
      </c>
      <c r="B1930" s="281">
        <f t="shared" si="154"/>
        <v>10</v>
      </c>
      <c r="C1930" s="324">
        <f t="shared" si="157"/>
        <v>40839</v>
      </c>
      <c r="D1930" s="21" t="s">
        <v>1065</v>
      </c>
      <c r="E1930" s="21">
        <v>40839</v>
      </c>
      <c r="F1930" s="331" t="s">
        <v>1188</v>
      </c>
      <c r="G1930" s="22"/>
      <c r="H1930" s="332" t="s">
        <v>1037</v>
      </c>
      <c r="I1930" s="139">
        <v>401</v>
      </c>
      <c r="J1930" s="139">
        <v>4893.1191584140215</v>
      </c>
      <c r="K1930" s="285">
        <f t="shared" si="158"/>
        <v>1962141</v>
      </c>
      <c r="L1930" s="25" t="s">
        <v>155</v>
      </c>
      <c r="M1930" s="25" t="s">
        <v>153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/>
      </c>
      <c r="Z1930" s="308"/>
    </row>
    <row r="1931" spans="1:26" ht="15.75" customHeight="1">
      <c r="A1931" s="125" t="str">
        <f>IF(B1931&lt;&gt;"",IF(AND(B1931&gt;=_TM1,B1931&lt;=_TM2,OR(TH!L1931="1111",TH!M1931="1111")),TH!D1931,""),"")</f>
        <v/>
      </c>
      <c r="B1931" s="281">
        <f t="shared" si="154"/>
        <v>10</v>
      </c>
      <c r="C1931" s="324">
        <f t="shared" si="157"/>
        <v>40839</v>
      </c>
      <c r="D1931" s="21" t="s">
        <v>1065</v>
      </c>
      <c r="E1931" s="21">
        <v>40839</v>
      </c>
      <c r="F1931" s="331" t="s">
        <v>1189</v>
      </c>
      <c r="G1931" s="22"/>
      <c r="H1931" s="332" t="s">
        <v>1037</v>
      </c>
      <c r="I1931" s="139">
        <v>506</v>
      </c>
      <c r="J1931" s="139">
        <v>4674.3955376240992</v>
      </c>
      <c r="K1931" s="285">
        <f t="shared" si="158"/>
        <v>2365244</v>
      </c>
      <c r="L1931" s="25" t="s">
        <v>155</v>
      </c>
      <c r="M1931" s="25" t="s">
        <v>153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/>
      </c>
      <c r="Z1931" s="308"/>
    </row>
    <row r="1932" spans="1:26" ht="15.75" customHeight="1">
      <c r="A1932" s="125" t="str">
        <f>IF(B1932&lt;&gt;"",IF(AND(B1932&gt;=_TM1,B1932&lt;=_TM2,OR(TH!L1932="1111",TH!M1932="1111")),TH!D1932,""),"")</f>
        <v/>
      </c>
      <c r="B1932" s="281">
        <f t="shared" si="154"/>
        <v>10</v>
      </c>
      <c r="C1932" s="324">
        <f t="shared" si="157"/>
        <v>40839</v>
      </c>
      <c r="D1932" s="21" t="s">
        <v>1065</v>
      </c>
      <c r="E1932" s="21">
        <v>40839</v>
      </c>
      <c r="F1932" s="331" t="s">
        <v>1190</v>
      </c>
      <c r="G1932" s="22"/>
      <c r="H1932" s="332" t="s">
        <v>1037</v>
      </c>
      <c r="I1932" s="139">
        <v>301</v>
      </c>
      <c r="J1932" s="139">
        <v>6478.0397473072353</v>
      </c>
      <c r="K1932" s="285">
        <f t="shared" si="158"/>
        <v>1949890</v>
      </c>
      <c r="L1932" s="25" t="s">
        <v>155</v>
      </c>
      <c r="M1932" s="25" t="s">
        <v>153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/>
      </c>
      <c r="Z1932" s="308"/>
    </row>
    <row r="1933" spans="1:26" ht="15.75" customHeight="1">
      <c r="A1933" s="125" t="str">
        <f>IF(B1933&lt;&gt;"",IF(AND(B1933&gt;=_TM1,B1933&lt;=_TM2,OR(TH!L1933="1111",TH!M1933="1111")),TH!D1933,""),"")</f>
        <v/>
      </c>
      <c r="B1933" s="281">
        <f t="shared" si="154"/>
        <v>10</v>
      </c>
      <c r="C1933" s="324">
        <f t="shared" si="157"/>
        <v>40839</v>
      </c>
      <c r="D1933" s="21" t="s">
        <v>1065</v>
      </c>
      <c r="E1933" s="21">
        <v>40839</v>
      </c>
      <c r="F1933" s="331" t="s">
        <v>1191</v>
      </c>
      <c r="G1933" s="22"/>
      <c r="H1933" s="332" t="s">
        <v>1037</v>
      </c>
      <c r="I1933" s="139">
        <v>308</v>
      </c>
      <c r="J1933" s="139">
        <v>3856.5049390921954</v>
      </c>
      <c r="K1933" s="285">
        <f t="shared" si="158"/>
        <v>1187804</v>
      </c>
      <c r="L1933" s="25" t="s">
        <v>155</v>
      </c>
      <c r="M1933" s="25" t="s">
        <v>153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/>
      </c>
      <c r="Z1933" s="308"/>
    </row>
    <row r="1934" spans="1:26" ht="15.75" customHeight="1">
      <c r="A1934" s="125" t="str">
        <f>IF(B1934&lt;&gt;"",IF(AND(B1934&gt;=_TM1,B1934&lt;=_TM2,OR(TH!L1934="1111",TH!M1934="1111")),TH!D1934,""),"")</f>
        <v/>
      </c>
      <c r="B1934" s="281">
        <f t="shared" si="154"/>
        <v>10</v>
      </c>
      <c r="C1934" s="324">
        <f t="shared" si="157"/>
        <v>40839</v>
      </c>
      <c r="D1934" s="21" t="s">
        <v>1065</v>
      </c>
      <c r="E1934" s="21">
        <v>40839</v>
      </c>
      <c r="F1934" s="331" t="s">
        <v>1192</v>
      </c>
      <c r="G1934" s="22"/>
      <c r="H1934" s="332" t="s">
        <v>1037</v>
      </c>
      <c r="I1934" s="139">
        <v>506</v>
      </c>
      <c r="J1934" s="139">
        <v>5810.3797273474202</v>
      </c>
      <c r="K1934" s="285">
        <f t="shared" si="158"/>
        <v>2940052</v>
      </c>
      <c r="L1934" s="25" t="s">
        <v>155</v>
      </c>
      <c r="M1934" s="25" t="s">
        <v>153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/>
      </c>
      <c r="Z1934" s="308"/>
    </row>
    <row r="1935" spans="1:26" ht="15.75" customHeight="1">
      <c r="A1935" s="125" t="str">
        <f>IF(B1935&lt;&gt;"",IF(AND(B1935&gt;=_TM1,B1935&lt;=_TM2,OR(TH!L1935="1111",TH!M1935="1111")),TH!D1935,""),"")</f>
        <v/>
      </c>
      <c r="B1935" s="281">
        <f t="shared" si="154"/>
        <v>10</v>
      </c>
      <c r="C1935" s="324">
        <f t="shared" si="157"/>
        <v>40839</v>
      </c>
      <c r="D1935" s="21" t="s">
        <v>1065</v>
      </c>
      <c r="E1935" s="21">
        <v>40839</v>
      </c>
      <c r="F1935" s="331" t="s">
        <v>1193</v>
      </c>
      <c r="G1935" s="22"/>
      <c r="H1935" s="332" t="s">
        <v>1037</v>
      </c>
      <c r="I1935" s="139">
        <v>396</v>
      </c>
      <c r="J1935" s="139">
        <v>4368.5536403908982</v>
      </c>
      <c r="K1935" s="285">
        <f t="shared" si="158"/>
        <v>1729947</v>
      </c>
      <c r="L1935" s="25" t="s">
        <v>155</v>
      </c>
      <c r="M1935" s="25" t="s">
        <v>153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/>
      </c>
      <c r="Z1935" s="308"/>
    </row>
    <row r="1936" spans="1:26" ht="15.75" customHeight="1">
      <c r="A1936" s="125" t="str">
        <f>IF(B1936&lt;&gt;"",IF(AND(B1936&gt;=_TM1,B1936&lt;=_TM2,OR(TH!L1936="1111",TH!M1936="1111")),TH!D1936,""),"")</f>
        <v/>
      </c>
      <c r="B1936" s="281">
        <f t="shared" si="154"/>
        <v>10</v>
      </c>
      <c r="C1936" s="324">
        <f t="shared" si="157"/>
        <v>40839</v>
      </c>
      <c r="D1936" s="21" t="s">
        <v>1065</v>
      </c>
      <c r="E1936" s="21">
        <v>40839</v>
      </c>
      <c r="F1936" s="331" t="s">
        <v>1194</v>
      </c>
      <c r="G1936" s="22"/>
      <c r="H1936" s="332" t="s">
        <v>1037</v>
      </c>
      <c r="I1936" s="139">
        <v>280</v>
      </c>
      <c r="J1936" s="139">
        <v>2167.2546144168714</v>
      </c>
      <c r="K1936" s="285">
        <f t="shared" si="158"/>
        <v>606831</v>
      </c>
      <c r="L1936" s="25" t="s">
        <v>155</v>
      </c>
      <c r="M1936" s="25" t="s">
        <v>153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/>
      </c>
      <c r="Z1936" s="308"/>
    </row>
    <row r="1937" spans="1:26" ht="15.75" customHeight="1">
      <c r="A1937" s="125" t="str">
        <f>IF(B1937&lt;&gt;"",IF(AND(B1937&gt;=_TM1,B1937&lt;=_TM2,OR(TH!L1937="1111",TH!M1937="1111")),TH!D1937,""),"")</f>
        <v/>
      </c>
      <c r="B1937" s="11">
        <f t="shared" si="154"/>
        <v>10</v>
      </c>
      <c r="C1937" s="324">
        <f t="shared" si="157"/>
        <v>40839</v>
      </c>
      <c r="D1937" s="21" t="s">
        <v>912</v>
      </c>
      <c r="E1937" s="12">
        <v>40839</v>
      </c>
      <c r="F1937" s="116" t="s">
        <v>1186</v>
      </c>
      <c r="G1937" s="224" t="s">
        <v>1187</v>
      </c>
      <c r="H1937" s="4" t="s">
        <v>741</v>
      </c>
      <c r="I1937" s="141">
        <v>564</v>
      </c>
      <c r="J1937" s="141">
        <v>4226.8893915192002</v>
      </c>
      <c r="K1937" s="238">
        <f t="shared" si="158"/>
        <v>2383966</v>
      </c>
      <c r="L1937" s="25" t="s">
        <v>161</v>
      </c>
      <c r="M1937" s="25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/>
      </c>
      <c r="Z1937" s="121"/>
    </row>
    <row r="1938" spans="1:26" ht="15.75" customHeight="1">
      <c r="A1938" s="125" t="str">
        <f>IF(B1938&lt;&gt;"",IF(AND(B1938&gt;=_TM1,B1938&lt;=_TM2,OR(TH!L1938="1111",TH!M1938="1111")),TH!D1938,""),"")</f>
        <v/>
      </c>
      <c r="B1938" s="11">
        <f t="shared" si="154"/>
        <v>10</v>
      </c>
      <c r="C1938" s="324">
        <f t="shared" si="157"/>
        <v>40839</v>
      </c>
      <c r="D1938" s="21" t="s">
        <v>912</v>
      </c>
      <c r="E1938" s="12">
        <v>40839</v>
      </c>
      <c r="F1938" s="116" t="s">
        <v>1188</v>
      </c>
      <c r="G1938" s="224" t="s">
        <v>1187</v>
      </c>
      <c r="H1938" s="4" t="s">
        <v>741</v>
      </c>
      <c r="I1938" s="141">
        <v>401</v>
      </c>
      <c r="J1938" s="141">
        <v>4893.1191584140215</v>
      </c>
      <c r="K1938" s="238">
        <f t="shared" si="158"/>
        <v>1962141</v>
      </c>
      <c r="L1938" s="25" t="s">
        <v>161</v>
      </c>
      <c r="M1938" s="25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/>
      </c>
      <c r="Z1938" s="121"/>
    </row>
    <row r="1939" spans="1:26" ht="15.75" customHeight="1">
      <c r="A1939" s="125" t="str">
        <f>IF(B1939&lt;&gt;"",IF(AND(B1939&gt;=_TM1,B1939&lt;=_TM2,OR(TH!L1939="1111",TH!M1939="1111")),TH!D1939,""),"")</f>
        <v/>
      </c>
      <c r="B1939" s="11">
        <f t="shared" si="154"/>
        <v>10</v>
      </c>
      <c r="C1939" s="324">
        <f t="shared" si="157"/>
        <v>40839</v>
      </c>
      <c r="D1939" s="21" t="s">
        <v>912</v>
      </c>
      <c r="E1939" s="12">
        <v>40839</v>
      </c>
      <c r="F1939" s="116" t="s">
        <v>1189</v>
      </c>
      <c r="G1939" s="224" t="s">
        <v>1187</v>
      </c>
      <c r="H1939" s="4" t="s">
        <v>741</v>
      </c>
      <c r="I1939" s="141">
        <v>506</v>
      </c>
      <c r="J1939" s="141">
        <v>4674.3955376240992</v>
      </c>
      <c r="K1939" s="238">
        <f t="shared" si="158"/>
        <v>2365244</v>
      </c>
      <c r="L1939" s="25" t="s">
        <v>161</v>
      </c>
      <c r="M1939" s="25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/>
      </c>
      <c r="Z1939" s="121"/>
    </row>
    <row r="1940" spans="1:26" ht="15.75" customHeight="1">
      <c r="A1940" s="125" t="str">
        <f>IF(B1940&lt;&gt;"",IF(AND(B1940&gt;=_TM1,B1940&lt;=_TM2,OR(TH!L1940="1111",TH!M1940="1111")),TH!D1940,""),"")</f>
        <v/>
      </c>
      <c r="B1940" s="11">
        <f t="shared" si="154"/>
        <v>10</v>
      </c>
      <c r="C1940" s="324">
        <f t="shared" si="157"/>
        <v>40839</v>
      </c>
      <c r="D1940" s="21" t="s">
        <v>912</v>
      </c>
      <c r="E1940" s="12">
        <v>40839</v>
      </c>
      <c r="F1940" s="116" t="s">
        <v>1190</v>
      </c>
      <c r="G1940" s="224" t="s">
        <v>1187</v>
      </c>
      <c r="H1940" s="4" t="s">
        <v>741</v>
      </c>
      <c r="I1940" s="141">
        <v>301</v>
      </c>
      <c r="J1940" s="141">
        <v>6478.0397473072353</v>
      </c>
      <c r="K1940" s="238">
        <f t="shared" si="158"/>
        <v>1949890</v>
      </c>
      <c r="L1940" s="25" t="s">
        <v>161</v>
      </c>
      <c r="M1940" s="25" t="s">
        <v>155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/>
      </c>
      <c r="Z1940" s="121"/>
    </row>
    <row r="1941" spans="1:26" ht="15.75" customHeight="1">
      <c r="A1941" s="125" t="str">
        <f>IF(B1941&lt;&gt;"",IF(AND(B1941&gt;=_TM1,B1941&lt;=_TM2,OR(TH!L1941="1111",TH!M1941="1111")),TH!D1941,""),"")</f>
        <v/>
      </c>
      <c r="B1941" s="11">
        <f t="shared" si="154"/>
        <v>10</v>
      </c>
      <c r="C1941" s="324">
        <f t="shared" si="157"/>
        <v>40839</v>
      </c>
      <c r="D1941" s="21" t="s">
        <v>912</v>
      </c>
      <c r="E1941" s="12">
        <v>40839</v>
      </c>
      <c r="F1941" s="116" t="s">
        <v>1191</v>
      </c>
      <c r="G1941" s="224" t="s">
        <v>1187</v>
      </c>
      <c r="H1941" s="4" t="s">
        <v>741</v>
      </c>
      <c r="I1941" s="141">
        <v>308</v>
      </c>
      <c r="J1941" s="141">
        <v>3856.5049390921954</v>
      </c>
      <c r="K1941" s="238">
        <f t="shared" si="158"/>
        <v>1187804</v>
      </c>
      <c r="L1941" s="25" t="s">
        <v>161</v>
      </c>
      <c r="M1941" s="25" t="s">
        <v>155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/>
      </c>
      <c r="Z1941" s="121"/>
    </row>
    <row r="1942" spans="1:26" ht="15.75" customHeight="1">
      <c r="A1942" s="125" t="str">
        <f>IF(B1942&lt;&gt;"",IF(AND(B1942&gt;=_TM1,B1942&lt;=_TM2,OR(TH!L1942="1111",TH!M1942="1111")),TH!D1942,""),"")</f>
        <v/>
      </c>
      <c r="B1942" s="11">
        <f t="shared" ref="B1942:B2005" si="159">IF(C1942&lt;&gt;"",MONTH(C1942),"")</f>
        <v>10</v>
      </c>
      <c r="C1942" s="324">
        <f t="shared" si="157"/>
        <v>40839</v>
      </c>
      <c r="D1942" s="21" t="s">
        <v>912</v>
      </c>
      <c r="E1942" s="12">
        <v>40839</v>
      </c>
      <c r="F1942" s="116" t="s">
        <v>1192</v>
      </c>
      <c r="G1942" s="224" t="s">
        <v>1187</v>
      </c>
      <c r="H1942" s="4" t="s">
        <v>741</v>
      </c>
      <c r="I1942" s="141">
        <v>506</v>
      </c>
      <c r="J1942" s="141">
        <v>5810.3797273474202</v>
      </c>
      <c r="K1942" s="238">
        <f t="shared" si="158"/>
        <v>2940052</v>
      </c>
      <c r="L1942" s="25" t="s">
        <v>161</v>
      </c>
      <c r="M1942" s="25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/>
      </c>
      <c r="Z1942" s="121"/>
    </row>
    <row r="1943" spans="1:26" ht="15.75" customHeight="1">
      <c r="A1943" s="125" t="str">
        <f>IF(B1943&lt;&gt;"",IF(AND(B1943&gt;=_TM1,B1943&lt;=_TM2,OR(TH!L1943="1111",TH!M1943="1111")),TH!D1943,""),"")</f>
        <v/>
      </c>
      <c r="B1943" s="11">
        <f t="shared" si="159"/>
        <v>10</v>
      </c>
      <c r="C1943" s="324">
        <f t="shared" si="157"/>
        <v>40839</v>
      </c>
      <c r="D1943" s="21" t="s">
        <v>912</v>
      </c>
      <c r="E1943" s="12">
        <v>40839</v>
      </c>
      <c r="F1943" s="116" t="s">
        <v>1193</v>
      </c>
      <c r="G1943" s="224" t="s">
        <v>1187</v>
      </c>
      <c r="H1943" s="4" t="s">
        <v>741</v>
      </c>
      <c r="I1943" s="141">
        <v>396</v>
      </c>
      <c r="J1943" s="141">
        <v>4368.5536403908982</v>
      </c>
      <c r="K1943" s="238">
        <f t="shared" si="158"/>
        <v>1729947</v>
      </c>
      <c r="L1943" s="25" t="s">
        <v>161</v>
      </c>
      <c r="M1943" s="25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/>
      </c>
      <c r="Z1943" s="121"/>
    </row>
    <row r="1944" spans="1:26" ht="15.75" customHeight="1">
      <c r="A1944" s="125" t="str">
        <f>IF(B1944&lt;&gt;"",IF(AND(B1944&gt;=_TM1,B1944&lt;=_TM2,OR(TH!L1944="1111",TH!M1944="1111")),TH!D1944,""),"")</f>
        <v/>
      </c>
      <c r="B1944" s="11">
        <f t="shared" si="159"/>
        <v>10</v>
      </c>
      <c r="C1944" s="324">
        <f t="shared" si="157"/>
        <v>40839</v>
      </c>
      <c r="D1944" s="21" t="s">
        <v>912</v>
      </c>
      <c r="E1944" s="12">
        <v>40839</v>
      </c>
      <c r="F1944" s="116" t="s">
        <v>1194</v>
      </c>
      <c r="G1944" s="224" t="s">
        <v>1187</v>
      </c>
      <c r="H1944" s="4" t="s">
        <v>741</v>
      </c>
      <c r="I1944" s="141">
        <v>280</v>
      </c>
      <c r="J1944" s="141">
        <v>2167.2546144168714</v>
      </c>
      <c r="K1944" s="238">
        <f t="shared" si="158"/>
        <v>606831</v>
      </c>
      <c r="L1944" s="25" t="s">
        <v>161</v>
      </c>
      <c r="M1944" s="25" t="s">
        <v>155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/>
      </c>
      <c r="Z1944" s="121"/>
    </row>
    <row r="1945" spans="1:26" ht="15.75" customHeight="1">
      <c r="A1945" s="125" t="str">
        <f>IF(B1945&lt;&gt;"",IF(AND(B1945&gt;=_TM1,B1945&lt;=_TM2,OR(TH!L1945="1111",TH!M1945="1111")),TH!D1945,""),"")</f>
        <v/>
      </c>
      <c r="B1945" s="281">
        <f t="shared" si="159"/>
        <v>10</v>
      </c>
      <c r="C1945" s="115">
        <v>40840</v>
      </c>
      <c r="D1945" s="115" t="s">
        <v>913</v>
      </c>
      <c r="E1945" s="115">
        <v>40840</v>
      </c>
      <c r="F1945" s="116" t="s">
        <v>1195</v>
      </c>
      <c r="G1945" s="224" t="s">
        <v>1196</v>
      </c>
      <c r="H1945" s="117" t="s">
        <v>711</v>
      </c>
      <c r="I1945" s="141">
        <v>165</v>
      </c>
      <c r="J1945" s="141">
        <v>25900</v>
      </c>
      <c r="K1945" s="238">
        <v>4273500</v>
      </c>
      <c r="L1945" s="118" t="s">
        <v>237</v>
      </c>
      <c r="M1945" s="118" t="s">
        <v>163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/>
      </c>
      <c r="Z1945" s="308"/>
    </row>
    <row r="1946" spans="1:26" ht="15.75" customHeight="1">
      <c r="A1946" s="125" t="str">
        <f>IF(B1946&lt;&gt;"",IF(AND(B1946&gt;=_TM1,B1946&lt;=_TM2,OR(TH!L1946="1111",TH!M1946="1111")),TH!D1946,""),"")</f>
        <v/>
      </c>
      <c r="B1946" s="281">
        <f t="shared" si="159"/>
        <v>10</v>
      </c>
      <c r="C1946" s="115">
        <v>40840</v>
      </c>
      <c r="D1946" s="115" t="s">
        <v>913</v>
      </c>
      <c r="E1946" s="115">
        <v>40840</v>
      </c>
      <c r="F1946" s="116" t="s">
        <v>1197</v>
      </c>
      <c r="G1946" s="224" t="s">
        <v>1196</v>
      </c>
      <c r="H1946" s="117" t="s">
        <v>711</v>
      </c>
      <c r="I1946" s="141">
        <v>571</v>
      </c>
      <c r="J1946" s="141">
        <v>21300</v>
      </c>
      <c r="K1946" s="238">
        <v>12162300</v>
      </c>
      <c r="L1946" s="118" t="s">
        <v>237</v>
      </c>
      <c r="M1946" s="118" t="s">
        <v>163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/>
      </c>
      <c r="Z1946" s="308"/>
    </row>
    <row r="1947" spans="1:26" ht="15.75" customHeight="1">
      <c r="A1947" s="125" t="str">
        <f>IF(B1947&lt;&gt;"",IF(AND(B1947&gt;=_TM1,B1947&lt;=_TM2,OR(TH!L1947="1111",TH!M1947="1111")),TH!D1947,""),"")</f>
        <v/>
      </c>
      <c r="B1947" s="281">
        <f t="shared" si="159"/>
        <v>10</v>
      </c>
      <c r="C1947" s="115">
        <v>40840</v>
      </c>
      <c r="D1947" s="115" t="s">
        <v>913</v>
      </c>
      <c r="E1947" s="115">
        <v>40840</v>
      </c>
      <c r="F1947" s="116" t="s">
        <v>1121</v>
      </c>
      <c r="G1947" s="224" t="s">
        <v>1196</v>
      </c>
      <c r="H1947" s="117" t="s">
        <v>711</v>
      </c>
      <c r="I1947" s="141"/>
      <c r="J1947" s="141"/>
      <c r="K1947" s="238">
        <f>1643580+2</f>
        <v>1643582</v>
      </c>
      <c r="L1947" s="118" t="s">
        <v>237</v>
      </c>
      <c r="M1947" s="118" t="s">
        <v>707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/>
      </c>
      <c r="Z1947" s="308"/>
    </row>
    <row r="1948" spans="1:26" ht="15.75" customHeight="1">
      <c r="A1948" s="125" t="str">
        <f>IF(B1948&lt;&gt;"",IF(AND(B1948&gt;=_TM1,B1948&lt;=_TM2,OR(TH!L1948="1111",TH!M1948="1111")),TH!D1948,""),"")</f>
        <v/>
      </c>
      <c r="B1948" s="281">
        <f t="shared" si="159"/>
        <v>10</v>
      </c>
      <c r="C1948" s="324">
        <f>E1948</f>
        <v>40840</v>
      </c>
      <c r="D1948" s="21" t="s">
        <v>1066</v>
      </c>
      <c r="E1948" s="21">
        <v>40840</v>
      </c>
      <c r="F1948" s="331" t="s">
        <v>1195</v>
      </c>
      <c r="G1948" s="22"/>
      <c r="H1948" s="332" t="s">
        <v>1037</v>
      </c>
      <c r="I1948" s="139">
        <v>165</v>
      </c>
      <c r="J1948" s="139">
        <v>20534.356670693927</v>
      </c>
      <c r="K1948" s="285">
        <f>ROUND(I1948*J1948,0)</f>
        <v>3388169</v>
      </c>
      <c r="L1948" s="25" t="s">
        <v>155</v>
      </c>
      <c r="M1948" s="25" t="s">
        <v>153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/>
      </c>
      <c r="Z1948" s="308"/>
    </row>
    <row r="1949" spans="1:26" ht="15.75" customHeight="1">
      <c r="A1949" s="125" t="str">
        <f>IF(B1949&lt;&gt;"",IF(AND(B1949&gt;=_TM1,B1949&lt;=_TM2,OR(TH!L1949="1111",TH!M1949="1111")),TH!D1949,""),"")</f>
        <v/>
      </c>
      <c r="B1949" s="281">
        <f t="shared" si="159"/>
        <v>10</v>
      </c>
      <c r="C1949" s="324">
        <f>E1949</f>
        <v>40840</v>
      </c>
      <c r="D1949" s="21" t="s">
        <v>1066</v>
      </c>
      <c r="E1949" s="21">
        <v>40840</v>
      </c>
      <c r="F1949" s="331" t="s">
        <v>1197</v>
      </c>
      <c r="G1949" s="22"/>
      <c r="H1949" s="332" t="s">
        <v>1037</v>
      </c>
      <c r="I1949" s="139">
        <v>571</v>
      </c>
      <c r="J1949" s="139">
        <v>14778.765628927755</v>
      </c>
      <c r="K1949" s="285">
        <f>ROUND(I1949*J1949,0)</f>
        <v>8438675</v>
      </c>
      <c r="L1949" s="25" t="s">
        <v>155</v>
      </c>
      <c r="M1949" s="25" t="s">
        <v>153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/>
      </c>
      <c r="Z1949" s="308"/>
    </row>
    <row r="1950" spans="1:26" ht="15.75" customHeight="1">
      <c r="A1950" s="125" t="str">
        <f>IF(B1950&lt;&gt;"",IF(AND(B1950&gt;=_TM1,B1950&lt;=_TM2,OR(TH!L1950="1111",TH!M1950="1111")),TH!D1950,""),"")</f>
        <v/>
      </c>
      <c r="B1950" s="11">
        <f t="shared" si="159"/>
        <v>10</v>
      </c>
      <c r="C1950" s="324">
        <f>E1950</f>
        <v>40840</v>
      </c>
      <c r="D1950" s="21" t="s">
        <v>913</v>
      </c>
      <c r="E1950" s="12">
        <v>40840</v>
      </c>
      <c r="F1950" s="116" t="s">
        <v>1195</v>
      </c>
      <c r="G1950" s="224" t="s">
        <v>1196</v>
      </c>
      <c r="H1950" s="117" t="s">
        <v>711</v>
      </c>
      <c r="I1950" s="141">
        <v>165</v>
      </c>
      <c r="J1950" s="141">
        <v>20534.356670693927</v>
      </c>
      <c r="K1950" s="238">
        <f>ROUND(I1950*J1950,0)</f>
        <v>3388169</v>
      </c>
      <c r="L1950" s="25" t="s">
        <v>161</v>
      </c>
      <c r="M1950" s="25" t="s">
        <v>155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/>
      </c>
      <c r="Z1950" s="121"/>
    </row>
    <row r="1951" spans="1:26" ht="15.75" customHeight="1">
      <c r="A1951" s="125" t="str">
        <f>IF(B1951&lt;&gt;"",IF(AND(B1951&gt;=_TM1,B1951&lt;=_TM2,OR(TH!L1951="1111",TH!M1951="1111")),TH!D1951,""),"")</f>
        <v/>
      </c>
      <c r="B1951" s="11">
        <f t="shared" si="159"/>
        <v>10</v>
      </c>
      <c r="C1951" s="324">
        <f>E1951</f>
        <v>40840</v>
      </c>
      <c r="D1951" s="21" t="s">
        <v>913</v>
      </c>
      <c r="E1951" s="12">
        <v>40840</v>
      </c>
      <c r="F1951" s="116" t="s">
        <v>1197</v>
      </c>
      <c r="G1951" s="224" t="s">
        <v>1196</v>
      </c>
      <c r="H1951" s="117" t="s">
        <v>711</v>
      </c>
      <c r="I1951" s="141">
        <v>571</v>
      </c>
      <c r="J1951" s="141">
        <v>14778.765628927755</v>
      </c>
      <c r="K1951" s="238">
        <f>ROUND(I1951*J1951,0)</f>
        <v>8438675</v>
      </c>
      <c r="L1951" s="25" t="s">
        <v>161</v>
      </c>
      <c r="M1951" s="25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/>
      </c>
      <c r="Z1951" s="121"/>
    </row>
    <row r="1952" spans="1:26" ht="15.75" customHeight="1">
      <c r="A1952" s="125" t="str">
        <f>IF(B1952&lt;&gt;"",IF(AND(B1952&gt;=_TM1,B1952&lt;=_TM2,OR(TH!L1952="1111",TH!M1952="1111")),TH!D1952,""),"")</f>
        <v/>
      </c>
      <c r="B1952" s="11">
        <f t="shared" si="159"/>
        <v>10</v>
      </c>
      <c r="C1952" s="110">
        <v>40841</v>
      </c>
      <c r="D1952" s="110" t="s">
        <v>310</v>
      </c>
      <c r="E1952" s="110">
        <v>40841</v>
      </c>
      <c r="F1952" s="114" t="s">
        <v>341</v>
      </c>
      <c r="G1952" s="240" t="s">
        <v>307</v>
      </c>
      <c r="H1952" s="4"/>
      <c r="I1952" s="141"/>
      <c r="J1952" s="141"/>
      <c r="K1952" s="238">
        <v>39804</v>
      </c>
      <c r="L1952" s="239" t="s">
        <v>23</v>
      </c>
      <c r="M1952" s="239" t="s">
        <v>37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/>
      </c>
      <c r="Z1952" s="121"/>
    </row>
    <row r="1953" spans="1:26" ht="15.75" customHeight="1">
      <c r="A1953" s="125" t="str">
        <f>IF(B1953&lt;&gt;"",IF(AND(B1953&gt;=_TM1,B1953&lt;=_TM2,OR(TH!L1953="1111",TH!M1953="1111")),TH!D1953,""),"")</f>
        <v/>
      </c>
      <c r="B1953" s="11">
        <f t="shared" si="159"/>
        <v>10</v>
      </c>
      <c r="C1953" s="110">
        <v>40842</v>
      </c>
      <c r="D1953" s="110" t="s">
        <v>310</v>
      </c>
      <c r="E1953" s="110">
        <v>40842</v>
      </c>
      <c r="F1953" s="114" t="s">
        <v>312</v>
      </c>
      <c r="G1953" s="240" t="s">
        <v>307</v>
      </c>
      <c r="H1953" s="4" t="s">
        <v>711</v>
      </c>
      <c r="I1953" s="141"/>
      <c r="J1953" s="141"/>
      <c r="K1953" s="238">
        <v>4900000</v>
      </c>
      <c r="L1953" s="239" t="s">
        <v>23</v>
      </c>
      <c r="M1953" s="239" t="s">
        <v>237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/>
      </c>
      <c r="Z1953" s="121"/>
    </row>
    <row r="1954" spans="1:26" ht="15.75" customHeight="1">
      <c r="A1954" s="125" t="str">
        <f>IF(B1954&lt;&gt;"",IF(AND(B1954&gt;=_TM1,B1954&lt;=_TM2,OR(TH!L1954="1111",TH!M1954="1111")),TH!D1954,""),"")</f>
        <v>C08</v>
      </c>
      <c r="B1954" s="11">
        <f t="shared" si="159"/>
        <v>10</v>
      </c>
      <c r="C1954" s="115">
        <v>40845</v>
      </c>
      <c r="D1954" s="115" t="s">
        <v>418</v>
      </c>
      <c r="E1954" s="115">
        <v>40845</v>
      </c>
      <c r="F1954" s="116" t="s">
        <v>1176</v>
      </c>
      <c r="G1954" s="224" t="s">
        <v>1177</v>
      </c>
      <c r="H1954" s="4" t="s">
        <v>348</v>
      </c>
      <c r="I1954" s="141"/>
      <c r="J1954" s="141"/>
      <c r="K1954" s="238">
        <v>2960000</v>
      </c>
      <c r="L1954" s="118" t="s">
        <v>153</v>
      </c>
      <c r="M1954" s="118" t="s">
        <v>44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/>
      </c>
      <c r="Z1954" s="121">
        <v>10</v>
      </c>
    </row>
    <row r="1955" spans="1:26" ht="15.75" customHeight="1">
      <c r="A1955" s="125" t="str">
        <f>IF(B1955&lt;&gt;"",IF(AND(B1955&gt;=_TM1,B1955&lt;=_TM2,OR(TH!L1955="1111",TH!M1955="1111")),TH!D1955,""),"")</f>
        <v>C08</v>
      </c>
      <c r="B1955" s="11">
        <f t="shared" si="159"/>
        <v>10</v>
      </c>
      <c r="C1955" s="115">
        <v>40845</v>
      </c>
      <c r="D1955" s="115" t="s">
        <v>418</v>
      </c>
      <c r="E1955" s="115">
        <v>40845</v>
      </c>
      <c r="F1955" s="116" t="s">
        <v>1110</v>
      </c>
      <c r="G1955" s="224" t="s">
        <v>1177</v>
      </c>
      <c r="H1955" s="4" t="s">
        <v>348</v>
      </c>
      <c r="I1955" s="141"/>
      <c r="J1955" s="141"/>
      <c r="K1955" s="13">
        <v>296000</v>
      </c>
      <c r="L1955" s="118" t="s">
        <v>9</v>
      </c>
      <c r="M1955" s="118" t="s">
        <v>44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/>
      </c>
      <c r="Z1955" s="121">
        <v>10</v>
      </c>
    </row>
    <row r="1956" spans="1:26" ht="15.75" customHeight="1">
      <c r="A1956" s="125" t="str">
        <f>IF(B1956&lt;&gt;"",IF(AND(B1956&gt;=_TM1,B1956&lt;=_TM2,OR(TH!L1956="1111",TH!M1956="1111")),TH!D1956,""),"")</f>
        <v/>
      </c>
      <c r="B1956" s="11">
        <f t="shared" si="159"/>
        <v>10</v>
      </c>
      <c r="C1956" s="288">
        <v>40847</v>
      </c>
      <c r="D1956" s="288" t="s">
        <v>314</v>
      </c>
      <c r="E1956" s="312">
        <v>40847</v>
      </c>
      <c r="F1956" s="289" t="s">
        <v>895</v>
      </c>
      <c r="G1956" s="290"/>
      <c r="H1956" s="242"/>
      <c r="I1956" s="220"/>
      <c r="J1956" s="220"/>
      <c r="K1956" s="291">
        <v>6700577</v>
      </c>
      <c r="L1956" s="292" t="s">
        <v>73</v>
      </c>
      <c r="M1956" s="292" t="s">
        <v>240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>x</v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/>
      </c>
      <c r="Z1956" s="121"/>
    </row>
    <row r="1957" spans="1:26" ht="15.75" customHeight="1">
      <c r="A1957" s="125" t="str">
        <f>IF(B1957&lt;&gt;"",IF(AND(B1957&gt;=_TM1,B1957&lt;=_TM2,OR(TH!L1957="1111",TH!M1957="1111")),TH!D1957,""),"")</f>
        <v/>
      </c>
      <c r="B1957" s="11">
        <f t="shared" si="159"/>
        <v>10</v>
      </c>
      <c r="C1957" s="288">
        <v>40847</v>
      </c>
      <c r="D1957" s="288" t="s">
        <v>314</v>
      </c>
      <c r="E1957" s="312">
        <v>40847</v>
      </c>
      <c r="F1957" s="289" t="s">
        <v>755</v>
      </c>
      <c r="G1957" s="290"/>
      <c r="H1957" s="242"/>
      <c r="I1957" s="220"/>
      <c r="J1957" s="220"/>
      <c r="K1957" s="238">
        <v>6028846</v>
      </c>
      <c r="L1957" s="292" t="s">
        <v>153</v>
      </c>
      <c r="M1957" s="292" t="s">
        <v>240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/>
      </c>
      <c r="Z1957" s="121"/>
    </row>
    <row r="1958" spans="1:26" ht="15.75" customHeight="1">
      <c r="A1958" s="125" t="str">
        <f>IF(B1958&lt;&gt;"",IF(AND(B1958&gt;=_TM1,B1958&lt;=_TM2,OR(TH!L1958="1111",TH!M1958="1111")),TH!D1958,""),"")</f>
        <v>C09</v>
      </c>
      <c r="B1958" s="11">
        <f t="shared" si="159"/>
        <v>10</v>
      </c>
      <c r="C1958" s="288">
        <v>40847</v>
      </c>
      <c r="D1958" s="288" t="s">
        <v>419</v>
      </c>
      <c r="E1958" s="312">
        <v>40847</v>
      </c>
      <c r="F1958" s="289" t="s">
        <v>1163</v>
      </c>
      <c r="G1958" s="290"/>
      <c r="H1958" s="242" t="s">
        <v>340</v>
      </c>
      <c r="I1958" s="220"/>
      <c r="J1958" s="220"/>
      <c r="K1958" s="291">
        <v>12729423</v>
      </c>
      <c r="L1958" s="292" t="s">
        <v>240</v>
      </c>
      <c r="M1958" s="292" t="s">
        <v>44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/>
      </c>
      <c r="Z1958" s="121"/>
    </row>
    <row r="1959" spans="1:26" ht="15.75" customHeight="1">
      <c r="A1959" s="125" t="str">
        <f>IF(B1959&lt;&gt;"",IF(AND(B1959&gt;=_TM1,B1959&lt;=_TM2,OR(TH!L1959="1111",TH!M1959="1111")),TH!D1959,""),"")</f>
        <v/>
      </c>
      <c r="B1959" s="11">
        <f t="shared" si="159"/>
        <v>10</v>
      </c>
      <c r="C1959" s="115">
        <v>40847</v>
      </c>
      <c r="D1959" s="110" t="s">
        <v>672</v>
      </c>
      <c r="E1959" s="115">
        <v>40847</v>
      </c>
      <c r="F1959" s="114" t="s">
        <v>365</v>
      </c>
      <c r="G1959" s="224" t="s">
        <v>1178</v>
      </c>
      <c r="H1959" s="4" t="s">
        <v>368</v>
      </c>
      <c r="I1959" s="141">
        <v>100</v>
      </c>
      <c r="J1959" s="141">
        <v>25000</v>
      </c>
      <c r="K1959" s="238">
        <v>2500000</v>
      </c>
      <c r="L1959" s="118" t="s">
        <v>149</v>
      </c>
      <c r="M1959" s="118" t="s">
        <v>8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>x</v>
      </c>
      <c r="Y1959" s="25" t="str">
        <f>IF(AND(B1959&lt;=NKC!$N$8,B1959&gt;=NKC!$M$8),"x","")</f>
        <v/>
      </c>
      <c r="Z1959" s="121">
        <v>10</v>
      </c>
    </row>
    <row r="1960" spans="1:26" ht="15.75" customHeight="1">
      <c r="A1960" s="125" t="str">
        <f>IF(B1960&lt;&gt;"",IF(AND(B1960&gt;=_TM1,B1960&lt;=_TM2,OR(TH!L1960="1111",TH!M1960="1111")),TH!D1960,""),"")</f>
        <v/>
      </c>
      <c r="B1960" s="11">
        <f t="shared" si="159"/>
        <v>10</v>
      </c>
      <c r="C1960" s="115">
        <v>40847</v>
      </c>
      <c r="D1960" s="110" t="s">
        <v>672</v>
      </c>
      <c r="E1960" s="115">
        <v>40847</v>
      </c>
      <c r="F1960" s="114" t="s">
        <v>366</v>
      </c>
      <c r="G1960" s="224" t="s">
        <v>1178</v>
      </c>
      <c r="H1960" s="4" t="s">
        <v>368</v>
      </c>
      <c r="I1960" s="141"/>
      <c r="J1960" s="141"/>
      <c r="K1960" s="13">
        <v>250000</v>
      </c>
      <c r="L1960" s="118" t="s">
        <v>9</v>
      </c>
      <c r="M1960" s="118" t="s">
        <v>8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/>
      </c>
      <c r="Z1960" s="121">
        <v>10</v>
      </c>
    </row>
    <row r="1961" spans="1:26" ht="15.75" customHeight="1">
      <c r="A1961" s="125" t="str">
        <f>IF(B1961&lt;&gt;"",IF(AND(B1961&gt;=_TM1,B1961&lt;=_TM2,OR(TH!L1961="1111",TH!M1961="1111")),TH!D1961,""),"")</f>
        <v>C10</v>
      </c>
      <c r="B1961" s="11">
        <f t="shared" si="159"/>
        <v>10</v>
      </c>
      <c r="C1961" s="115">
        <v>40847</v>
      </c>
      <c r="D1961" s="115" t="s">
        <v>634</v>
      </c>
      <c r="E1961" s="115">
        <v>40847</v>
      </c>
      <c r="F1961" s="116" t="s">
        <v>614</v>
      </c>
      <c r="G1961" s="224" t="s">
        <v>1178</v>
      </c>
      <c r="H1961" s="4" t="s">
        <v>368</v>
      </c>
      <c r="I1961" s="143"/>
      <c r="J1961" s="143"/>
      <c r="K1961" s="13">
        <v>2750000</v>
      </c>
      <c r="L1961" s="118" t="s">
        <v>8</v>
      </c>
      <c r="M1961" s="118" t="s">
        <v>44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/>
      </c>
      <c r="Z1961" s="121"/>
    </row>
    <row r="1962" spans="1:26" ht="15.75" customHeight="1">
      <c r="A1962" s="125" t="str">
        <f>IF(B1962&lt;&gt;"",IF(AND(B1962&gt;=_TM1,B1962&lt;=_TM2,OR(TH!L1962="1111",TH!M1962="1111")),TH!D1962,""),"")</f>
        <v/>
      </c>
      <c r="B1962" s="11">
        <f t="shared" si="159"/>
        <v>10</v>
      </c>
      <c r="C1962" s="115">
        <f>E1962</f>
        <v>40847</v>
      </c>
      <c r="D1962" s="12" t="s">
        <v>1198</v>
      </c>
      <c r="E1962" s="304">
        <v>40847</v>
      </c>
      <c r="F1962" s="217" t="s">
        <v>365</v>
      </c>
      <c r="G1962" s="15"/>
      <c r="H1962" s="242" t="s">
        <v>1037</v>
      </c>
      <c r="I1962" s="141">
        <v>50</v>
      </c>
      <c r="J1962" s="141">
        <v>25000</v>
      </c>
      <c r="K1962" s="330">
        <f>ROUND(I1962*J1962,0)</f>
        <v>1250000</v>
      </c>
      <c r="L1962" s="14" t="s">
        <v>153</v>
      </c>
      <c r="M1962" s="14" t="s">
        <v>149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>x</v>
      </c>
      <c r="Y1962" s="25" t="str">
        <f>IF(AND(B1962&lt;=NKC!$N$8,B1962&gt;=NKC!$M$8),"x","")</f>
        <v/>
      </c>
      <c r="Z1962" s="121"/>
    </row>
    <row r="1963" spans="1:26" ht="15.75" customHeight="1">
      <c r="A1963" s="125" t="str">
        <f>IF(B1963&lt;&gt;"",IF(AND(B1963&gt;=_TM1,B1963&lt;=_TM2,OR(TH!L1963="1111",TH!M1963="1111")),TH!D1963,""),"")</f>
        <v>C11</v>
      </c>
      <c r="B1963" s="11">
        <f t="shared" si="159"/>
        <v>11</v>
      </c>
      <c r="C1963" s="115">
        <v>40848</v>
      </c>
      <c r="D1963" s="115" t="s">
        <v>635</v>
      </c>
      <c r="E1963" s="115">
        <v>40848</v>
      </c>
      <c r="F1963" s="116" t="s">
        <v>1113</v>
      </c>
      <c r="G1963" s="224" t="s">
        <v>1218</v>
      </c>
      <c r="H1963" s="117" t="s">
        <v>1168</v>
      </c>
      <c r="I1963" s="141"/>
      <c r="J1963" s="141"/>
      <c r="K1963" s="13">
        <v>510000</v>
      </c>
      <c r="L1963" s="118" t="s">
        <v>239</v>
      </c>
      <c r="M1963" s="239" t="s">
        <v>44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/>
      </c>
      <c r="Z1963" s="121"/>
    </row>
    <row r="1964" spans="1:26" ht="15.75" customHeight="1">
      <c r="A1964" s="125" t="str">
        <f>IF(B1964&lt;&gt;"",IF(AND(B1964&gt;=_TM1,B1964&lt;=_TM2,OR(TH!L1964="1111",TH!M1964="1111")),TH!D1964,""),"")</f>
        <v/>
      </c>
      <c r="B1964" s="11">
        <f t="shared" si="159"/>
        <v>11</v>
      </c>
      <c r="C1964" s="115">
        <v>40848</v>
      </c>
      <c r="D1964" s="115" t="s">
        <v>914</v>
      </c>
      <c r="E1964" s="115">
        <v>40848</v>
      </c>
      <c r="F1964" s="116" t="s">
        <v>1151</v>
      </c>
      <c r="G1964" s="224" t="s">
        <v>1273</v>
      </c>
      <c r="H1964" s="131" t="s">
        <v>739</v>
      </c>
      <c r="I1964" s="141">
        <v>400</v>
      </c>
      <c r="J1964" s="141">
        <v>3100</v>
      </c>
      <c r="K1964" s="238">
        <v>1240000</v>
      </c>
      <c r="L1964" s="118" t="s">
        <v>237</v>
      </c>
      <c r="M1964" s="118" t="s">
        <v>163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/>
      </c>
      <c r="Z1964" s="121"/>
    </row>
    <row r="1965" spans="1:26" ht="15.75" customHeight="1">
      <c r="A1965" s="125" t="str">
        <f>IF(B1965&lt;&gt;"",IF(AND(B1965&gt;=_TM1,B1965&lt;=_TM2,OR(TH!L1965="1111",TH!M1965="1111")),TH!D1965,""),"")</f>
        <v/>
      </c>
      <c r="B1965" s="11">
        <f t="shared" si="159"/>
        <v>11</v>
      </c>
      <c r="C1965" s="115">
        <v>40848</v>
      </c>
      <c r="D1965" s="115" t="s">
        <v>914</v>
      </c>
      <c r="E1965" s="115">
        <v>40848</v>
      </c>
      <c r="F1965" s="116" t="s">
        <v>1121</v>
      </c>
      <c r="G1965" s="224" t="s">
        <v>1273</v>
      </c>
      <c r="H1965" s="131" t="s">
        <v>739</v>
      </c>
      <c r="I1965" s="141"/>
      <c r="J1965" s="141"/>
      <c r="K1965" s="238">
        <f>124000+1</f>
        <v>124001</v>
      </c>
      <c r="L1965" s="118" t="s">
        <v>237</v>
      </c>
      <c r="M1965" s="118" t="s">
        <v>707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/>
      </c>
      <c r="Z1965" s="121"/>
    </row>
    <row r="1966" spans="1:26" ht="15.75" customHeight="1">
      <c r="A1966" s="125" t="str">
        <f>IF(B1966&lt;&gt;"",IF(AND(B1966&gt;=_TM1,B1966&lt;=_TM2,OR(TH!L1966="1111",TH!M1966="1111")),TH!D1966,""),"")</f>
        <v>T02</v>
      </c>
      <c r="B1966" s="11">
        <f t="shared" si="159"/>
        <v>11</v>
      </c>
      <c r="C1966" s="115">
        <v>40848</v>
      </c>
      <c r="D1966" s="115" t="s">
        <v>410</v>
      </c>
      <c r="E1966" s="115">
        <v>40848</v>
      </c>
      <c r="F1966" s="116" t="s">
        <v>312</v>
      </c>
      <c r="G1966" s="224" t="s">
        <v>1273</v>
      </c>
      <c r="H1966" s="131" t="s">
        <v>739</v>
      </c>
      <c r="I1966" s="141"/>
      <c r="J1966" s="141"/>
      <c r="K1966" s="238">
        <v>1364001</v>
      </c>
      <c r="L1966" s="118" t="s">
        <v>44</v>
      </c>
      <c r="M1966" s="118" t="s">
        <v>237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/>
      </c>
      <c r="Z1966" s="121"/>
    </row>
    <row r="1967" spans="1:26" ht="15.75" customHeight="1">
      <c r="A1967" s="125" t="str">
        <f>IF(B1967&lt;&gt;"",IF(AND(B1967&gt;=_TM1,B1967&lt;=_TM2,OR(TH!L1967="1111",TH!M1967="1111")),TH!D1967,""),"")</f>
        <v/>
      </c>
      <c r="B1967" s="11">
        <f t="shared" si="159"/>
        <v>11</v>
      </c>
      <c r="C1967" s="115">
        <f t="shared" ref="C1967:C1976" si="160">E1967</f>
        <v>40848</v>
      </c>
      <c r="D1967" s="324" t="s">
        <v>1044</v>
      </c>
      <c r="E1967" s="304">
        <v>40848</v>
      </c>
      <c r="F1967" s="114" t="s">
        <v>556</v>
      </c>
      <c r="G1967" s="15"/>
      <c r="H1967" s="242" t="s">
        <v>1037</v>
      </c>
      <c r="I1967" s="141">
        <v>80</v>
      </c>
      <c r="J1967" s="141">
        <v>7543</v>
      </c>
      <c r="K1967" s="238">
        <f t="shared" ref="K1967:K1976" si="161">ROUND(I1967*J1967,0)</f>
        <v>603440</v>
      </c>
      <c r="L1967" s="25" t="s">
        <v>153</v>
      </c>
      <c r="M1967" s="25" t="s">
        <v>147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/>
      </c>
      <c r="Z1967" s="121"/>
    </row>
    <row r="1968" spans="1:26" ht="15.75" customHeight="1">
      <c r="A1968" s="125" t="str">
        <f>IF(B1968&lt;&gt;"",IF(AND(B1968&gt;=_TM1,B1968&lt;=_TM2,OR(TH!L1968="1111",TH!M1968="1111")),TH!D1968,""),"")</f>
        <v/>
      </c>
      <c r="B1968" s="11">
        <f t="shared" si="159"/>
        <v>11</v>
      </c>
      <c r="C1968" s="115">
        <f t="shared" si="160"/>
        <v>40848</v>
      </c>
      <c r="D1968" s="324" t="s">
        <v>1044</v>
      </c>
      <c r="E1968" s="304">
        <v>40848</v>
      </c>
      <c r="F1968" s="15" t="s">
        <v>626</v>
      </c>
      <c r="G1968" s="15"/>
      <c r="H1968" s="242" t="s">
        <v>1037</v>
      </c>
      <c r="I1968" s="141">
        <v>75</v>
      </c>
      <c r="J1968" s="141">
        <v>16502</v>
      </c>
      <c r="K1968" s="238">
        <f t="shared" si="161"/>
        <v>1237650</v>
      </c>
      <c r="L1968" s="25" t="s">
        <v>153</v>
      </c>
      <c r="M1968" s="25" t="s">
        <v>147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/>
      </c>
      <c r="Z1968" s="121"/>
    </row>
    <row r="1969" spans="1:26" ht="15.75" customHeight="1">
      <c r="A1969" s="125" t="str">
        <f>IF(B1969&lt;&gt;"",IF(AND(B1969&gt;=_TM1,B1969&lt;=_TM2,OR(TH!L1969="1111",TH!M1969="1111")),TH!D1969,""),"")</f>
        <v/>
      </c>
      <c r="B1969" s="11">
        <f t="shared" si="159"/>
        <v>11</v>
      </c>
      <c r="C1969" s="115">
        <f t="shared" si="160"/>
        <v>40848</v>
      </c>
      <c r="D1969" s="324" t="s">
        <v>1044</v>
      </c>
      <c r="E1969" s="304">
        <v>40848</v>
      </c>
      <c r="F1969" s="114" t="s">
        <v>484</v>
      </c>
      <c r="G1969" s="15"/>
      <c r="H1969" s="242" t="s">
        <v>1037</v>
      </c>
      <c r="I1969" s="141">
        <v>33</v>
      </c>
      <c r="J1969" s="141">
        <v>8620</v>
      </c>
      <c r="K1969" s="238">
        <f t="shared" si="161"/>
        <v>284460</v>
      </c>
      <c r="L1969" s="25" t="s">
        <v>153</v>
      </c>
      <c r="M1969" s="25" t="s">
        <v>147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/>
      </c>
      <c r="Z1969" s="121"/>
    </row>
    <row r="1970" spans="1:26" ht="15.75" customHeight="1">
      <c r="A1970" s="125" t="str">
        <f>IF(B1970&lt;&gt;"",IF(AND(B1970&gt;=_TM1,B1970&lt;=_TM2,OR(TH!L1970="1111",TH!M1970="1111")),TH!D1970,""),"")</f>
        <v/>
      </c>
      <c r="B1970" s="11">
        <f t="shared" si="159"/>
        <v>11</v>
      </c>
      <c r="C1970" s="115">
        <f t="shared" si="160"/>
        <v>40848</v>
      </c>
      <c r="D1970" s="324" t="s">
        <v>1044</v>
      </c>
      <c r="E1970" s="304">
        <v>40848</v>
      </c>
      <c r="F1970" s="114" t="s">
        <v>555</v>
      </c>
      <c r="G1970" s="15"/>
      <c r="H1970" s="242" t="s">
        <v>1037</v>
      </c>
      <c r="I1970" s="141">
        <v>22</v>
      </c>
      <c r="J1970" s="141">
        <v>10344</v>
      </c>
      <c r="K1970" s="238">
        <f t="shared" si="161"/>
        <v>227568</v>
      </c>
      <c r="L1970" s="25" t="s">
        <v>153</v>
      </c>
      <c r="M1970" s="25" t="s">
        <v>147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/>
      </c>
      <c r="Z1970" s="121"/>
    </row>
    <row r="1971" spans="1:26" ht="15.75" customHeight="1">
      <c r="A1971" s="125" t="str">
        <f>IF(B1971&lt;&gt;"",IF(AND(B1971&gt;=_TM1,B1971&lt;=_TM2,OR(TH!L1971="1111",TH!M1971="1111")),TH!D1971,""),"")</f>
        <v/>
      </c>
      <c r="B1971" s="11">
        <f t="shared" si="159"/>
        <v>11</v>
      </c>
      <c r="C1971" s="115">
        <f t="shared" si="160"/>
        <v>40848</v>
      </c>
      <c r="D1971" s="324" t="s">
        <v>1044</v>
      </c>
      <c r="E1971" s="304">
        <v>40848</v>
      </c>
      <c r="F1971" s="114" t="s">
        <v>484</v>
      </c>
      <c r="G1971" s="15"/>
      <c r="H1971" s="242" t="s">
        <v>1037</v>
      </c>
      <c r="I1971" s="141">
        <v>44</v>
      </c>
      <c r="J1971" s="141">
        <v>8620</v>
      </c>
      <c r="K1971" s="238">
        <f t="shared" si="161"/>
        <v>379280</v>
      </c>
      <c r="L1971" s="25" t="s">
        <v>153</v>
      </c>
      <c r="M1971" s="25" t="s">
        <v>147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/>
      </c>
      <c r="Z1971" s="121"/>
    </row>
    <row r="1972" spans="1:26" ht="15.75" customHeight="1">
      <c r="A1972" s="125" t="str">
        <f>IF(B1972&lt;&gt;"",IF(AND(B1972&gt;=_TM1,B1972&lt;=_TM2,OR(TH!L1972="1111",TH!M1972="1111")),TH!D1972,""),"")</f>
        <v/>
      </c>
      <c r="B1972" s="11">
        <f t="shared" si="159"/>
        <v>11</v>
      </c>
      <c r="C1972" s="115">
        <f t="shared" si="160"/>
        <v>40848</v>
      </c>
      <c r="D1972" s="324" t="s">
        <v>1044</v>
      </c>
      <c r="E1972" s="304">
        <v>40848</v>
      </c>
      <c r="F1972" s="15" t="s">
        <v>619</v>
      </c>
      <c r="G1972" s="15"/>
      <c r="H1972" s="242" t="s">
        <v>1037</v>
      </c>
      <c r="I1972" s="141">
        <v>15.5</v>
      </c>
      <c r="J1972" s="141">
        <v>20278</v>
      </c>
      <c r="K1972" s="238">
        <f t="shared" si="161"/>
        <v>314309</v>
      </c>
      <c r="L1972" s="25" t="s">
        <v>153</v>
      </c>
      <c r="M1972" s="25" t="s">
        <v>147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/>
      </c>
      <c r="Z1972" s="121"/>
    </row>
    <row r="1973" spans="1:26" ht="15.75" customHeight="1">
      <c r="A1973" s="125" t="str">
        <f>IF(B1973&lt;&gt;"",IF(AND(B1973&gt;=_TM1,B1973&lt;=_TM2,OR(TH!L1973="1111",TH!M1973="1111")),TH!D1973,""),"")</f>
        <v/>
      </c>
      <c r="B1973" s="11">
        <f t="shared" si="159"/>
        <v>11</v>
      </c>
      <c r="C1973" s="115">
        <f t="shared" si="160"/>
        <v>40848</v>
      </c>
      <c r="D1973" s="324" t="s">
        <v>1044</v>
      </c>
      <c r="E1973" s="304">
        <v>40848</v>
      </c>
      <c r="F1973" s="15" t="s">
        <v>628</v>
      </c>
      <c r="G1973" s="15"/>
      <c r="H1973" s="242" t="s">
        <v>1037</v>
      </c>
      <c r="I1973" s="141">
        <v>32</v>
      </c>
      <c r="J1973" s="141">
        <v>14105</v>
      </c>
      <c r="K1973" s="238">
        <f t="shared" si="161"/>
        <v>451360</v>
      </c>
      <c r="L1973" s="25" t="s">
        <v>153</v>
      </c>
      <c r="M1973" s="25" t="s">
        <v>147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/>
      </c>
      <c r="Z1973" s="121"/>
    </row>
    <row r="1974" spans="1:26" ht="15.75" customHeight="1">
      <c r="A1974" s="125" t="str">
        <f>IF(B1974&lt;&gt;"",IF(AND(B1974&gt;=_TM1,B1974&lt;=_TM2,OR(TH!L1974="1111",TH!M1974="1111")),TH!D1974,""),"")</f>
        <v/>
      </c>
      <c r="B1974" s="11">
        <f t="shared" si="159"/>
        <v>11</v>
      </c>
      <c r="C1974" s="115">
        <f t="shared" si="160"/>
        <v>40848</v>
      </c>
      <c r="D1974" s="324" t="s">
        <v>1044</v>
      </c>
      <c r="E1974" s="304">
        <v>40848</v>
      </c>
      <c r="F1974" s="114" t="s">
        <v>530</v>
      </c>
      <c r="G1974" s="15"/>
      <c r="H1974" s="242" t="s">
        <v>1037</v>
      </c>
      <c r="I1974" s="141">
        <v>1</v>
      </c>
      <c r="J1974" s="141">
        <v>17368</v>
      </c>
      <c r="K1974" s="238">
        <f t="shared" si="161"/>
        <v>17368</v>
      </c>
      <c r="L1974" s="25" t="s">
        <v>153</v>
      </c>
      <c r="M1974" s="25" t="s">
        <v>147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/>
      </c>
      <c r="Z1974" s="121"/>
    </row>
    <row r="1975" spans="1:26" ht="15.75" customHeight="1">
      <c r="A1975" s="125" t="str">
        <f>IF(B1975&lt;&gt;"",IF(AND(B1975&gt;=_TM1,B1975&lt;=_TM2,OR(TH!L1975="1111",TH!M1975="1111")),TH!D1975,""),"")</f>
        <v/>
      </c>
      <c r="B1975" s="281">
        <f t="shared" si="159"/>
        <v>11</v>
      </c>
      <c r="C1975" s="324">
        <f t="shared" si="160"/>
        <v>40848</v>
      </c>
      <c r="D1975" s="21" t="s">
        <v>1067</v>
      </c>
      <c r="E1975" s="354">
        <v>40848</v>
      </c>
      <c r="F1975" s="22" t="s">
        <v>1151</v>
      </c>
      <c r="G1975" s="22"/>
      <c r="H1975" s="332" t="s">
        <v>1037</v>
      </c>
      <c r="I1975" s="139">
        <v>400</v>
      </c>
      <c r="J1975" s="139">
        <v>2807.1056858454431</v>
      </c>
      <c r="K1975" s="285">
        <f t="shared" si="161"/>
        <v>1122842</v>
      </c>
      <c r="L1975" s="25" t="s">
        <v>155</v>
      </c>
      <c r="M1975" s="25" t="s">
        <v>153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/>
      </c>
      <c r="Z1975" s="308"/>
    </row>
    <row r="1976" spans="1:26" ht="15.75" customHeight="1">
      <c r="A1976" s="125" t="str">
        <f>IF(B1976&lt;&gt;"",IF(AND(B1976&gt;=_TM1,B1976&lt;=_TM2,OR(TH!L1976="1111",TH!M1976="1111")),TH!D1976,""),"")</f>
        <v/>
      </c>
      <c r="B1976" s="11">
        <f t="shared" si="159"/>
        <v>11</v>
      </c>
      <c r="C1976" s="115">
        <f t="shared" si="160"/>
        <v>40848</v>
      </c>
      <c r="D1976" s="12" t="s">
        <v>914</v>
      </c>
      <c r="E1976" s="304">
        <v>40848</v>
      </c>
      <c r="F1976" s="116" t="s">
        <v>1151</v>
      </c>
      <c r="G1976" s="224" t="s">
        <v>1273</v>
      </c>
      <c r="H1976" s="131" t="s">
        <v>739</v>
      </c>
      <c r="I1976" s="141">
        <v>400</v>
      </c>
      <c r="J1976" s="141">
        <v>2807.1056858454431</v>
      </c>
      <c r="K1976" s="330">
        <f t="shared" si="161"/>
        <v>1122842</v>
      </c>
      <c r="L1976" s="319" t="s">
        <v>161</v>
      </c>
      <c r="M1976" s="319" t="s">
        <v>155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/>
      </c>
      <c r="Z1976" s="121"/>
    </row>
    <row r="1977" spans="1:26" ht="15.75" customHeight="1">
      <c r="A1977" s="125" t="str">
        <f>IF(B1977&lt;&gt;"",IF(AND(B1977&gt;=_TM1,B1977&lt;=_TM2,OR(TH!L1977="1111",TH!M1977="1111")),TH!D1977,""),"")</f>
        <v>C12</v>
      </c>
      <c r="B1977" s="11">
        <f t="shared" si="159"/>
        <v>11</v>
      </c>
      <c r="C1977" s="115">
        <v>40850</v>
      </c>
      <c r="D1977" s="115" t="s">
        <v>636</v>
      </c>
      <c r="E1977" s="115">
        <v>40850</v>
      </c>
      <c r="F1977" s="116" t="s">
        <v>445</v>
      </c>
      <c r="G1977" s="221" t="s">
        <v>1219</v>
      </c>
      <c r="H1977" s="20" t="s">
        <v>447</v>
      </c>
      <c r="I1977" s="143"/>
      <c r="J1977" s="141"/>
      <c r="K1977" s="13">
        <v>803075</v>
      </c>
      <c r="L1977" s="118" t="s">
        <v>73</v>
      </c>
      <c r="M1977" s="239" t="s">
        <v>44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>x</v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/>
      </c>
      <c r="Z1977" s="121">
        <v>11</v>
      </c>
    </row>
    <row r="1978" spans="1:26" ht="15.75" customHeight="1">
      <c r="A1978" s="125" t="str">
        <f>IF(B1978&lt;&gt;"",IF(AND(B1978&gt;=_TM1,B1978&lt;=_TM2,OR(TH!L1978="1111",TH!M1978="1111")),TH!D1978,""),"")</f>
        <v>C12</v>
      </c>
      <c r="B1978" s="11">
        <f t="shared" si="159"/>
        <v>11</v>
      </c>
      <c r="C1978" s="115">
        <v>40850</v>
      </c>
      <c r="D1978" s="115" t="s">
        <v>636</v>
      </c>
      <c r="E1978" s="115">
        <v>40850</v>
      </c>
      <c r="F1978" s="116" t="s">
        <v>448</v>
      </c>
      <c r="G1978" s="221" t="s">
        <v>1219</v>
      </c>
      <c r="H1978" s="20" t="s">
        <v>447</v>
      </c>
      <c r="I1978" s="143"/>
      <c r="J1978" s="141"/>
      <c r="K1978" s="13">
        <v>80308</v>
      </c>
      <c r="L1978" s="118" t="s">
        <v>9</v>
      </c>
      <c r="M1978" s="239" t="s">
        <v>44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/>
      </c>
      <c r="Z1978" s="121">
        <v>11</v>
      </c>
    </row>
    <row r="1979" spans="1:26" ht="15.75" customHeight="1">
      <c r="A1979" s="125" t="str">
        <f>IF(B1979&lt;&gt;"",IF(AND(B1979&gt;=_TM1,B1979&lt;=_TM2,OR(TH!L1979="1111",TH!M1979="1111")),TH!D1979,""),"")</f>
        <v/>
      </c>
      <c r="B1979" s="11">
        <f t="shared" si="159"/>
        <v>11</v>
      </c>
      <c r="C1979" s="115">
        <f t="shared" ref="C1979:C1996" si="162">E1979</f>
        <v>40852</v>
      </c>
      <c r="D1979" s="324" t="s">
        <v>1045</v>
      </c>
      <c r="E1979" s="304">
        <v>40852</v>
      </c>
      <c r="F1979" s="114" t="s">
        <v>378</v>
      </c>
      <c r="G1979" s="15"/>
      <c r="H1979" s="242" t="s">
        <v>1037</v>
      </c>
      <c r="I1979" s="141">
        <v>10</v>
      </c>
      <c r="J1979" s="141">
        <v>36792</v>
      </c>
      <c r="K1979" s="238">
        <f t="shared" ref="K1979:K1996" si="163">ROUND(I1979*J1979,0)</f>
        <v>367920</v>
      </c>
      <c r="L1979" s="25" t="s">
        <v>153</v>
      </c>
      <c r="M1979" s="25" t="s">
        <v>147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/>
      </c>
      <c r="Z1979" s="121"/>
    </row>
    <row r="1980" spans="1:26" ht="15.75" customHeight="1">
      <c r="A1980" s="125" t="str">
        <f>IF(B1980&lt;&gt;"",IF(AND(B1980&gt;=_TM1,B1980&lt;=_TM2,OR(TH!L1980="1111",TH!M1980="1111")),TH!D1980,""),"")</f>
        <v/>
      </c>
      <c r="B1980" s="11">
        <f t="shared" si="159"/>
        <v>11</v>
      </c>
      <c r="C1980" s="115">
        <f t="shared" si="162"/>
        <v>40852</v>
      </c>
      <c r="D1980" s="324" t="s">
        <v>1045</v>
      </c>
      <c r="E1980" s="304">
        <v>40852</v>
      </c>
      <c r="F1980" s="114" t="s">
        <v>478</v>
      </c>
      <c r="G1980" s="15"/>
      <c r="H1980" s="242" t="s">
        <v>1037</v>
      </c>
      <c r="I1980" s="141">
        <v>5.5</v>
      </c>
      <c r="J1980" s="141">
        <v>13498</v>
      </c>
      <c r="K1980" s="238">
        <f t="shared" si="163"/>
        <v>74239</v>
      </c>
      <c r="L1980" s="25" t="s">
        <v>153</v>
      </c>
      <c r="M1980" s="25" t="s">
        <v>147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/>
      </c>
      <c r="Z1980" s="121"/>
    </row>
    <row r="1981" spans="1:26" ht="15.75" customHeight="1">
      <c r="A1981" s="125" t="str">
        <f>IF(B1981&lt;&gt;"",IF(AND(B1981&gt;=_TM1,B1981&lt;=_TM2,OR(TH!L1981="1111",TH!M1981="1111")),TH!D1981,""),"")</f>
        <v/>
      </c>
      <c r="B1981" s="11">
        <f t="shared" si="159"/>
        <v>11</v>
      </c>
      <c r="C1981" s="115">
        <f t="shared" si="162"/>
        <v>40852</v>
      </c>
      <c r="D1981" s="324" t="s">
        <v>1045</v>
      </c>
      <c r="E1981" s="304">
        <v>40852</v>
      </c>
      <c r="F1981" s="15" t="s">
        <v>626</v>
      </c>
      <c r="G1981" s="15"/>
      <c r="H1981" s="242" t="s">
        <v>1037</v>
      </c>
      <c r="I1981" s="141">
        <v>143</v>
      </c>
      <c r="J1981" s="141">
        <v>16502</v>
      </c>
      <c r="K1981" s="238">
        <f t="shared" si="163"/>
        <v>2359786</v>
      </c>
      <c r="L1981" s="25" t="s">
        <v>153</v>
      </c>
      <c r="M1981" s="25" t="s">
        <v>147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/>
      </c>
      <c r="Z1981" s="121"/>
    </row>
    <row r="1982" spans="1:26" ht="15.75" customHeight="1">
      <c r="A1982" s="125" t="str">
        <f>IF(B1982&lt;&gt;"",IF(AND(B1982&gt;=_TM1,B1982&lt;=_TM2,OR(TH!L1982="1111",TH!M1982="1111")),TH!D1982,""),"")</f>
        <v/>
      </c>
      <c r="B1982" s="11">
        <f t="shared" si="159"/>
        <v>11</v>
      </c>
      <c r="C1982" s="115">
        <f t="shared" si="162"/>
        <v>40852</v>
      </c>
      <c r="D1982" s="324" t="s">
        <v>1045</v>
      </c>
      <c r="E1982" s="304">
        <v>40852</v>
      </c>
      <c r="F1982" s="15" t="s">
        <v>588</v>
      </c>
      <c r="G1982" s="15"/>
      <c r="H1982" s="242" t="s">
        <v>1037</v>
      </c>
      <c r="I1982" s="141">
        <v>1.5</v>
      </c>
      <c r="J1982" s="141">
        <v>18396</v>
      </c>
      <c r="K1982" s="238">
        <f t="shared" si="163"/>
        <v>27594</v>
      </c>
      <c r="L1982" s="25" t="s">
        <v>153</v>
      </c>
      <c r="M1982" s="25" t="s">
        <v>147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/>
      </c>
      <c r="Z1982" s="121"/>
    </row>
    <row r="1983" spans="1:26" ht="15.75" customHeight="1">
      <c r="A1983" s="125" t="str">
        <f>IF(B1983&lt;&gt;"",IF(AND(B1983&gt;=_TM1,B1983&lt;=_TM2,OR(TH!L1983="1111",TH!M1983="1111")),TH!D1983,""),"")</f>
        <v/>
      </c>
      <c r="B1983" s="11">
        <f t="shared" si="159"/>
        <v>11</v>
      </c>
      <c r="C1983" s="115">
        <f t="shared" si="162"/>
        <v>40852</v>
      </c>
      <c r="D1983" s="324" t="s">
        <v>1045</v>
      </c>
      <c r="E1983" s="304">
        <v>40852</v>
      </c>
      <c r="F1983" s="217" t="s">
        <v>620</v>
      </c>
      <c r="G1983" s="15"/>
      <c r="H1983" s="242" t="s">
        <v>1037</v>
      </c>
      <c r="I1983" s="141">
        <v>19</v>
      </c>
      <c r="J1983" s="141">
        <v>25631</v>
      </c>
      <c r="K1983" s="238">
        <f t="shared" si="163"/>
        <v>486989</v>
      </c>
      <c r="L1983" s="25" t="s">
        <v>153</v>
      </c>
      <c r="M1983" s="25" t="s">
        <v>147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/>
      </c>
      <c r="Z1983" s="121"/>
    </row>
    <row r="1984" spans="1:26" ht="15.75" customHeight="1">
      <c r="A1984" s="125" t="str">
        <f>IF(B1984&lt;&gt;"",IF(AND(B1984&gt;=_TM1,B1984&lt;=_TM2,OR(TH!L1984="1111",TH!M1984="1111")),TH!D1984,""),"")</f>
        <v/>
      </c>
      <c r="B1984" s="11">
        <f t="shared" si="159"/>
        <v>11</v>
      </c>
      <c r="C1984" s="115">
        <f t="shared" si="162"/>
        <v>40852</v>
      </c>
      <c r="D1984" s="324" t="s">
        <v>1045</v>
      </c>
      <c r="E1984" s="304">
        <v>40852</v>
      </c>
      <c r="F1984" s="114" t="s">
        <v>526</v>
      </c>
      <c r="G1984" s="15"/>
      <c r="H1984" s="242" t="s">
        <v>1037</v>
      </c>
      <c r="I1984" s="141">
        <v>35</v>
      </c>
      <c r="J1984" s="141">
        <v>13954</v>
      </c>
      <c r="K1984" s="238">
        <f t="shared" si="163"/>
        <v>488390</v>
      </c>
      <c r="L1984" s="25" t="s">
        <v>153</v>
      </c>
      <c r="M1984" s="25" t="s">
        <v>147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/>
      </c>
      <c r="Z1984" s="121"/>
    </row>
    <row r="1985" spans="1:26" ht="15.75" customHeight="1">
      <c r="A1985" s="125" t="str">
        <f>IF(B1985&lt;&gt;"",IF(AND(B1985&gt;=_TM1,B1985&lt;=_TM2,OR(TH!L1985="1111",TH!M1985="1111")),TH!D1985,""),"")</f>
        <v/>
      </c>
      <c r="B1985" s="11">
        <f t="shared" si="159"/>
        <v>11</v>
      </c>
      <c r="C1985" s="115">
        <f t="shared" si="162"/>
        <v>40852</v>
      </c>
      <c r="D1985" s="324" t="s">
        <v>1045</v>
      </c>
      <c r="E1985" s="304">
        <v>40852</v>
      </c>
      <c r="F1985" s="15" t="s">
        <v>620</v>
      </c>
      <c r="G1985" s="15"/>
      <c r="H1985" s="242" t="s">
        <v>1037</v>
      </c>
      <c r="I1985" s="141">
        <v>22</v>
      </c>
      <c r="J1985" s="141">
        <v>25631</v>
      </c>
      <c r="K1985" s="238">
        <f t="shared" si="163"/>
        <v>563882</v>
      </c>
      <c r="L1985" s="25" t="s">
        <v>153</v>
      </c>
      <c r="M1985" s="25" t="s">
        <v>147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/>
      </c>
      <c r="Z1985" s="121"/>
    </row>
    <row r="1986" spans="1:26" ht="15.75" customHeight="1">
      <c r="A1986" s="125" t="str">
        <f>IF(B1986&lt;&gt;"",IF(AND(B1986&gt;=_TM1,B1986&lt;=_TM2,OR(TH!L1986="1111",TH!M1986="1111")),TH!D1986,""),"")</f>
        <v/>
      </c>
      <c r="B1986" s="11">
        <f t="shared" si="159"/>
        <v>11</v>
      </c>
      <c r="C1986" s="115">
        <f t="shared" si="162"/>
        <v>40852</v>
      </c>
      <c r="D1986" s="324" t="s">
        <v>1045</v>
      </c>
      <c r="E1986" s="304">
        <v>40852</v>
      </c>
      <c r="F1986" s="114" t="s">
        <v>496</v>
      </c>
      <c r="G1986" s="15"/>
      <c r="H1986" s="242" t="s">
        <v>1037</v>
      </c>
      <c r="I1986" s="141">
        <v>16</v>
      </c>
      <c r="J1986" s="141">
        <v>10603</v>
      </c>
      <c r="K1986" s="238">
        <f t="shared" si="163"/>
        <v>169648</v>
      </c>
      <c r="L1986" s="25" t="s">
        <v>153</v>
      </c>
      <c r="M1986" s="25" t="s">
        <v>147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/>
      </c>
      <c r="Z1986" s="121"/>
    </row>
    <row r="1987" spans="1:26" ht="15.75" customHeight="1">
      <c r="A1987" s="125" t="str">
        <f>IF(B1987&lt;&gt;"",IF(AND(B1987&gt;=_TM1,B1987&lt;=_TM2,OR(TH!L1987="1111",TH!M1987="1111")),TH!D1987,""),"")</f>
        <v/>
      </c>
      <c r="B1987" s="11">
        <f t="shared" si="159"/>
        <v>11</v>
      </c>
      <c r="C1987" s="115">
        <f t="shared" si="162"/>
        <v>40852</v>
      </c>
      <c r="D1987" s="324" t="s">
        <v>1045</v>
      </c>
      <c r="E1987" s="304">
        <v>40852</v>
      </c>
      <c r="F1987" s="15" t="s">
        <v>601</v>
      </c>
      <c r="G1987" s="15"/>
      <c r="H1987" s="242" t="s">
        <v>1037</v>
      </c>
      <c r="I1987" s="141">
        <v>1</v>
      </c>
      <c r="J1987" s="141">
        <v>23688</v>
      </c>
      <c r="K1987" s="238">
        <f t="shared" si="163"/>
        <v>23688</v>
      </c>
      <c r="L1987" s="25" t="s">
        <v>153</v>
      </c>
      <c r="M1987" s="25" t="s">
        <v>147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/>
      </c>
      <c r="Z1987" s="121"/>
    </row>
    <row r="1988" spans="1:26" ht="15.75" customHeight="1">
      <c r="A1988" s="125" t="str">
        <f>IF(B1988&lt;&gt;"",IF(AND(B1988&gt;=_TM1,B1988&lt;=_TM2,OR(TH!L1988="1111",TH!M1988="1111")),TH!D1988,""),"")</f>
        <v/>
      </c>
      <c r="B1988" s="11">
        <f t="shared" si="159"/>
        <v>11</v>
      </c>
      <c r="C1988" s="115">
        <f t="shared" si="162"/>
        <v>40853</v>
      </c>
      <c r="D1988" s="324" t="s">
        <v>1046</v>
      </c>
      <c r="E1988" s="304">
        <v>40853</v>
      </c>
      <c r="F1988" s="15" t="s">
        <v>604</v>
      </c>
      <c r="G1988" s="15"/>
      <c r="H1988" s="242" t="s">
        <v>1037</v>
      </c>
      <c r="I1988" s="141">
        <v>10</v>
      </c>
      <c r="J1988" s="141">
        <v>16703</v>
      </c>
      <c r="K1988" s="238">
        <f t="shared" si="163"/>
        <v>167030</v>
      </c>
      <c r="L1988" s="25" t="s">
        <v>153</v>
      </c>
      <c r="M1988" s="25" t="s">
        <v>147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/>
      </c>
      <c r="Z1988" s="121"/>
    </row>
    <row r="1989" spans="1:26" ht="15.75" customHeight="1">
      <c r="A1989" s="125" t="str">
        <f>IF(B1989&lt;&gt;"",IF(AND(B1989&gt;=_TM1,B1989&lt;=_TM2,OR(TH!L1989="1111",TH!M1989="1111")),TH!D1989,""),"")</f>
        <v/>
      </c>
      <c r="B1989" s="11">
        <f t="shared" si="159"/>
        <v>11</v>
      </c>
      <c r="C1989" s="115">
        <f t="shared" si="162"/>
        <v>40853</v>
      </c>
      <c r="D1989" s="324" t="s">
        <v>1046</v>
      </c>
      <c r="E1989" s="304">
        <v>40853</v>
      </c>
      <c r="F1989" s="114" t="s">
        <v>530</v>
      </c>
      <c r="G1989" s="15"/>
      <c r="H1989" s="242" t="s">
        <v>1037</v>
      </c>
      <c r="I1989" s="141">
        <v>94</v>
      </c>
      <c r="J1989" s="141">
        <v>17368</v>
      </c>
      <c r="K1989" s="238">
        <f t="shared" si="163"/>
        <v>1632592</v>
      </c>
      <c r="L1989" s="25" t="s">
        <v>153</v>
      </c>
      <c r="M1989" s="25" t="s">
        <v>147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/>
      </c>
      <c r="Z1989" s="121"/>
    </row>
    <row r="1990" spans="1:26" ht="15.75" customHeight="1">
      <c r="A1990" s="125" t="str">
        <f>IF(B1990&lt;&gt;"",IF(AND(B1990&gt;=_TM1,B1990&lt;=_TM2,OR(TH!L1990="1111",TH!M1990="1111")),TH!D1990,""),"")</f>
        <v/>
      </c>
      <c r="B1990" s="11">
        <f t="shared" si="159"/>
        <v>11</v>
      </c>
      <c r="C1990" s="115">
        <f t="shared" si="162"/>
        <v>40853</v>
      </c>
      <c r="D1990" s="324" t="s">
        <v>1046</v>
      </c>
      <c r="E1990" s="304">
        <v>40853</v>
      </c>
      <c r="F1990" s="15" t="s">
        <v>619</v>
      </c>
      <c r="G1990" s="15"/>
      <c r="H1990" s="242" t="s">
        <v>1037</v>
      </c>
      <c r="I1990" s="141">
        <v>58</v>
      </c>
      <c r="J1990" s="141">
        <v>20278</v>
      </c>
      <c r="K1990" s="238">
        <f t="shared" si="163"/>
        <v>1176124</v>
      </c>
      <c r="L1990" s="25" t="s">
        <v>153</v>
      </c>
      <c r="M1990" s="25" t="s">
        <v>147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/>
      </c>
      <c r="Z1990" s="121"/>
    </row>
    <row r="1991" spans="1:26" ht="15.75" customHeight="1">
      <c r="A1991" s="125" t="str">
        <f>IF(B1991&lt;&gt;"",IF(AND(B1991&gt;=_TM1,B1991&lt;=_TM2,OR(TH!L1991="1111",TH!M1991="1111")),TH!D1991,""),"")</f>
        <v/>
      </c>
      <c r="B1991" s="11">
        <f t="shared" si="159"/>
        <v>11</v>
      </c>
      <c r="C1991" s="115">
        <f t="shared" si="162"/>
        <v>40853</v>
      </c>
      <c r="D1991" s="324" t="s">
        <v>1046</v>
      </c>
      <c r="E1991" s="304">
        <v>40853</v>
      </c>
      <c r="F1991" s="114" t="s">
        <v>484</v>
      </c>
      <c r="G1991" s="15"/>
      <c r="H1991" s="242" t="s">
        <v>1037</v>
      </c>
      <c r="I1991" s="141">
        <v>4</v>
      </c>
      <c r="J1991" s="141">
        <v>8620</v>
      </c>
      <c r="K1991" s="238">
        <f t="shared" si="163"/>
        <v>34480</v>
      </c>
      <c r="L1991" s="25" t="s">
        <v>153</v>
      </c>
      <c r="M1991" s="25" t="s">
        <v>147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/>
      </c>
      <c r="Z1991" s="121"/>
    </row>
    <row r="1992" spans="1:26" ht="15.75" customHeight="1">
      <c r="A1992" s="125" t="str">
        <f>IF(B1992&lt;&gt;"",IF(AND(B1992&gt;=_TM1,B1992&lt;=_TM2,OR(TH!L1992="1111",TH!M1992="1111")),TH!D1992,""),"")</f>
        <v/>
      </c>
      <c r="B1992" s="11">
        <f t="shared" si="159"/>
        <v>11</v>
      </c>
      <c r="C1992" s="115">
        <f t="shared" si="162"/>
        <v>40853</v>
      </c>
      <c r="D1992" s="324" t="s">
        <v>1046</v>
      </c>
      <c r="E1992" s="304">
        <v>40853</v>
      </c>
      <c r="F1992" s="114" t="s">
        <v>484</v>
      </c>
      <c r="G1992" s="15"/>
      <c r="H1992" s="242" t="s">
        <v>1037</v>
      </c>
      <c r="I1992" s="141">
        <v>1</v>
      </c>
      <c r="J1992" s="141">
        <v>8620</v>
      </c>
      <c r="K1992" s="238">
        <f t="shared" si="163"/>
        <v>8620</v>
      </c>
      <c r="L1992" s="25" t="s">
        <v>153</v>
      </c>
      <c r="M1992" s="25" t="s">
        <v>147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/>
      </c>
      <c r="Z1992" s="121"/>
    </row>
    <row r="1993" spans="1:26" ht="15.75" customHeight="1">
      <c r="A1993" s="125" t="str">
        <f>IF(B1993&lt;&gt;"",IF(AND(B1993&gt;=_TM1,B1993&lt;=_TM2,OR(TH!L1993="1111",TH!M1993="1111")),TH!D1993,""),"")</f>
        <v/>
      </c>
      <c r="B1993" s="11">
        <f t="shared" si="159"/>
        <v>11</v>
      </c>
      <c r="C1993" s="115">
        <f t="shared" si="162"/>
        <v>40853</v>
      </c>
      <c r="D1993" s="324" t="s">
        <v>1046</v>
      </c>
      <c r="E1993" s="304">
        <v>40853</v>
      </c>
      <c r="F1993" s="114" t="s">
        <v>615</v>
      </c>
      <c r="G1993" s="15"/>
      <c r="H1993" s="242" t="s">
        <v>1037</v>
      </c>
      <c r="I1993" s="141">
        <v>2.5</v>
      </c>
      <c r="J1993" s="141">
        <v>24595</v>
      </c>
      <c r="K1993" s="238">
        <f t="shared" si="163"/>
        <v>61488</v>
      </c>
      <c r="L1993" s="25" t="s">
        <v>153</v>
      </c>
      <c r="M1993" s="25" t="s">
        <v>147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/>
      </c>
      <c r="Z1993" s="121"/>
    </row>
    <row r="1994" spans="1:26" ht="15.75" customHeight="1">
      <c r="A1994" s="125" t="str">
        <f>IF(B1994&lt;&gt;"",IF(AND(B1994&gt;=_TM1,B1994&lt;=_TM2,OR(TH!L1994="1111",TH!M1994="1111")),TH!D1994,""),"")</f>
        <v/>
      </c>
      <c r="B1994" s="11">
        <f t="shared" si="159"/>
        <v>11</v>
      </c>
      <c r="C1994" s="115">
        <f t="shared" si="162"/>
        <v>40853</v>
      </c>
      <c r="D1994" s="324" t="s">
        <v>1046</v>
      </c>
      <c r="E1994" s="304">
        <v>40853</v>
      </c>
      <c r="F1994" s="15" t="s">
        <v>619</v>
      </c>
      <c r="G1994" s="15"/>
      <c r="H1994" s="242" t="s">
        <v>1037</v>
      </c>
      <c r="I1994" s="141">
        <v>40</v>
      </c>
      <c r="J1994" s="141">
        <v>20278</v>
      </c>
      <c r="K1994" s="238">
        <f t="shared" si="163"/>
        <v>811120</v>
      </c>
      <c r="L1994" s="25" t="s">
        <v>153</v>
      </c>
      <c r="M1994" s="25" t="s">
        <v>147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/>
      </c>
      <c r="Z1994" s="121"/>
    </row>
    <row r="1995" spans="1:26" ht="15.75" customHeight="1">
      <c r="A1995" s="125" t="str">
        <f>IF(B1995&lt;&gt;"",IF(AND(B1995&gt;=_TM1,B1995&lt;=_TM2,OR(TH!L1995="1111",TH!M1995="1111")),TH!D1995,""),"")</f>
        <v/>
      </c>
      <c r="B1995" s="11">
        <f t="shared" si="159"/>
        <v>11</v>
      </c>
      <c r="C1995" s="115">
        <f t="shared" si="162"/>
        <v>40853</v>
      </c>
      <c r="D1995" s="324" t="s">
        <v>1046</v>
      </c>
      <c r="E1995" s="304">
        <v>40853</v>
      </c>
      <c r="F1995" s="114" t="s">
        <v>530</v>
      </c>
      <c r="G1995" s="15"/>
      <c r="H1995" s="242" t="s">
        <v>1037</v>
      </c>
      <c r="I1995" s="141">
        <v>4</v>
      </c>
      <c r="J1995" s="141">
        <v>17368</v>
      </c>
      <c r="K1995" s="238">
        <f t="shared" si="163"/>
        <v>69472</v>
      </c>
      <c r="L1995" s="25" t="s">
        <v>153</v>
      </c>
      <c r="M1995" s="25" t="s">
        <v>147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/>
      </c>
      <c r="Z1995" s="121"/>
    </row>
    <row r="1996" spans="1:26" ht="15.75" customHeight="1">
      <c r="A1996" s="125" t="str">
        <f>IF(B1996&lt;&gt;"",IF(AND(B1996&gt;=_TM1,B1996&lt;=_TM2,OR(TH!L1996="1111",TH!M1996="1111")),TH!D1996,""),"")</f>
        <v/>
      </c>
      <c r="B1996" s="11">
        <f t="shared" si="159"/>
        <v>11</v>
      </c>
      <c r="C1996" s="115">
        <f t="shared" si="162"/>
        <v>40853</v>
      </c>
      <c r="D1996" s="324" t="s">
        <v>1046</v>
      </c>
      <c r="E1996" s="304">
        <v>40853</v>
      </c>
      <c r="F1996" s="114" t="s">
        <v>519</v>
      </c>
      <c r="G1996" s="15"/>
      <c r="H1996" s="242" t="s">
        <v>1037</v>
      </c>
      <c r="I1996" s="141">
        <v>1.5</v>
      </c>
      <c r="J1996" s="141">
        <v>19638</v>
      </c>
      <c r="K1996" s="238">
        <f t="shared" si="163"/>
        <v>29457</v>
      </c>
      <c r="L1996" s="25" t="s">
        <v>153</v>
      </c>
      <c r="M1996" s="25" t="s">
        <v>147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/>
      </c>
      <c r="Z1996" s="121"/>
    </row>
    <row r="1997" spans="1:26" ht="15.75" customHeight="1">
      <c r="A1997" s="125" t="str">
        <f>IF(B1997&lt;&gt;"",IF(AND(B1997&gt;=_TM1,B1997&lt;=_TM2,OR(TH!L1997="1111",TH!M1997="1111")),TH!D1997,""),"")</f>
        <v/>
      </c>
      <c r="B1997" s="11">
        <f t="shared" si="159"/>
        <v>11</v>
      </c>
      <c r="C1997" s="110">
        <v>40854</v>
      </c>
      <c r="D1997" s="110" t="s">
        <v>310</v>
      </c>
      <c r="E1997" s="110">
        <v>40854</v>
      </c>
      <c r="F1997" s="114" t="s">
        <v>312</v>
      </c>
      <c r="G1997" s="240" t="s">
        <v>307</v>
      </c>
      <c r="H1997" s="4" t="s">
        <v>741</v>
      </c>
      <c r="I1997" s="141"/>
      <c r="J1997" s="141"/>
      <c r="K1997" s="238">
        <v>18616664</v>
      </c>
      <c r="L1997" s="239" t="s">
        <v>23</v>
      </c>
      <c r="M1997" s="239" t="s">
        <v>237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/>
      </c>
      <c r="Z1997" s="121"/>
    </row>
    <row r="1998" spans="1:26" ht="15.75" customHeight="1">
      <c r="A1998" s="125" t="str">
        <f>IF(B1998&lt;&gt;"",IF(AND(B1998&gt;=_TM1,B1998&lt;=_TM2,OR(TH!L1998="1111",TH!M1998="1111")),TH!D1998,""),"")</f>
        <v/>
      </c>
      <c r="B1998" s="11">
        <f t="shared" si="159"/>
        <v>11</v>
      </c>
      <c r="C1998" s="110">
        <v>40854</v>
      </c>
      <c r="D1998" s="110" t="s">
        <v>310</v>
      </c>
      <c r="E1998" s="110">
        <v>40854</v>
      </c>
      <c r="F1998" s="114" t="s">
        <v>312</v>
      </c>
      <c r="G1998" s="240" t="s">
        <v>307</v>
      </c>
      <c r="H1998" s="117" t="s">
        <v>709</v>
      </c>
      <c r="I1998" s="141"/>
      <c r="J1998" s="141"/>
      <c r="K1998" s="238">
        <v>219757311</v>
      </c>
      <c r="L1998" s="239" t="s">
        <v>23</v>
      </c>
      <c r="M1998" s="239" t="s">
        <v>237</v>
      </c>
      <c r="N1998" s="25" t="str">
        <f>IF(AND('331-CT'!$E$7=TH!H1998,OR(L1998="331",M1998="331")),"331",IF(AND(OR(L1998="131",M1998="131"),H1998='131-CT'!$E$7),"131",""))</f>
        <v>131</v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/>
      </c>
      <c r="Z1998" s="121"/>
    </row>
    <row r="1999" spans="1:26" ht="15.75" customHeight="1">
      <c r="A1999" s="125" t="str">
        <f>IF(B1999&lt;&gt;"",IF(AND(B1999&gt;=_TM1,B1999&lt;=_TM2,OR(TH!L1999="1111",TH!M1999="1111")),TH!D1999,""),"")</f>
        <v/>
      </c>
      <c r="B1999" s="11">
        <f t="shared" si="159"/>
        <v>11</v>
      </c>
      <c r="C1999" s="115">
        <v>40855</v>
      </c>
      <c r="D1999" s="115" t="s">
        <v>915</v>
      </c>
      <c r="E1999" s="115">
        <v>40855</v>
      </c>
      <c r="F1999" s="116" t="s">
        <v>1210</v>
      </c>
      <c r="G1999" s="224" t="s">
        <v>1233</v>
      </c>
      <c r="H1999" s="117" t="s">
        <v>709</v>
      </c>
      <c r="I1999" s="141">
        <v>150</v>
      </c>
      <c r="J1999" s="141">
        <v>10397</v>
      </c>
      <c r="K1999" s="238">
        <v>1559550</v>
      </c>
      <c r="L1999" s="118" t="s">
        <v>237</v>
      </c>
      <c r="M1999" s="118" t="s">
        <v>163</v>
      </c>
      <c r="N1999" s="25" t="str">
        <f>IF(AND('331-CT'!$E$7=TH!H1999,OR(L1999="331",M1999="331")),"331",IF(AND(OR(L1999="131",M1999="131"),H1999='131-CT'!$E$7),"131",""))</f>
        <v>131</v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/>
      </c>
      <c r="Z1999" s="121"/>
    </row>
    <row r="2000" spans="1:26" ht="15.75" customHeight="1">
      <c r="A2000" s="125" t="str">
        <f>IF(B2000&lt;&gt;"",IF(AND(B2000&gt;=_TM1,B2000&lt;=_TM2,OR(TH!L2000="1111",TH!M2000="1111")),TH!D2000,""),"")</f>
        <v/>
      </c>
      <c r="B2000" s="11">
        <f t="shared" si="159"/>
        <v>11</v>
      </c>
      <c r="C2000" s="115">
        <v>40855</v>
      </c>
      <c r="D2000" s="115" t="s">
        <v>915</v>
      </c>
      <c r="E2000" s="115">
        <v>40855</v>
      </c>
      <c r="F2000" s="116" t="s">
        <v>1211</v>
      </c>
      <c r="G2000" s="224" t="s">
        <v>1233</v>
      </c>
      <c r="H2000" s="117" t="s">
        <v>709</v>
      </c>
      <c r="I2000" s="141">
        <v>33</v>
      </c>
      <c r="J2000" s="141">
        <v>12869</v>
      </c>
      <c r="K2000" s="238">
        <v>424677</v>
      </c>
      <c r="L2000" s="118" t="s">
        <v>237</v>
      </c>
      <c r="M2000" s="118" t="s">
        <v>163</v>
      </c>
      <c r="N2000" s="25" t="str">
        <f>IF(AND('331-CT'!$E$7=TH!H2000,OR(L2000="331",M2000="331")),"331",IF(AND(OR(L2000="131",M2000="131"),H2000='131-CT'!$E$7),"131",""))</f>
        <v>131</v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/>
      </c>
      <c r="Z2000" s="121"/>
    </row>
    <row r="2001" spans="1:26" ht="15.75" customHeight="1">
      <c r="A2001" s="125" t="str">
        <f>IF(B2001&lt;&gt;"",IF(AND(B2001&gt;=_TM1,B2001&lt;=_TM2,OR(TH!L2001="1111",TH!M2001="1111")),TH!D2001,""),"")</f>
        <v/>
      </c>
      <c r="B2001" s="11">
        <f t="shared" si="159"/>
        <v>11</v>
      </c>
      <c r="C2001" s="115">
        <v>40855</v>
      </c>
      <c r="D2001" s="115" t="s">
        <v>915</v>
      </c>
      <c r="E2001" s="115">
        <v>40855</v>
      </c>
      <c r="F2001" s="116" t="s">
        <v>1204</v>
      </c>
      <c r="G2001" s="224" t="s">
        <v>1233</v>
      </c>
      <c r="H2001" s="117" t="s">
        <v>709</v>
      </c>
      <c r="I2001" s="141">
        <v>22</v>
      </c>
      <c r="J2001" s="141">
        <v>14450</v>
      </c>
      <c r="K2001" s="238">
        <v>317900</v>
      </c>
      <c r="L2001" s="118" t="s">
        <v>237</v>
      </c>
      <c r="M2001" s="118" t="s">
        <v>163</v>
      </c>
      <c r="N2001" s="25" t="str">
        <f>IF(AND('331-CT'!$E$7=TH!H2001,OR(L2001="331",M2001="331")),"331",IF(AND(OR(L2001="131",M2001="131"),H2001='131-CT'!$E$7),"131",""))</f>
        <v>131</v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/>
      </c>
      <c r="Z2001" s="121"/>
    </row>
    <row r="2002" spans="1:26" ht="15.75" customHeight="1">
      <c r="A2002" s="125" t="str">
        <f>IF(B2002&lt;&gt;"",IF(AND(B2002&gt;=_TM1,B2002&lt;=_TM2,OR(TH!L2002="1111",TH!M2002="1111")),TH!D2002,""),"")</f>
        <v/>
      </c>
      <c r="B2002" s="11">
        <f t="shared" si="159"/>
        <v>11</v>
      </c>
      <c r="C2002" s="115">
        <v>40855</v>
      </c>
      <c r="D2002" s="115" t="s">
        <v>915</v>
      </c>
      <c r="E2002" s="115">
        <v>40855</v>
      </c>
      <c r="F2002" s="116" t="s">
        <v>1203</v>
      </c>
      <c r="G2002" s="224" t="s">
        <v>1233</v>
      </c>
      <c r="H2002" s="117" t="s">
        <v>709</v>
      </c>
      <c r="I2002" s="141">
        <v>44</v>
      </c>
      <c r="J2002" s="141">
        <v>11420</v>
      </c>
      <c r="K2002" s="238">
        <v>502480</v>
      </c>
      <c r="L2002" s="118" t="s">
        <v>237</v>
      </c>
      <c r="M2002" s="118" t="s">
        <v>163</v>
      </c>
      <c r="N2002" s="25" t="str">
        <f>IF(AND('331-CT'!$E$7=TH!H2002,OR(L2002="331",M2002="331")),"331",IF(AND(OR(L2002="131",M2002="131"),H2002='131-CT'!$E$7),"131",""))</f>
        <v>131</v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/>
      </c>
      <c r="Z2002" s="121"/>
    </row>
    <row r="2003" spans="1:26" ht="15.75" customHeight="1">
      <c r="A2003" s="125" t="str">
        <f>IF(B2003&lt;&gt;"",IF(AND(B2003&gt;=_TM1,B2003&lt;=_TM2,OR(TH!L2003="1111",TH!M2003="1111")),TH!D2003,""),"")</f>
        <v/>
      </c>
      <c r="B2003" s="11">
        <f t="shared" si="159"/>
        <v>11</v>
      </c>
      <c r="C2003" s="115">
        <v>40855</v>
      </c>
      <c r="D2003" s="115" t="s">
        <v>915</v>
      </c>
      <c r="E2003" s="115">
        <v>40855</v>
      </c>
      <c r="F2003" s="116" t="s">
        <v>1205</v>
      </c>
      <c r="G2003" s="224" t="s">
        <v>1233</v>
      </c>
      <c r="H2003" s="117" t="s">
        <v>709</v>
      </c>
      <c r="I2003" s="141">
        <v>31</v>
      </c>
      <c r="J2003" s="141">
        <v>13881</v>
      </c>
      <c r="K2003" s="238">
        <v>430311</v>
      </c>
      <c r="L2003" s="118" t="s">
        <v>237</v>
      </c>
      <c r="M2003" s="118" t="s">
        <v>163</v>
      </c>
      <c r="N2003" s="25" t="str">
        <f>IF(AND('331-CT'!$E$7=TH!H2003,OR(L2003="331",M2003="331")),"331",IF(AND(OR(L2003="131",M2003="131"),H2003='131-CT'!$E$7),"131",""))</f>
        <v>131</v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/>
      </c>
      <c r="Z2003" s="121"/>
    </row>
    <row r="2004" spans="1:26" ht="15.75" customHeight="1">
      <c r="A2004" s="125" t="str">
        <f>IF(B2004&lt;&gt;"",IF(AND(B2004&gt;=_TM1,B2004&lt;=_TM2,OR(TH!L2004="1111",TH!M2004="1111")),TH!D2004,""),"")</f>
        <v/>
      </c>
      <c r="B2004" s="11">
        <f t="shared" si="159"/>
        <v>11</v>
      </c>
      <c r="C2004" s="115">
        <v>40855</v>
      </c>
      <c r="D2004" s="115" t="s">
        <v>915</v>
      </c>
      <c r="E2004" s="115">
        <v>40855</v>
      </c>
      <c r="F2004" s="116" t="s">
        <v>1209</v>
      </c>
      <c r="G2004" s="224" t="s">
        <v>1233</v>
      </c>
      <c r="H2004" s="117" t="s">
        <v>709</v>
      </c>
      <c r="I2004" s="141">
        <v>32</v>
      </c>
      <c r="J2004" s="141">
        <v>17372</v>
      </c>
      <c r="K2004" s="238">
        <v>555904</v>
      </c>
      <c r="L2004" s="118" t="s">
        <v>237</v>
      </c>
      <c r="M2004" s="118" t="s">
        <v>163</v>
      </c>
      <c r="N2004" s="25" t="str">
        <f>IF(AND('331-CT'!$E$7=TH!H2004,OR(L2004="331",M2004="331")),"331",IF(AND(OR(L2004="131",M2004="131"),H2004='131-CT'!$E$7),"131",""))</f>
        <v>131</v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/>
      </c>
      <c r="Z2004" s="121"/>
    </row>
    <row r="2005" spans="1:26" ht="15.75" customHeight="1">
      <c r="A2005" s="125" t="str">
        <f>IF(B2005&lt;&gt;"",IF(AND(B2005&gt;=_TM1,B2005&lt;=_TM2,OR(TH!L2005="1111",TH!M2005="1111")),TH!D2005,""),"")</f>
        <v/>
      </c>
      <c r="B2005" s="11">
        <f t="shared" si="159"/>
        <v>11</v>
      </c>
      <c r="C2005" s="115">
        <v>40855</v>
      </c>
      <c r="D2005" s="115" t="s">
        <v>915</v>
      </c>
      <c r="E2005" s="115">
        <v>40855</v>
      </c>
      <c r="F2005" s="116" t="s">
        <v>1206</v>
      </c>
      <c r="G2005" s="224" t="s">
        <v>1233</v>
      </c>
      <c r="H2005" s="117" t="s">
        <v>709</v>
      </c>
      <c r="I2005" s="141">
        <v>1</v>
      </c>
      <c r="J2005" s="141">
        <v>20981</v>
      </c>
      <c r="K2005" s="238">
        <v>20981</v>
      </c>
      <c r="L2005" s="118" t="s">
        <v>237</v>
      </c>
      <c r="M2005" s="118" t="s">
        <v>163</v>
      </c>
      <c r="N2005" s="25" t="str">
        <f>IF(AND('331-CT'!$E$7=TH!H2005,OR(L2005="331",M2005="331")),"331",IF(AND(OR(L2005="131",M2005="131"),H2005='131-CT'!$E$7),"131",""))</f>
        <v>131</v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/>
      </c>
      <c r="Z2005" s="121"/>
    </row>
    <row r="2006" spans="1:26" ht="15.75" customHeight="1">
      <c r="A2006" s="125" t="str">
        <f>IF(B2006&lt;&gt;"",IF(AND(B2006&gt;=_TM1,B2006&lt;=_TM2,OR(TH!L2006="1111",TH!M2006="1111")),TH!D2006,""),"")</f>
        <v/>
      </c>
      <c r="B2006" s="11">
        <f t="shared" ref="B2006:B2069" si="164">IF(C2006&lt;&gt;"",MONTH(C2006),"")</f>
        <v>11</v>
      </c>
      <c r="C2006" s="115">
        <v>40855</v>
      </c>
      <c r="D2006" s="115" t="s">
        <v>915</v>
      </c>
      <c r="E2006" s="115">
        <v>40855</v>
      </c>
      <c r="F2006" s="116" t="s">
        <v>1212</v>
      </c>
      <c r="G2006" s="224" t="s">
        <v>1233</v>
      </c>
      <c r="H2006" s="117" t="s">
        <v>709</v>
      </c>
      <c r="I2006" s="141">
        <v>27</v>
      </c>
      <c r="J2006" s="141">
        <v>16832</v>
      </c>
      <c r="K2006" s="238">
        <v>454464</v>
      </c>
      <c r="L2006" s="118" t="s">
        <v>237</v>
      </c>
      <c r="M2006" s="118" t="s">
        <v>163</v>
      </c>
      <c r="N2006" s="25" t="str">
        <f>IF(AND('331-CT'!$E$7=TH!H2006,OR(L2006="331",M2006="331")),"331",IF(AND(OR(L2006="131",M2006="131"),H2006='131-CT'!$E$7),"131",""))</f>
        <v>131</v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/>
      </c>
      <c r="Z2006" s="121"/>
    </row>
    <row r="2007" spans="1:26" ht="15.75" customHeight="1">
      <c r="A2007" s="125" t="str">
        <f>IF(B2007&lt;&gt;"",IF(AND(B2007&gt;=_TM1,B2007&lt;=_TM2,OR(TH!L2007="1111",TH!M2007="1111")),TH!D2007,""),"")</f>
        <v/>
      </c>
      <c r="B2007" s="11">
        <f t="shared" si="164"/>
        <v>11</v>
      </c>
      <c r="C2007" s="115">
        <v>40855</v>
      </c>
      <c r="D2007" s="115" t="s">
        <v>915</v>
      </c>
      <c r="E2007" s="115">
        <v>40855</v>
      </c>
      <c r="F2007" s="116" t="s">
        <v>724</v>
      </c>
      <c r="G2007" s="224" t="s">
        <v>1233</v>
      </c>
      <c r="H2007" s="117" t="s">
        <v>709</v>
      </c>
      <c r="I2007" s="141">
        <v>11</v>
      </c>
      <c r="J2007" s="141">
        <v>10253</v>
      </c>
      <c r="K2007" s="238">
        <v>112783</v>
      </c>
      <c r="L2007" s="118" t="s">
        <v>237</v>
      </c>
      <c r="M2007" s="118" t="s">
        <v>163</v>
      </c>
      <c r="N2007" s="25" t="str">
        <f>IF(AND('331-CT'!$E$7=TH!H2007,OR(L2007="331",M2007="331")),"331",IF(AND(OR(L2007="131",M2007="131"),H2007='131-CT'!$E$7),"131",""))</f>
        <v>131</v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/>
      </c>
      <c r="Z2007" s="121"/>
    </row>
    <row r="2008" spans="1:26" ht="15.75" customHeight="1">
      <c r="A2008" s="125" t="str">
        <f>IF(B2008&lt;&gt;"",IF(AND(B2008&gt;=_TM1,B2008&lt;=_TM2,OR(TH!L2008="1111",TH!M2008="1111")),TH!D2008,""),"")</f>
        <v/>
      </c>
      <c r="B2008" s="11">
        <f t="shared" si="164"/>
        <v>11</v>
      </c>
      <c r="C2008" s="115">
        <v>40855</v>
      </c>
      <c r="D2008" s="115" t="s">
        <v>915</v>
      </c>
      <c r="E2008" s="115">
        <v>40855</v>
      </c>
      <c r="F2008" s="116" t="s">
        <v>722</v>
      </c>
      <c r="G2008" s="224" t="s">
        <v>1233</v>
      </c>
      <c r="H2008" s="117" t="s">
        <v>709</v>
      </c>
      <c r="I2008" s="141">
        <v>285</v>
      </c>
      <c r="J2008" s="141">
        <v>10595</v>
      </c>
      <c r="K2008" s="238">
        <v>3019575</v>
      </c>
      <c r="L2008" s="118" t="s">
        <v>237</v>
      </c>
      <c r="M2008" s="118" t="s">
        <v>163</v>
      </c>
      <c r="N2008" s="25" t="str">
        <f>IF(AND('331-CT'!$E$7=TH!H2008,OR(L2008="331",M2008="331")),"331",IF(AND(OR(L2008="131",M2008="131"),H2008='131-CT'!$E$7),"131",""))</f>
        <v>131</v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/>
      </c>
      <c r="Z2008" s="121"/>
    </row>
    <row r="2009" spans="1:26" ht="15.75" customHeight="1">
      <c r="A2009" s="125" t="str">
        <f>IF(B2009&lt;&gt;"",IF(AND(B2009&gt;=_TM1,B2009&lt;=_TM2,OR(TH!L2009="1111",TH!M2009="1111")),TH!D2009,""),"")</f>
        <v/>
      </c>
      <c r="B2009" s="11">
        <f t="shared" si="164"/>
        <v>11</v>
      </c>
      <c r="C2009" s="115">
        <v>40855</v>
      </c>
      <c r="D2009" s="115" t="s">
        <v>915</v>
      </c>
      <c r="E2009" s="115">
        <v>40855</v>
      </c>
      <c r="F2009" s="116" t="s">
        <v>731</v>
      </c>
      <c r="G2009" s="224" t="s">
        <v>1233</v>
      </c>
      <c r="H2009" s="117" t="s">
        <v>709</v>
      </c>
      <c r="I2009" s="141">
        <v>3</v>
      </c>
      <c r="J2009" s="141">
        <v>12179</v>
      </c>
      <c r="K2009" s="238">
        <v>36537</v>
      </c>
      <c r="L2009" s="118" t="s">
        <v>237</v>
      </c>
      <c r="M2009" s="118" t="s">
        <v>163</v>
      </c>
      <c r="N2009" s="25" t="str">
        <f>IF(AND('331-CT'!$E$7=TH!H2009,OR(L2009="331",M2009="331")),"331",IF(AND(OR(L2009="131",M2009="131"),H2009='131-CT'!$E$7),"131",""))</f>
        <v>131</v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/>
      </c>
      <c r="Z2009" s="121"/>
    </row>
    <row r="2010" spans="1:26" ht="15.75" customHeight="1">
      <c r="A2010" s="125" t="str">
        <f>IF(B2010&lt;&gt;"",IF(AND(B2010&gt;=_TM1,B2010&lt;=_TM2,OR(TH!L2010="1111",TH!M2010="1111")),TH!D2010,""),"")</f>
        <v/>
      </c>
      <c r="B2010" s="11">
        <f t="shared" si="164"/>
        <v>11</v>
      </c>
      <c r="C2010" s="115">
        <v>40855</v>
      </c>
      <c r="D2010" s="115" t="s">
        <v>915</v>
      </c>
      <c r="E2010" s="115">
        <v>40855</v>
      </c>
      <c r="F2010" s="116" t="s">
        <v>726</v>
      </c>
      <c r="G2010" s="224" t="s">
        <v>1233</v>
      </c>
      <c r="H2010" s="117" t="s">
        <v>709</v>
      </c>
      <c r="I2010" s="141">
        <v>37</v>
      </c>
      <c r="J2010" s="141">
        <v>15618</v>
      </c>
      <c r="K2010" s="238">
        <v>577866</v>
      </c>
      <c r="L2010" s="118" t="s">
        <v>237</v>
      </c>
      <c r="M2010" s="118" t="s">
        <v>163</v>
      </c>
      <c r="N2010" s="25" t="str">
        <f>IF(AND('331-CT'!$E$7=TH!H2010,OR(L2010="331",M2010="331")),"331",IF(AND(OR(L2010="131",M2010="131"),H2010='131-CT'!$E$7),"131",""))</f>
        <v>131</v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/>
      </c>
      <c r="Z2010" s="121"/>
    </row>
    <row r="2011" spans="1:26" ht="15.75" customHeight="1">
      <c r="A2011" s="125" t="str">
        <f>IF(B2011&lt;&gt;"",IF(AND(B2011&gt;=_TM1,B2011&lt;=_TM2,OR(TH!L2011="1111",TH!M2011="1111")),TH!D2011,""),"")</f>
        <v/>
      </c>
      <c r="B2011" s="11">
        <f t="shared" si="164"/>
        <v>11</v>
      </c>
      <c r="C2011" s="115">
        <v>40855</v>
      </c>
      <c r="D2011" s="115" t="s">
        <v>915</v>
      </c>
      <c r="E2011" s="115">
        <v>40855</v>
      </c>
      <c r="F2011" s="116" t="s">
        <v>1207</v>
      </c>
      <c r="G2011" s="224" t="s">
        <v>1233</v>
      </c>
      <c r="H2011" s="117" t="s">
        <v>709</v>
      </c>
      <c r="I2011" s="141">
        <v>35</v>
      </c>
      <c r="J2011" s="141">
        <v>16534</v>
      </c>
      <c r="K2011" s="238">
        <v>578690</v>
      </c>
      <c r="L2011" s="118" t="s">
        <v>237</v>
      </c>
      <c r="M2011" s="118" t="s">
        <v>163</v>
      </c>
      <c r="N2011" s="25" t="str">
        <f>IF(AND('331-CT'!$E$7=TH!H2011,OR(L2011="331",M2011="331")),"331",IF(AND(OR(L2011="131",M2011="131"),H2011='131-CT'!$E$7),"131",""))</f>
        <v>131</v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/>
      </c>
      <c r="Z2011" s="121"/>
    </row>
    <row r="2012" spans="1:26" ht="15.75" customHeight="1">
      <c r="A2012" s="125" t="str">
        <f>IF(B2012&lt;&gt;"",IF(AND(B2012&gt;=_TM1,B2012&lt;=_TM2,OR(TH!L2012="1111",TH!M2012="1111")),TH!D2012,""),"")</f>
        <v/>
      </c>
      <c r="B2012" s="11">
        <f t="shared" si="164"/>
        <v>11</v>
      </c>
      <c r="C2012" s="115">
        <v>40855</v>
      </c>
      <c r="D2012" s="115" t="s">
        <v>915</v>
      </c>
      <c r="E2012" s="115">
        <v>40855</v>
      </c>
      <c r="F2012" s="116" t="s">
        <v>1199</v>
      </c>
      <c r="G2012" s="224" t="s">
        <v>1233</v>
      </c>
      <c r="H2012" s="117" t="s">
        <v>709</v>
      </c>
      <c r="I2012" s="141">
        <v>44</v>
      </c>
      <c r="J2012" s="141">
        <v>14880</v>
      </c>
      <c r="K2012" s="238">
        <v>654720</v>
      </c>
      <c r="L2012" s="118" t="s">
        <v>237</v>
      </c>
      <c r="M2012" s="118" t="s">
        <v>163</v>
      </c>
      <c r="N2012" s="25" t="str">
        <f>IF(AND('331-CT'!$E$7=TH!H2012,OR(L2012="331",M2012="331")),"331",IF(AND(OR(L2012="131",M2012="131"),H2012='131-CT'!$E$7),"131",""))</f>
        <v>131</v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/>
      </c>
      <c r="Z2012" s="121"/>
    </row>
    <row r="2013" spans="1:26" ht="15.75" customHeight="1">
      <c r="A2013" s="125" t="str">
        <f>IF(B2013&lt;&gt;"",IF(AND(B2013&gt;=_TM1,B2013&lt;=_TM2,OR(TH!L2013="1111",TH!M2013="1111")),TH!D2013,""),"")</f>
        <v/>
      </c>
      <c r="B2013" s="11">
        <f t="shared" si="164"/>
        <v>11</v>
      </c>
      <c r="C2013" s="115">
        <v>40855</v>
      </c>
      <c r="D2013" s="115" t="s">
        <v>915</v>
      </c>
      <c r="E2013" s="115">
        <v>40855</v>
      </c>
      <c r="F2013" s="116" t="s">
        <v>1234</v>
      </c>
      <c r="G2013" s="224" t="s">
        <v>1233</v>
      </c>
      <c r="H2013" s="117" t="s">
        <v>709</v>
      </c>
      <c r="I2013" s="141">
        <v>16</v>
      </c>
      <c r="J2013" s="141">
        <v>12847</v>
      </c>
      <c r="K2013" s="238">
        <v>205552</v>
      </c>
      <c r="L2013" s="118" t="s">
        <v>237</v>
      </c>
      <c r="M2013" s="118" t="s">
        <v>163</v>
      </c>
      <c r="N2013" s="25" t="str">
        <f>IF(AND('331-CT'!$E$7=TH!H2013,OR(L2013="331",M2013="331")),"331",IF(AND(OR(L2013="131",M2013="131"),H2013='131-CT'!$E$7),"131",""))</f>
        <v>131</v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/>
      </c>
      <c r="Z2013" s="121"/>
    </row>
    <row r="2014" spans="1:26" ht="15.75" customHeight="1">
      <c r="A2014" s="125" t="str">
        <f>IF(B2014&lt;&gt;"",IF(AND(B2014&gt;=_TM1,B2014&lt;=_TM2,OR(TH!L2014="1111",TH!M2014="1111")),TH!D2014,""),"")</f>
        <v/>
      </c>
      <c r="B2014" s="11">
        <f t="shared" si="164"/>
        <v>11</v>
      </c>
      <c r="C2014" s="115">
        <v>40855</v>
      </c>
      <c r="D2014" s="115" t="s">
        <v>915</v>
      </c>
      <c r="E2014" s="115">
        <v>40855</v>
      </c>
      <c r="F2014" s="116" t="s">
        <v>1208</v>
      </c>
      <c r="G2014" s="224" t="s">
        <v>1233</v>
      </c>
      <c r="H2014" s="117" t="s">
        <v>709</v>
      </c>
      <c r="I2014" s="141">
        <v>2</v>
      </c>
      <c r="J2014" s="141">
        <v>15669</v>
      </c>
      <c r="K2014" s="238">
        <v>31338</v>
      </c>
      <c r="L2014" s="118" t="s">
        <v>237</v>
      </c>
      <c r="M2014" s="118" t="s">
        <v>163</v>
      </c>
      <c r="N2014" s="25" t="str">
        <f>IF(AND('331-CT'!$E$7=TH!H2014,OR(L2014="331",M2014="331")),"331",IF(AND(OR(L2014="131",M2014="131"),H2014='131-CT'!$E$7),"131",""))</f>
        <v>131</v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/>
      </c>
      <c r="Z2014" s="121"/>
    </row>
    <row r="2015" spans="1:26" ht="15.75" customHeight="1">
      <c r="A2015" s="125" t="str">
        <f>IF(B2015&lt;&gt;"",IF(AND(B2015&gt;=_TM1,B2015&lt;=_TM2,OR(TH!L2015="1111",TH!M2015="1111")),TH!D2015,""),"")</f>
        <v/>
      </c>
      <c r="B2015" s="11">
        <f t="shared" si="164"/>
        <v>11</v>
      </c>
      <c r="C2015" s="115">
        <v>40855</v>
      </c>
      <c r="D2015" s="115" t="s">
        <v>915</v>
      </c>
      <c r="E2015" s="115">
        <v>40855</v>
      </c>
      <c r="F2015" s="116" t="s">
        <v>1121</v>
      </c>
      <c r="G2015" s="224" t="s">
        <v>1233</v>
      </c>
      <c r="H2015" s="117" t="s">
        <v>709</v>
      </c>
      <c r="I2015" s="141"/>
      <c r="J2015" s="141"/>
      <c r="K2015" s="238">
        <f>948333+2</f>
        <v>948335</v>
      </c>
      <c r="L2015" s="118" t="s">
        <v>237</v>
      </c>
      <c r="M2015" s="118" t="s">
        <v>707</v>
      </c>
      <c r="N2015" s="25" t="str">
        <f>IF(AND('331-CT'!$E$7=TH!H2015,OR(L2015="331",M2015="331")),"331",IF(AND(OR(L2015="131",M2015="131"),H2015='131-CT'!$E$7),"131",""))</f>
        <v>131</v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/>
      </c>
      <c r="Z2015" s="121"/>
    </row>
    <row r="2016" spans="1:26" ht="15.75" customHeight="1">
      <c r="A2016" s="125" t="str">
        <f>IF(B2016&lt;&gt;"",IF(AND(B2016&gt;=_TM1,B2016&lt;=_TM2,OR(TH!L2016="1111",TH!M2016="1111")),TH!D2016,""),"")</f>
        <v/>
      </c>
      <c r="B2016" s="281">
        <f t="shared" si="164"/>
        <v>11</v>
      </c>
      <c r="C2016" s="324">
        <f t="shared" ref="C2016:C2056" si="165">E2016</f>
        <v>40855</v>
      </c>
      <c r="D2016" s="21" t="s">
        <v>1068</v>
      </c>
      <c r="E2016" s="354">
        <v>40855</v>
      </c>
      <c r="F2016" s="334" t="s">
        <v>1210</v>
      </c>
      <c r="G2016" s="22"/>
      <c r="H2016" s="332" t="s">
        <v>1037</v>
      </c>
      <c r="I2016" s="139">
        <v>150</v>
      </c>
      <c r="J2016" s="139">
        <v>9549.5015191787752</v>
      </c>
      <c r="K2016" s="285">
        <f t="shared" ref="K2016:K2056" si="166">ROUND(I2016*J2016,0)</f>
        <v>1432425</v>
      </c>
      <c r="L2016" s="25" t="s">
        <v>155</v>
      </c>
      <c r="M2016" s="25" t="s">
        <v>153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/>
      </c>
      <c r="Z2016" s="308"/>
    </row>
    <row r="2017" spans="1:26" ht="15.75" customHeight="1">
      <c r="A2017" s="125" t="str">
        <f>IF(B2017&lt;&gt;"",IF(AND(B2017&gt;=_TM1,B2017&lt;=_TM2,OR(TH!L2017="1111",TH!M2017="1111")),TH!D2017,""),"")</f>
        <v/>
      </c>
      <c r="B2017" s="281">
        <f t="shared" si="164"/>
        <v>11</v>
      </c>
      <c r="C2017" s="324">
        <f t="shared" si="165"/>
        <v>40855</v>
      </c>
      <c r="D2017" s="21" t="s">
        <v>1068</v>
      </c>
      <c r="E2017" s="354">
        <v>40855</v>
      </c>
      <c r="F2017" s="22" t="s">
        <v>1211</v>
      </c>
      <c r="G2017" s="22"/>
      <c r="H2017" s="332" t="s">
        <v>1037</v>
      </c>
      <c r="I2017" s="139">
        <v>33</v>
      </c>
      <c r="J2017" s="139">
        <v>9918.4778828151411</v>
      </c>
      <c r="K2017" s="285">
        <f t="shared" si="166"/>
        <v>327310</v>
      </c>
      <c r="L2017" s="25" t="s">
        <v>155</v>
      </c>
      <c r="M2017" s="25" t="s">
        <v>153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/>
      </c>
      <c r="Z2017" s="308"/>
    </row>
    <row r="2018" spans="1:26" ht="15.75" customHeight="1">
      <c r="A2018" s="125" t="str">
        <f>IF(B2018&lt;&gt;"",IF(AND(B2018&gt;=_TM1,B2018&lt;=_TM2,OR(TH!L2018="1111",TH!M2018="1111")),TH!D2018,""),"")</f>
        <v/>
      </c>
      <c r="B2018" s="281">
        <f t="shared" si="164"/>
        <v>11</v>
      </c>
      <c r="C2018" s="324">
        <f t="shared" si="165"/>
        <v>40855</v>
      </c>
      <c r="D2018" s="21" t="s">
        <v>1068</v>
      </c>
      <c r="E2018" s="354">
        <v>40855</v>
      </c>
      <c r="F2018" s="22" t="s">
        <v>1204</v>
      </c>
      <c r="G2018" s="22"/>
      <c r="H2018" s="332" t="s">
        <v>1037</v>
      </c>
      <c r="I2018" s="139">
        <v>22</v>
      </c>
      <c r="J2018" s="139">
        <v>11642.462731299987</v>
      </c>
      <c r="K2018" s="285">
        <f t="shared" si="166"/>
        <v>256134</v>
      </c>
      <c r="L2018" s="25" t="s">
        <v>155</v>
      </c>
      <c r="M2018" s="25" t="s">
        <v>153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/>
      </c>
      <c r="Z2018" s="308"/>
    </row>
    <row r="2019" spans="1:26" ht="15.75" customHeight="1">
      <c r="A2019" s="125" t="str">
        <f>IF(B2019&lt;&gt;"",IF(AND(B2019&gt;=_TM1,B2019&lt;=_TM2,OR(TH!L2019="1111",TH!M2019="1111")),TH!D2019,""),"")</f>
        <v/>
      </c>
      <c r="B2019" s="281">
        <f t="shared" si="164"/>
        <v>11</v>
      </c>
      <c r="C2019" s="324">
        <f t="shared" si="165"/>
        <v>40855</v>
      </c>
      <c r="D2019" s="21" t="s">
        <v>1068</v>
      </c>
      <c r="E2019" s="354">
        <v>40855</v>
      </c>
      <c r="F2019" s="22" t="s">
        <v>1203</v>
      </c>
      <c r="G2019" s="22"/>
      <c r="H2019" s="332" t="s">
        <v>1037</v>
      </c>
      <c r="I2019" s="139">
        <v>44</v>
      </c>
      <c r="J2019" s="139">
        <v>9918.4854585727135</v>
      </c>
      <c r="K2019" s="285">
        <f t="shared" si="166"/>
        <v>436413</v>
      </c>
      <c r="L2019" s="25" t="s">
        <v>155</v>
      </c>
      <c r="M2019" s="25" t="s">
        <v>153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/>
      </c>
      <c r="Z2019" s="308"/>
    </row>
    <row r="2020" spans="1:26" ht="15.75" customHeight="1">
      <c r="A2020" s="125" t="str">
        <f>IF(B2020&lt;&gt;"",IF(AND(B2020&gt;=_TM1,B2020&lt;=_TM2,OR(TH!L2020="1111",TH!M2020="1111")),TH!D2020,""),"")</f>
        <v/>
      </c>
      <c r="B2020" s="281">
        <f t="shared" si="164"/>
        <v>11</v>
      </c>
      <c r="C2020" s="324">
        <f t="shared" si="165"/>
        <v>40855</v>
      </c>
      <c r="D2020" s="21" t="s">
        <v>1068</v>
      </c>
      <c r="E2020" s="354">
        <v>40855</v>
      </c>
      <c r="F2020" s="22" t="s">
        <v>1205</v>
      </c>
      <c r="G2020" s="22"/>
      <c r="H2020" s="332" t="s">
        <v>1037</v>
      </c>
      <c r="I2020" s="139">
        <v>31</v>
      </c>
      <c r="J2020" s="139">
        <v>11437.475927780924</v>
      </c>
      <c r="K2020" s="285">
        <f t="shared" si="166"/>
        <v>354562</v>
      </c>
      <c r="L2020" s="25" t="s">
        <v>155</v>
      </c>
      <c r="M2020" s="25" t="s">
        <v>153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/>
      </c>
      <c r="Z2020" s="308"/>
    </row>
    <row r="2021" spans="1:26" ht="15.75" customHeight="1">
      <c r="A2021" s="125" t="str">
        <f>IF(B2021&lt;&gt;"",IF(AND(B2021&gt;=_TM1,B2021&lt;=_TM2,OR(TH!L2021="1111",TH!M2021="1111")),TH!D2021,""),"")</f>
        <v/>
      </c>
      <c r="B2021" s="281">
        <f t="shared" si="164"/>
        <v>11</v>
      </c>
      <c r="C2021" s="324">
        <f t="shared" si="165"/>
        <v>40855</v>
      </c>
      <c r="D2021" s="21" t="s">
        <v>1068</v>
      </c>
      <c r="E2021" s="354">
        <v>40855</v>
      </c>
      <c r="F2021" s="22" t="s">
        <v>1209</v>
      </c>
      <c r="G2021" s="22"/>
      <c r="H2021" s="332" t="s">
        <v>1037</v>
      </c>
      <c r="I2021" s="139">
        <v>32</v>
      </c>
      <c r="J2021" s="139">
        <v>15403.476935845443</v>
      </c>
      <c r="K2021" s="285">
        <f t="shared" si="166"/>
        <v>492911</v>
      </c>
      <c r="L2021" s="25" t="s">
        <v>155</v>
      </c>
      <c r="M2021" s="25" t="s">
        <v>153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/>
      </c>
      <c r="Z2021" s="308"/>
    </row>
    <row r="2022" spans="1:26" ht="15.75" customHeight="1">
      <c r="A2022" s="125" t="str">
        <f>IF(B2022&lt;&gt;"",IF(AND(B2022&gt;=_TM1,B2022&lt;=_TM2,OR(TH!L2022="1111",TH!M2022="1111")),TH!D2022,""),"")</f>
        <v/>
      </c>
      <c r="B2022" s="281">
        <f t="shared" si="164"/>
        <v>11</v>
      </c>
      <c r="C2022" s="324">
        <f t="shared" si="165"/>
        <v>40855</v>
      </c>
      <c r="D2022" s="21" t="s">
        <v>1068</v>
      </c>
      <c r="E2022" s="354">
        <v>40855</v>
      </c>
      <c r="F2022" s="22" t="s">
        <v>1206</v>
      </c>
      <c r="G2022" s="22"/>
      <c r="H2022" s="332" t="s">
        <v>1037</v>
      </c>
      <c r="I2022" s="139">
        <v>1</v>
      </c>
      <c r="J2022" s="139">
        <v>18665.508185845447</v>
      </c>
      <c r="K2022" s="285">
        <f t="shared" si="166"/>
        <v>18666</v>
      </c>
      <c r="L2022" s="25" t="s">
        <v>155</v>
      </c>
      <c r="M2022" s="25" t="s">
        <v>153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308"/>
    </row>
    <row r="2023" spans="1:26" ht="15.75" customHeight="1">
      <c r="A2023" s="125" t="str">
        <f>IF(B2023&lt;&gt;"",IF(AND(B2023&gt;=_TM1,B2023&lt;=_TM2,OR(TH!L2023="1111",TH!M2023="1111")),TH!D2023,""),"")</f>
        <v/>
      </c>
      <c r="B2023" s="281">
        <f t="shared" si="164"/>
        <v>11</v>
      </c>
      <c r="C2023" s="324">
        <f t="shared" si="165"/>
        <v>40855</v>
      </c>
      <c r="D2023" s="21" t="s">
        <v>1068</v>
      </c>
      <c r="E2023" s="354">
        <v>40855</v>
      </c>
      <c r="F2023" s="22" t="s">
        <v>1212</v>
      </c>
      <c r="G2023" s="22"/>
      <c r="H2023" s="332" t="s">
        <v>1037</v>
      </c>
      <c r="I2023" s="139">
        <v>27</v>
      </c>
      <c r="J2023" s="139">
        <v>14925.137815475071</v>
      </c>
      <c r="K2023" s="285">
        <f t="shared" si="166"/>
        <v>402979</v>
      </c>
      <c r="L2023" s="25" t="s">
        <v>155</v>
      </c>
      <c r="M2023" s="25" t="s">
        <v>153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308"/>
    </row>
    <row r="2024" spans="1:26" ht="15.75" customHeight="1">
      <c r="A2024" s="125" t="str">
        <f>IF(B2024&lt;&gt;"",IF(AND(B2024&gt;=_TM1,B2024&lt;=_TM2,OR(TH!L2024="1111",TH!M2024="1111")),TH!D2024,""),"")</f>
        <v/>
      </c>
      <c r="B2024" s="281">
        <f t="shared" si="164"/>
        <v>11</v>
      </c>
      <c r="C2024" s="324">
        <f t="shared" si="165"/>
        <v>40855</v>
      </c>
      <c r="D2024" s="21" t="s">
        <v>1068</v>
      </c>
      <c r="E2024" s="354">
        <v>40855</v>
      </c>
      <c r="F2024" s="22" t="s">
        <v>724</v>
      </c>
      <c r="G2024" s="22"/>
      <c r="H2024" s="332" t="s">
        <v>1037</v>
      </c>
      <c r="I2024" s="139">
        <v>11</v>
      </c>
      <c r="J2024" s="139">
        <v>8047.4172767545324</v>
      </c>
      <c r="K2024" s="285">
        <f t="shared" si="166"/>
        <v>88522</v>
      </c>
      <c r="L2024" s="25" t="s">
        <v>155</v>
      </c>
      <c r="M2024" s="25" t="s">
        <v>153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308"/>
    </row>
    <row r="2025" spans="1:26" ht="15.75" customHeight="1">
      <c r="A2025" s="125" t="str">
        <f>IF(B2025&lt;&gt;"",IF(AND(B2025&gt;=_TM1,B2025&lt;=_TM2,OR(TH!L2025="1111",TH!M2025="1111")),TH!D2025,""),"")</f>
        <v/>
      </c>
      <c r="B2025" s="281">
        <f t="shared" si="164"/>
        <v>11</v>
      </c>
      <c r="C2025" s="324">
        <f t="shared" si="165"/>
        <v>40855</v>
      </c>
      <c r="D2025" s="21" t="s">
        <v>1069</v>
      </c>
      <c r="E2025" s="354">
        <v>40855</v>
      </c>
      <c r="F2025" s="22" t="s">
        <v>722</v>
      </c>
      <c r="G2025" s="22"/>
      <c r="H2025" s="332" t="s">
        <v>1037</v>
      </c>
      <c r="I2025" s="139">
        <v>285</v>
      </c>
      <c r="J2025" s="139">
        <v>9578.4555542664966</v>
      </c>
      <c r="K2025" s="285">
        <f t="shared" si="166"/>
        <v>2729860</v>
      </c>
      <c r="L2025" s="25" t="s">
        <v>155</v>
      </c>
      <c r="M2025" s="25" t="s">
        <v>153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308"/>
    </row>
    <row r="2026" spans="1:26" ht="15.75" customHeight="1">
      <c r="A2026" s="125" t="str">
        <f>IF(B2026&lt;&gt;"",IF(AND(B2026&gt;=_TM1,B2026&lt;=_TM2,OR(TH!L2026="1111",TH!M2026="1111")),TH!D2026,""),"")</f>
        <v/>
      </c>
      <c r="B2026" s="281">
        <f t="shared" si="164"/>
        <v>11</v>
      </c>
      <c r="C2026" s="324">
        <f t="shared" si="165"/>
        <v>40855</v>
      </c>
      <c r="D2026" s="21" t="s">
        <v>1069</v>
      </c>
      <c r="E2026" s="354">
        <v>40855</v>
      </c>
      <c r="F2026" s="22" t="s">
        <v>731</v>
      </c>
      <c r="G2026" s="22"/>
      <c r="H2026" s="332" t="s">
        <v>1037</v>
      </c>
      <c r="I2026" s="139">
        <v>3</v>
      </c>
      <c r="J2026" s="139">
        <v>10496.174852512109</v>
      </c>
      <c r="K2026" s="285">
        <f t="shared" si="166"/>
        <v>31489</v>
      </c>
      <c r="L2026" s="25" t="s">
        <v>155</v>
      </c>
      <c r="M2026" s="25" t="s">
        <v>153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308"/>
    </row>
    <row r="2027" spans="1:26" ht="15.75" customHeight="1">
      <c r="A2027" s="125" t="str">
        <f>IF(B2027&lt;&gt;"",IF(AND(B2027&gt;=_TM1,B2027&lt;=_TM2,OR(TH!L2027="1111",TH!M2027="1111")),TH!D2027,""),"")</f>
        <v/>
      </c>
      <c r="B2027" s="281">
        <f t="shared" si="164"/>
        <v>11</v>
      </c>
      <c r="C2027" s="324">
        <f t="shared" si="165"/>
        <v>40855</v>
      </c>
      <c r="D2027" s="21" t="s">
        <v>1069</v>
      </c>
      <c r="E2027" s="354">
        <v>40855</v>
      </c>
      <c r="F2027" s="22" t="s">
        <v>726</v>
      </c>
      <c r="G2027" s="22"/>
      <c r="H2027" s="332" t="s">
        <v>1037</v>
      </c>
      <c r="I2027" s="139">
        <v>37</v>
      </c>
      <c r="J2027" s="139">
        <v>14460.34602368328</v>
      </c>
      <c r="K2027" s="285">
        <f t="shared" si="166"/>
        <v>535033</v>
      </c>
      <c r="L2027" s="25" t="s">
        <v>155</v>
      </c>
      <c r="M2027" s="25" t="s">
        <v>153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308"/>
    </row>
    <row r="2028" spans="1:26" ht="15.75" customHeight="1">
      <c r="A2028" s="125" t="str">
        <f>IF(B2028&lt;&gt;"",IF(AND(B2028&gt;=_TM1,B2028&lt;=_TM2,OR(TH!L2028="1111",TH!M2028="1111")),TH!D2028,""),"")</f>
        <v/>
      </c>
      <c r="B2028" s="281">
        <f t="shared" si="164"/>
        <v>11</v>
      </c>
      <c r="C2028" s="324">
        <f t="shared" si="165"/>
        <v>40855</v>
      </c>
      <c r="D2028" s="21" t="s">
        <v>1069</v>
      </c>
      <c r="E2028" s="354">
        <v>40855</v>
      </c>
      <c r="F2028" s="22" t="s">
        <v>1207</v>
      </c>
      <c r="G2028" s="22"/>
      <c r="H2028" s="332" t="s">
        <v>1037</v>
      </c>
      <c r="I2028" s="139">
        <v>35</v>
      </c>
      <c r="J2028" s="139">
        <v>15252.479614416872</v>
      </c>
      <c r="K2028" s="285">
        <f t="shared" si="166"/>
        <v>533837</v>
      </c>
      <c r="L2028" s="25" t="s">
        <v>155</v>
      </c>
      <c r="M2028" s="25" t="s">
        <v>153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308"/>
    </row>
    <row r="2029" spans="1:26" ht="15.75" customHeight="1">
      <c r="A2029" s="125" t="str">
        <f>IF(B2029&lt;&gt;"",IF(AND(B2029&gt;=_TM1,B2029&lt;=_TM2,OR(TH!L2029="1111",TH!M2029="1111")),TH!D2029,""),"")</f>
        <v/>
      </c>
      <c r="B2029" s="281">
        <f t="shared" si="164"/>
        <v>11</v>
      </c>
      <c r="C2029" s="324">
        <f t="shared" si="165"/>
        <v>40855</v>
      </c>
      <c r="D2029" s="21" t="s">
        <v>1069</v>
      </c>
      <c r="E2029" s="354">
        <v>40855</v>
      </c>
      <c r="F2029" s="22" t="s">
        <v>1199</v>
      </c>
      <c r="G2029" s="22"/>
      <c r="H2029" s="332" t="s">
        <v>1037</v>
      </c>
      <c r="I2029" s="139">
        <v>44</v>
      </c>
      <c r="J2029" s="139">
        <v>14113.985458572715</v>
      </c>
      <c r="K2029" s="285">
        <f t="shared" si="166"/>
        <v>621015</v>
      </c>
      <c r="L2029" s="25" t="s">
        <v>155</v>
      </c>
      <c r="M2029" s="25" t="s">
        <v>153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308"/>
    </row>
    <row r="2030" spans="1:26" ht="15.75" customHeight="1">
      <c r="A2030" s="125" t="str">
        <f>IF(B2030&lt;&gt;"",IF(AND(B2030&gt;=_TM1,B2030&lt;=_TM2,OR(TH!L2030="1111",TH!M2030="1111")),TH!D2030,""),"")</f>
        <v/>
      </c>
      <c r="B2030" s="281">
        <f t="shared" si="164"/>
        <v>11</v>
      </c>
      <c r="C2030" s="324">
        <f t="shared" si="165"/>
        <v>40855</v>
      </c>
      <c r="D2030" s="21" t="s">
        <v>1069</v>
      </c>
      <c r="E2030" s="354">
        <v>40855</v>
      </c>
      <c r="F2030" s="22" t="s">
        <v>1234</v>
      </c>
      <c r="G2030" s="22"/>
      <c r="H2030" s="332" t="s">
        <v>1037</v>
      </c>
      <c r="I2030" s="139">
        <v>16</v>
      </c>
      <c r="J2030" s="139">
        <v>11901.445685845443</v>
      </c>
      <c r="K2030" s="285">
        <f t="shared" si="166"/>
        <v>190423</v>
      </c>
      <c r="L2030" s="25" t="s">
        <v>155</v>
      </c>
      <c r="M2030" s="25" t="s">
        <v>153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308"/>
    </row>
    <row r="2031" spans="1:26" ht="15.75" customHeight="1">
      <c r="A2031" s="125" t="str">
        <f>IF(B2031&lt;&gt;"",IF(AND(B2031&gt;=_TM1,B2031&lt;=_TM2,OR(TH!L2031="1111",TH!M2031="1111")),TH!D2031,""),"")</f>
        <v/>
      </c>
      <c r="B2031" s="281">
        <f t="shared" si="164"/>
        <v>11</v>
      </c>
      <c r="C2031" s="324">
        <f t="shared" si="165"/>
        <v>40855</v>
      </c>
      <c r="D2031" s="21" t="s">
        <v>1069</v>
      </c>
      <c r="E2031" s="354">
        <v>40855</v>
      </c>
      <c r="F2031" s="22" t="s">
        <v>1208</v>
      </c>
      <c r="G2031" s="22"/>
      <c r="H2031" s="332" t="s">
        <v>1037</v>
      </c>
      <c r="I2031" s="139">
        <v>2</v>
      </c>
      <c r="J2031" s="139">
        <v>13142.008185845443</v>
      </c>
      <c r="K2031" s="285">
        <f t="shared" si="166"/>
        <v>26284</v>
      </c>
      <c r="L2031" s="25" t="s">
        <v>155</v>
      </c>
      <c r="M2031" s="25" t="s">
        <v>153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308"/>
    </row>
    <row r="2032" spans="1:26" ht="15.75" customHeight="1">
      <c r="A2032" s="125" t="str">
        <f>IF(B2032&lt;&gt;"",IF(AND(B2032&gt;=_TM1,B2032&lt;=_TM2,OR(TH!L2032="1111",TH!M2032="1111")),TH!D2032,""),"")</f>
        <v/>
      </c>
      <c r="B2032" s="11">
        <f t="shared" si="164"/>
        <v>11</v>
      </c>
      <c r="C2032" s="115">
        <f t="shared" si="165"/>
        <v>40855</v>
      </c>
      <c r="D2032" s="12" t="s">
        <v>915</v>
      </c>
      <c r="E2032" s="304">
        <v>40855</v>
      </c>
      <c r="F2032" s="116" t="s">
        <v>1210</v>
      </c>
      <c r="G2032" s="224" t="s">
        <v>1233</v>
      </c>
      <c r="H2032" s="117" t="s">
        <v>709</v>
      </c>
      <c r="I2032" s="141">
        <v>150</v>
      </c>
      <c r="J2032" s="141">
        <v>9549.5015191787752</v>
      </c>
      <c r="K2032" s="330">
        <f t="shared" si="166"/>
        <v>1432425</v>
      </c>
      <c r="L2032" s="319" t="s">
        <v>161</v>
      </c>
      <c r="M2032" s="319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21"/>
    </row>
    <row r="2033" spans="1:26" ht="15.75" customHeight="1">
      <c r="A2033" s="125" t="str">
        <f>IF(B2033&lt;&gt;"",IF(AND(B2033&gt;=_TM1,B2033&lt;=_TM2,OR(TH!L2033="1111",TH!M2033="1111")),TH!D2033,""),"")</f>
        <v/>
      </c>
      <c r="B2033" s="11">
        <f t="shared" si="164"/>
        <v>11</v>
      </c>
      <c r="C2033" s="115">
        <f t="shared" si="165"/>
        <v>40855</v>
      </c>
      <c r="D2033" s="12" t="s">
        <v>915</v>
      </c>
      <c r="E2033" s="304">
        <v>40855</v>
      </c>
      <c r="F2033" s="116" t="s">
        <v>1211</v>
      </c>
      <c r="G2033" s="224" t="s">
        <v>1233</v>
      </c>
      <c r="H2033" s="117" t="s">
        <v>709</v>
      </c>
      <c r="I2033" s="141">
        <v>33</v>
      </c>
      <c r="J2033" s="141">
        <v>9918.4778828151411</v>
      </c>
      <c r="K2033" s="330">
        <f t="shared" si="166"/>
        <v>327310</v>
      </c>
      <c r="L2033" s="319" t="s">
        <v>161</v>
      </c>
      <c r="M2033" s="319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21"/>
    </row>
    <row r="2034" spans="1:26" ht="15.75" customHeight="1">
      <c r="A2034" s="125" t="str">
        <f>IF(B2034&lt;&gt;"",IF(AND(B2034&gt;=_TM1,B2034&lt;=_TM2,OR(TH!L2034="1111",TH!M2034="1111")),TH!D2034,""),"")</f>
        <v/>
      </c>
      <c r="B2034" s="11">
        <f t="shared" si="164"/>
        <v>11</v>
      </c>
      <c r="C2034" s="115">
        <f t="shared" si="165"/>
        <v>40855</v>
      </c>
      <c r="D2034" s="12" t="s">
        <v>915</v>
      </c>
      <c r="E2034" s="304">
        <v>40855</v>
      </c>
      <c r="F2034" s="116" t="s">
        <v>1204</v>
      </c>
      <c r="G2034" s="224" t="s">
        <v>1233</v>
      </c>
      <c r="H2034" s="117" t="s">
        <v>709</v>
      </c>
      <c r="I2034" s="141">
        <v>22</v>
      </c>
      <c r="J2034" s="141">
        <v>11642.462731299987</v>
      </c>
      <c r="K2034" s="330">
        <f t="shared" si="166"/>
        <v>256134</v>
      </c>
      <c r="L2034" s="319" t="s">
        <v>161</v>
      </c>
      <c r="M2034" s="319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21"/>
    </row>
    <row r="2035" spans="1:26" ht="15.75" customHeight="1">
      <c r="A2035" s="125" t="str">
        <f>IF(B2035&lt;&gt;"",IF(AND(B2035&gt;=_TM1,B2035&lt;=_TM2,OR(TH!L2035="1111",TH!M2035="1111")),TH!D2035,""),"")</f>
        <v/>
      </c>
      <c r="B2035" s="11">
        <f t="shared" si="164"/>
        <v>11</v>
      </c>
      <c r="C2035" s="115">
        <f t="shared" si="165"/>
        <v>40855</v>
      </c>
      <c r="D2035" s="12" t="s">
        <v>915</v>
      </c>
      <c r="E2035" s="304">
        <v>40855</v>
      </c>
      <c r="F2035" s="116" t="s">
        <v>1203</v>
      </c>
      <c r="G2035" s="224" t="s">
        <v>1233</v>
      </c>
      <c r="H2035" s="117" t="s">
        <v>709</v>
      </c>
      <c r="I2035" s="141">
        <v>44</v>
      </c>
      <c r="J2035" s="141">
        <v>9918.4854585727135</v>
      </c>
      <c r="K2035" s="330">
        <f t="shared" si="166"/>
        <v>436413</v>
      </c>
      <c r="L2035" s="319" t="s">
        <v>161</v>
      </c>
      <c r="M2035" s="319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21"/>
    </row>
    <row r="2036" spans="1:26" ht="15.75" customHeight="1">
      <c r="A2036" s="125" t="str">
        <f>IF(B2036&lt;&gt;"",IF(AND(B2036&gt;=_TM1,B2036&lt;=_TM2,OR(TH!L2036="1111",TH!M2036="1111")),TH!D2036,""),"")</f>
        <v/>
      </c>
      <c r="B2036" s="11">
        <f t="shared" si="164"/>
        <v>11</v>
      </c>
      <c r="C2036" s="115">
        <f t="shared" si="165"/>
        <v>40855</v>
      </c>
      <c r="D2036" s="12" t="s">
        <v>915</v>
      </c>
      <c r="E2036" s="304">
        <v>40855</v>
      </c>
      <c r="F2036" s="116" t="s">
        <v>1205</v>
      </c>
      <c r="G2036" s="224" t="s">
        <v>1233</v>
      </c>
      <c r="H2036" s="117" t="s">
        <v>709</v>
      </c>
      <c r="I2036" s="141">
        <v>31</v>
      </c>
      <c r="J2036" s="141">
        <v>11437.475927780924</v>
      </c>
      <c r="K2036" s="330">
        <f t="shared" si="166"/>
        <v>354562</v>
      </c>
      <c r="L2036" s="319" t="s">
        <v>161</v>
      </c>
      <c r="M2036" s="319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21"/>
    </row>
    <row r="2037" spans="1:26" ht="15.75" customHeight="1">
      <c r="A2037" s="125" t="str">
        <f>IF(B2037&lt;&gt;"",IF(AND(B2037&gt;=_TM1,B2037&lt;=_TM2,OR(TH!L2037="1111",TH!M2037="1111")),TH!D2037,""),"")</f>
        <v/>
      </c>
      <c r="B2037" s="11">
        <f t="shared" si="164"/>
        <v>11</v>
      </c>
      <c r="C2037" s="115">
        <f t="shared" si="165"/>
        <v>40855</v>
      </c>
      <c r="D2037" s="12" t="s">
        <v>915</v>
      </c>
      <c r="E2037" s="304">
        <v>40855</v>
      </c>
      <c r="F2037" s="116" t="s">
        <v>1209</v>
      </c>
      <c r="G2037" s="224" t="s">
        <v>1233</v>
      </c>
      <c r="H2037" s="117" t="s">
        <v>709</v>
      </c>
      <c r="I2037" s="141">
        <v>32</v>
      </c>
      <c r="J2037" s="141">
        <v>15403.476935845443</v>
      </c>
      <c r="K2037" s="330">
        <f t="shared" si="166"/>
        <v>492911</v>
      </c>
      <c r="L2037" s="319" t="s">
        <v>161</v>
      </c>
      <c r="M2037" s="319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21"/>
    </row>
    <row r="2038" spans="1:26" ht="15.75" customHeight="1">
      <c r="A2038" s="125" t="str">
        <f>IF(B2038&lt;&gt;"",IF(AND(B2038&gt;=_TM1,B2038&lt;=_TM2,OR(TH!L2038="1111",TH!M2038="1111")),TH!D2038,""),"")</f>
        <v/>
      </c>
      <c r="B2038" s="11">
        <f t="shared" si="164"/>
        <v>11</v>
      </c>
      <c r="C2038" s="115">
        <f t="shared" si="165"/>
        <v>40855</v>
      </c>
      <c r="D2038" s="12" t="s">
        <v>915</v>
      </c>
      <c r="E2038" s="304">
        <v>40855</v>
      </c>
      <c r="F2038" s="116" t="s">
        <v>1206</v>
      </c>
      <c r="G2038" s="224" t="s">
        <v>1233</v>
      </c>
      <c r="H2038" s="117" t="s">
        <v>709</v>
      </c>
      <c r="I2038" s="141">
        <v>1</v>
      </c>
      <c r="J2038" s="141">
        <v>18665.508185845447</v>
      </c>
      <c r="K2038" s="330">
        <f t="shared" si="166"/>
        <v>18666</v>
      </c>
      <c r="L2038" s="319" t="s">
        <v>161</v>
      </c>
      <c r="M2038" s="319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21"/>
    </row>
    <row r="2039" spans="1:26" ht="15.75" customHeight="1">
      <c r="A2039" s="125" t="str">
        <f>IF(B2039&lt;&gt;"",IF(AND(B2039&gt;=_TM1,B2039&lt;=_TM2,OR(TH!L2039="1111",TH!M2039="1111")),TH!D2039,""),"")</f>
        <v/>
      </c>
      <c r="B2039" s="11">
        <f t="shared" si="164"/>
        <v>11</v>
      </c>
      <c r="C2039" s="115">
        <f t="shared" si="165"/>
        <v>40855</v>
      </c>
      <c r="D2039" s="12" t="s">
        <v>915</v>
      </c>
      <c r="E2039" s="304">
        <v>40855</v>
      </c>
      <c r="F2039" s="116" t="s">
        <v>1212</v>
      </c>
      <c r="G2039" s="224" t="s">
        <v>1233</v>
      </c>
      <c r="H2039" s="117" t="s">
        <v>709</v>
      </c>
      <c r="I2039" s="141">
        <v>27</v>
      </c>
      <c r="J2039" s="141">
        <v>14925.137815475071</v>
      </c>
      <c r="K2039" s="330">
        <f t="shared" si="166"/>
        <v>402979</v>
      </c>
      <c r="L2039" s="319" t="s">
        <v>161</v>
      </c>
      <c r="M2039" s="319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21"/>
    </row>
    <row r="2040" spans="1:26" ht="15.75" customHeight="1">
      <c r="A2040" s="125" t="str">
        <f>IF(B2040&lt;&gt;"",IF(AND(B2040&gt;=_TM1,B2040&lt;=_TM2,OR(TH!L2040="1111",TH!M2040="1111")),TH!D2040,""),"")</f>
        <v/>
      </c>
      <c r="B2040" s="11">
        <f t="shared" si="164"/>
        <v>11</v>
      </c>
      <c r="C2040" s="115">
        <f t="shared" si="165"/>
        <v>40855</v>
      </c>
      <c r="D2040" s="12" t="s">
        <v>915</v>
      </c>
      <c r="E2040" s="304">
        <v>40855</v>
      </c>
      <c r="F2040" s="116" t="s">
        <v>724</v>
      </c>
      <c r="G2040" s="224" t="s">
        <v>1233</v>
      </c>
      <c r="H2040" s="117" t="s">
        <v>709</v>
      </c>
      <c r="I2040" s="141">
        <v>11</v>
      </c>
      <c r="J2040" s="141">
        <v>8047.4172767545324</v>
      </c>
      <c r="K2040" s="330">
        <f t="shared" si="166"/>
        <v>88522</v>
      </c>
      <c r="L2040" s="319" t="s">
        <v>161</v>
      </c>
      <c r="M2040" s="319" t="s">
        <v>155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21"/>
    </row>
    <row r="2041" spans="1:26" ht="15.75" customHeight="1">
      <c r="A2041" s="125" t="str">
        <f>IF(B2041&lt;&gt;"",IF(AND(B2041&gt;=_TM1,B2041&lt;=_TM2,OR(TH!L2041="1111",TH!M2041="1111")),TH!D2041,""),"")</f>
        <v/>
      </c>
      <c r="B2041" s="11">
        <f t="shared" si="164"/>
        <v>11</v>
      </c>
      <c r="C2041" s="115">
        <f t="shared" si="165"/>
        <v>40855</v>
      </c>
      <c r="D2041" s="12" t="s">
        <v>915</v>
      </c>
      <c r="E2041" s="304">
        <v>40855</v>
      </c>
      <c r="F2041" s="116" t="s">
        <v>722</v>
      </c>
      <c r="G2041" s="224" t="s">
        <v>1233</v>
      </c>
      <c r="H2041" s="117" t="s">
        <v>709</v>
      </c>
      <c r="I2041" s="141">
        <v>285</v>
      </c>
      <c r="J2041" s="141">
        <v>9578.4555542664966</v>
      </c>
      <c r="K2041" s="330">
        <f t="shared" si="166"/>
        <v>2729860</v>
      </c>
      <c r="L2041" s="319" t="s">
        <v>161</v>
      </c>
      <c r="M2041" s="319" t="s">
        <v>155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21"/>
    </row>
    <row r="2042" spans="1:26" ht="15.75" customHeight="1">
      <c r="A2042" s="125" t="str">
        <f>IF(B2042&lt;&gt;"",IF(AND(B2042&gt;=_TM1,B2042&lt;=_TM2,OR(TH!L2042="1111",TH!M2042="1111")),TH!D2042,""),"")</f>
        <v/>
      </c>
      <c r="B2042" s="11">
        <f t="shared" si="164"/>
        <v>11</v>
      </c>
      <c r="C2042" s="115">
        <f t="shared" si="165"/>
        <v>40855</v>
      </c>
      <c r="D2042" s="12" t="s">
        <v>915</v>
      </c>
      <c r="E2042" s="304">
        <v>40855</v>
      </c>
      <c r="F2042" s="116" t="s">
        <v>731</v>
      </c>
      <c r="G2042" s="224" t="s">
        <v>1233</v>
      </c>
      <c r="H2042" s="117" t="s">
        <v>709</v>
      </c>
      <c r="I2042" s="141">
        <v>3</v>
      </c>
      <c r="J2042" s="141">
        <v>10496.174852512109</v>
      </c>
      <c r="K2042" s="330">
        <f t="shared" si="166"/>
        <v>31489</v>
      </c>
      <c r="L2042" s="319" t="s">
        <v>161</v>
      </c>
      <c r="M2042" s="319" t="s">
        <v>155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21"/>
    </row>
    <row r="2043" spans="1:26" ht="15.75" customHeight="1">
      <c r="A2043" s="125" t="str">
        <f>IF(B2043&lt;&gt;"",IF(AND(B2043&gt;=_TM1,B2043&lt;=_TM2,OR(TH!L2043="1111",TH!M2043="1111")),TH!D2043,""),"")</f>
        <v/>
      </c>
      <c r="B2043" s="11">
        <f t="shared" si="164"/>
        <v>11</v>
      </c>
      <c r="C2043" s="115">
        <f t="shared" si="165"/>
        <v>40855</v>
      </c>
      <c r="D2043" s="12" t="s">
        <v>915</v>
      </c>
      <c r="E2043" s="304">
        <v>40855</v>
      </c>
      <c r="F2043" s="116" t="s">
        <v>726</v>
      </c>
      <c r="G2043" s="224" t="s">
        <v>1233</v>
      </c>
      <c r="H2043" s="117" t="s">
        <v>709</v>
      </c>
      <c r="I2043" s="141">
        <v>37</v>
      </c>
      <c r="J2043" s="141">
        <v>14460.34602368328</v>
      </c>
      <c r="K2043" s="330">
        <f t="shared" si="166"/>
        <v>535033</v>
      </c>
      <c r="L2043" s="319" t="s">
        <v>161</v>
      </c>
      <c r="M2043" s="319" t="s">
        <v>155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21"/>
    </row>
    <row r="2044" spans="1:26" ht="15.75" customHeight="1">
      <c r="A2044" s="125" t="str">
        <f>IF(B2044&lt;&gt;"",IF(AND(B2044&gt;=_TM1,B2044&lt;=_TM2,OR(TH!L2044="1111",TH!M2044="1111")),TH!D2044,""),"")</f>
        <v/>
      </c>
      <c r="B2044" s="11">
        <f t="shared" si="164"/>
        <v>11</v>
      </c>
      <c r="C2044" s="115">
        <f t="shared" si="165"/>
        <v>40855</v>
      </c>
      <c r="D2044" s="12" t="s">
        <v>915</v>
      </c>
      <c r="E2044" s="304">
        <v>40855</v>
      </c>
      <c r="F2044" s="116" t="s">
        <v>1207</v>
      </c>
      <c r="G2044" s="224" t="s">
        <v>1233</v>
      </c>
      <c r="H2044" s="117" t="s">
        <v>709</v>
      </c>
      <c r="I2044" s="141">
        <v>35</v>
      </c>
      <c r="J2044" s="141">
        <v>15252.479614416872</v>
      </c>
      <c r="K2044" s="330">
        <f t="shared" si="166"/>
        <v>533837</v>
      </c>
      <c r="L2044" s="319" t="s">
        <v>161</v>
      </c>
      <c r="M2044" s="319" t="s">
        <v>155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21"/>
    </row>
    <row r="2045" spans="1:26" ht="15.75" customHeight="1">
      <c r="A2045" s="125" t="str">
        <f>IF(B2045&lt;&gt;"",IF(AND(B2045&gt;=_TM1,B2045&lt;=_TM2,OR(TH!L2045="1111",TH!M2045="1111")),TH!D2045,""),"")</f>
        <v/>
      </c>
      <c r="B2045" s="11">
        <f t="shared" si="164"/>
        <v>11</v>
      </c>
      <c r="C2045" s="115">
        <f t="shared" si="165"/>
        <v>40855</v>
      </c>
      <c r="D2045" s="12" t="s">
        <v>915</v>
      </c>
      <c r="E2045" s="304">
        <v>40855</v>
      </c>
      <c r="F2045" s="116" t="s">
        <v>1199</v>
      </c>
      <c r="G2045" s="224" t="s">
        <v>1233</v>
      </c>
      <c r="H2045" s="117" t="s">
        <v>709</v>
      </c>
      <c r="I2045" s="141">
        <v>44</v>
      </c>
      <c r="J2045" s="141">
        <v>14113.985458572715</v>
      </c>
      <c r="K2045" s="330">
        <f t="shared" si="166"/>
        <v>621015</v>
      </c>
      <c r="L2045" s="319" t="s">
        <v>161</v>
      </c>
      <c r="M2045" s="319" t="s">
        <v>155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21"/>
    </row>
    <row r="2046" spans="1:26" ht="15.75" customHeight="1">
      <c r="A2046" s="125" t="str">
        <f>IF(B2046&lt;&gt;"",IF(AND(B2046&gt;=_TM1,B2046&lt;=_TM2,OR(TH!L2046="1111",TH!M2046="1111")),TH!D2046,""),"")</f>
        <v/>
      </c>
      <c r="B2046" s="11">
        <f t="shared" si="164"/>
        <v>11</v>
      </c>
      <c r="C2046" s="115">
        <f t="shared" si="165"/>
        <v>40855</v>
      </c>
      <c r="D2046" s="12" t="s">
        <v>915</v>
      </c>
      <c r="E2046" s="304">
        <v>40855</v>
      </c>
      <c r="F2046" s="116" t="s">
        <v>1234</v>
      </c>
      <c r="G2046" s="224" t="s">
        <v>1233</v>
      </c>
      <c r="H2046" s="117" t="s">
        <v>709</v>
      </c>
      <c r="I2046" s="141">
        <v>16</v>
      </c>
      <c r="J2046" s="141">
        <v>11901.445685845443</v>
      </c>
      <c r="K2046" s="330">
        <f t="shared" si="166"/>
        <v>190423</v>
      </c>
      <c r="L2046" s="319" t="s">
        <v>161</v>
      </c>
      <c r="M2046" s="319" t="s">
        <v>155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21"/>
    </row>
    <row r="2047" spans="1:26" ht="15.75" customHeight="1">
      <c r="A2047" s="125" t="str">
        <f>IF(B2047&lt;&gt;"",IF(AND(B2047&gt;=_TM1,B2047&lt;=_TM2,OR(TH!L2047="1111",TH!M2047="1111")),TH!D2047,""),"")</f>
        <v/>
      </c>
      <c r="B2047" s="11">
        <f t="shared" si="164"/>
        <v>11</v>
      </c>
      <c r="C2047" s="115">
        <f t="shared" si="165"/>
        <v>40855</v>
      </c>
      <c r="D2047" s="12" t="s">
        <v>915</v>
      </c>
      <c r="E2047" s="304">
        <v>40855</v>
      </c>
      <c r="F2047" s="116" t="s">
        <v>1208</v>
      </c>
      <c r="G2047" s="224" t="s">
        <v>1233</v>
      </c>
      <c r="H2047" s="117" t="s">
        <v>709</v>
      </c>
      <c r="I2047" s="141">
        <v>2</v>
      </c>
      <c r="J2047" s="141">
        <v>13142.008185845443</v>
      </c>
      <c r="K2047" s="330">
        <f t="shared" si="166"/>
        <v>26284</v>
      </c>
      <c r="L2047" s="319" t="s">
        <v>161</v>
      </c>
      <c r="M2047" s="319" t="s">
        <v>155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21"/>
    </row>
    <row r="2048" spans="1:26" ht="15.75" customHeight="1">
      <c r="A2048" s="125" t="str">
        <f>IF(B2048&lt;&gt;"",IF(AND(B2048&gt;=_TM1,B2048&lt;=_TM2,OR(TH!L2048="1111",TH!M2048="1111")),TH!D2048,""),"")</f>
        <v/>
      </c>
      <c r="B2048" s="11">
        <f t="shared" si="164"/>
        <v>11</v>
      </c>
      <c r="C2048" s="115">
        <f t="shared" si="165"/>
        <v>40856</v>
      </c>
      <c r="D2048" s="324" t="s">
        <v>1047</v>
      </c>
      <c r="E2048" s="304">
        <v>40856</v>
      </c>
      <c r="F2048" s="114" t="s">
        <v>530</v>
      </c>
      <c r="G2048" s="15"/>
      <c r="H2048" s="242" t="s">
        <v>1037</v>
      </c>
      <c r="I2048" s="141">
        <v>4</v>
      </c>
      <c r="J2048" s="141">
        <v>17368</v>
      </c>
      <c r="K2048" s="238">
        <f t="shared" si="166"/>
        <v>69472</v>
      </c>
      <c r="L2048" s="25" t="s">
        <v>153</v>
      </c>
      <c r="M2048" s="25" t="s">
        <v>147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21"/>
    </row>
    <row r="2049" spans="1:26" ht="15.75" customHeight="1">
      <c r="A2049" s="125" t="str">
        <f>IF(B2049&lt;&gt;"",IF(AND(B2049&gt;=_TM1,B2049&lt;=_TM2,OR(TH!L2049="1111",TH!M2049="1111")),TH!D2049,""),"")</f>
        <v/>
      </c>
      <c r="B2049" s="11">
        <f t="shared" si="164"/>
        <v>11</v>
      </c>
      <c r="C2049" s="115">
        <f t="shared" si="165"/>
        <v>40856</v>
      </c>
      <c r="D2049" s="324" t="s">
        <v>1047</v>
      </c>
      <c r="E2049" s="304">
        <v>40856</v>
      </c>
      <c r="F2049" s="15" t="s">
        <v>588</v>
      </c>
      <c r="G2049" s="15"/>
      <c r="H2049" s="242" t="s">
        <v>1037</v>
      </c>
      <c r="I2049" s="141">
        <v>1.5</v>
      </c>
      <c r="J2049" s="141">
        <v>18396</v>
      </c>
      <c r="K2049" s="238">
        <f t="shared" si="166"/>
        <v>27594</v>
      </c>
      <c r="L2049" s="25" t="s">
        <v>153</v>
      </c>
      <c r="M2049" s="25" t="s">
        <v>147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21"/>
    </row>
    <row r="2050" spans="1:26" ht="15.75" customHeight="1">
      <c r="A2050" s="125" t="str">
        <f>IF(B2050&lt;&gt;"",IF(AND(B2050&gt;=_TM1,B2050&lt;=_TM2,OR(TH!L2050="1111",TH!M2050="1111")),TH!D2050,""),"")</f>
        <v/>
      </c>
      <c r="B2050" s="11">
        <f t="shared" si="164"/>
        <v>11</v>
      </c>
      <c r="C2050" s="115">
        <f t="shared" si="165"/>
        <v>40856</v>
      </c>
      <c r="D2050" s="324" t="s">
        <v>1047</v>
      </c>
      <c r="E2050" s="304">
        <v>40856</v>
      </c>
      <c r="F2050" s="15" t="s">
        <v>628</v>
      </c>
      <c r="G2050" s="15"/>
      <c r="H2050" s="242" t="s">
        <v>1037</v>
      </c>
      <c r="I2050" s="141">
        <v>6</v>
      </c>
      <c r="J2050" s="141">
        <v>14105</v>
      </c>
      <c r="K2050" s="238">
        <f t="shared" si="166"/>
        <v>84630</v>
      </c>
      <c r="L2050" s="25" t="s">
        <v>153</v>
      </c>
      <c r="M2050" s="25" t="s">
        <v>147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21"/>
    </row>
    <row r="2051" spans="1:26" ht="15.75" customHeight="1">
      <c r="A2051" s="125" t="str">
        <f>IF(B2051&lt;&gt;"",IF(AND(B2051&gt;=_TM1,B2051&lt;=_TM2,OR(TH!L2051="1111",TH!M2051="1111")),TH!D2051,""),"")</f>
        <v/>
      </c>
      <c r="B2051" s="11">
        <f t="shared" si="164"/>
        <v>11</v>
      </c>
      <c r="C2051" s="115">
        <f t="shared" si="165"/>
        <v>40856</v>
      </c>
      <c r="D2051" s="324" t="s">
        <v>1047</v>
      </c>
      <c r="E2051" s="304">
        <v>40856</v>
      </c>
      <c r="F2051" s="217" t="s">
        <v>620</v>
      </c>
      <c r="G2051" s="15"/>
      <c r="H2051" s="242" t="s">
        <v>1037</v>
      </c>
      <c r="I2051" s="141">
        <v>21</v>
      </c>
      <c r="J2051" s="141">
        <v>25631</v>
      </c>
      <c r="K2051" s="238">
        <f t="shared" si="166"/>
        <v>538251</v>
      </c>
      <c r="L2051" s="25" t="s">
        <v>153</v>
      </c>
      <c r="M2051" s="25" t="s">
        <v>147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21"/>
    </row>
    <row r="2052" spans="1:26" ht="15.75" customHeight="1">
      <c r="A2052" s="125" t="str">
        <f>IF(B2052&lt;&gt;"",IF(AND(B2052&gt;=_TM1,B2052&lt;=_TM2,OR(TH!L2052="1111",TH!M2052="1111")),TH!D2052,""),"")</f>
        <v/>
      </c>
      <c r="B2052" s="11">
        <f t="shared" si="164"/>
        <v>11</v>
      </c>
      <c r="C2052" s="115">
        <f t="shared" si="165"/>
        <v>40856</v>
      </c>
      <c r="D2052" s="324" t="s">
        <v>1047</v>
      </c>
      <c r="E2052" s="304">
        <v>40856</v>
      </c>
      <c r="F2052" s="15" t="s">
        <v>628</v>
      </c>
      <c r="G2052" s="15"/>
      <c r="H2052" s="242" t="s">
        <v>1037</v>
      </c>
      <c r="I2052" s="141">
        <v>44</v>
      </c>
      <c r="J2052" s="141">
        <v>14105</v>
      </c>
      <c r="K2052" s="238">
        <f t="shared" si="166"/>
        <v>620620</v>
      </c>
      <c r="L2052" s="25" t="s">
        <v>153</v>
      </c>
      <c r="M2052" s="25" t="s">
        <v>147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21"/>
    </row>
    <row r="2053" spans="1:26" ht="15.75" customHeight="1">
      <c r="A2053" s="125" t="str">
        <f>IF(B2053&lt;&gt;"",IF(AND(B2053&gt;=_TM1,B2053&lt;=_TM2,OR(TH!L2053="1111",TH!M2053="1111")),TH!D2053,""),"")</f>
        <v/>
      </c>
      <c r="B2053" s="11">
        <f t="shared" si="164"/>
        <v>11</v>
      </c>
      <c r="C2053" s="115">
        <f t="shared" si="165"/>
        <v>40856</v>
      </c>
      <c r="D2053" s="324" t="s">
        <v>1047</v>
      </c>
      <c r="E2053" s="304">
        <v>40856</v>
      </c>
      <c r="F2053" s="15" t="s">
        <v>630</v>
      </c>
      <c r="G2053" s="15"/>
      <c r="H2053" s="242" t="s">
        <v>1037</v>
      </c>
      <c r="I2053" s="141">
        <v>695</v>
      </c>
      <c r="J2053" s="141">
        <v>13350</v>
      </c>
      <c r="K2053" s="238">
        <f t="shared" si="166"/>
        <v>9278250</v>
      </c>
      <c r="L2053" s="25" t="s">
        <v>153</v>
      </c>
      <c r="M2053" s="25" t="s">
        <v>147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21"/>
    </row>
    <row r="2054" spans="1:26" ht="15.75" customHeight="1">
      <c r="A2054" s="125" t="str">
        <f>IF(B2054&lt;&gt;"",IF(AND(B2054&gt;=_TM1,B2054&lt;=_TM2,OR(TH!L2054="1111",TH!M2054="1111")),TH!D2054,""),"")</f>
        <v/>
      </c>
      <c r="B2054" s="11">
        <f t="shared" si="164"/>
        <v>11</v>
      </c>
      <c r="C2054" s="115">
        <f t="shared" si="165"/>
        <v>40856</v>
      </c>
      <c r="D2054" s="324" t="s">
        <v>1047</v>
      </c>
      <c r="E2054" s="304">
        <v>40856</v>
      </c>
      <c r="F2054" s="15" t="s">
        <v>630</v>
      </c>
      <c r="G2054" s="15"/>
      <c r="H2054" s="242" t="s">
        <v>1037</v>
      </c>
      <c r="I2054" s="141">
        <v>625</v>
      </c>
      <c r="J2054" s="141">
        <v>13350</v>
      </c>
      <c r="K2054" s="238">
        <f t="shared" si="166"/>
        <v>8343750</v>
      </c>
      <c r="L2054" s="25" t="s">
        <v>153</v>
      </c>
      <c r="M2054" s="25" t="s">
        <v>147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21"/>
    </row>
    <row r="2055" spans="1:26" ht="15.75" customHeight="1">
      <c r="A2055" s="125" t="str">
        <f>IF(B2055&lt;&gt;"",IF(AND(B2055&gt;=_TM1,B2055&lt;=_TM2,OR(TH!L2055="1111",TH!M2055="1111")),TH!D2055,""),"")</f>
        <v/>
      </c>
      <c r="B2055" s="11">
        <f t="shared" si="164"/>
        <v>11</v>
      </c>
      <c r="C2055" s="115">
        <f t="shared" si="165"/>
        <v>40856</v>
      </c>
      <c r="D2055" s="324" t="s">
        <v>1047</v>
      </c>
      <c r="E2055" s="304">
        <v>40856</v>
      </c>
      <c r="F2055" s="154" t="s">
        <v>359</v>
      </c>
      <c r="G2055" s="15"/>
      <c r="H2055" s="242" t="s">
        <v>1037</v>
      </c>
      <c r="I2055" s="141">
        <v>5</v>
      </c>
      <c r="J2055" s="141">
        <v>27901</v>
      </c>
      <c r="K2055" s="238">
        <f t="shared" si="166"/>
        <v>139505</v>
      </c>
      <c r="L2055" s="25" t="s">
        <v>153</v>
      </c>
      <c r="M2055" s="25" t="s">
        <v>147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21"/>
    </row>
    <row r="2056" spans="1:26" ht="15.75" customHeight="1">
      <c r="A2056" s="125" t="str">
        <f>IF(B2056&lt;&gt;"",IF(AND(B2056&gt;=_TM1,B2056&lt;=_TM2,OR(TH!L2056="1111",TH!M2056="1111")),TH!D2056,""),"")</f>
        <v/>
      </c>
      <c r="B2056" s="11">
        <f t="shared" si="164"/>
        <v>11</v>
      </c>
      <c r="C2056" s="115">
        <f t="shared" si="165"/>
        <v>40856</v>
      </c>
      <c r="D2056" s="324" t="s">
        <v>1047</v>
      </c>
      <c r="E2056" s="304">
        <v>40856</v>
      </c>
      <c r="F2056" s="114" t="s">
        <v>364</v>
      </c>
      <c r="G2056" s="15"/>
      <c r="H2056" s="242" t="s">
        <v>1037</v>
      </c>
      <c r="I2056" s="315">
        <v>1</v>
      </c>
      <c r="J2056" s="141">
        <v>4449</v>
      </c>
      <c r="K2056" s="238">
        <f t="shared" si="166"/>
        <v>4449</v>
      </c>
      <c r="L2056" s="25" t="s">
        <v>153</v>
      </c>
      <c r="M2056" s="25" t="s">
        <v>147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>x</v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21"/>
    </row>
    <row r="2057" spans="1:26" ht="15.75" customHeight="1">
      <c r="A2057" s="125" t="str">
        <f>IF(B2057&lt;&gt;"",IF(AND(B2057&gt;=_TM1,B2057&lt;=_TM2,OR(TH!L2057="1111",TH!M2057="1111")),TH!D2057,""),"")</f>
        <v/>
      </c>
      <c r="B2057" s="11">
        <f t="shared" si="164"/>
        <v>11</v>
      </c>
      <c r="C2057" s="115">
        <v>40857</v>
      </c>
      <c r="D2057" s="115" t="s">
        <v>916</v>
      </c>
      <c r="E2057" s="115">
        <v>40857</v>
      </c>
      <c r="F2057" s="116" t="s">
        <v>1199</v>
      </c>
      <c r="G2057" s="224" t="s">
        <v>1235</v>
      </c>
      <c r="H2057" s="117" t="s">
        <v>709</v>
      </c>
      <c r="I2057" s="141">
        <v>20</v>
      </c>
      <c r="J2057" s="141">
        <v>14880</v>
      </c>
      <c r="K2057" s="238">
        <v>297600</v>
      </c>
      <c r="L2057" s="118" t="s">
        <v>237</v>
      </c>
      <c r="M2057" s="118" t="s">
        <v>163</v>
      </c>
      <c r="N2057" s="25" t="str">
        <f>IF(AND('331-CT'!$E$7=TH!H2057,OR(L2057="331",M2057="331")),"331",IF(AND(OR(L2057="131",M2057="131"),H2057='131-CT'!$E$7),"131",""))</f>
        <v>131</v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21"/>
    </row>
    <row r="2058" spans="1:26" ht="15.75" customHeight="1">
      <c r="A2058" s="125" t="str">
        <f>IF(B2058&lt;&gt;"",IF(AND(B2058&gt;=_TM1,B2058&lt;=_TM2,OR(TH!L2058="1111",TH!M2058="1111")),TH!D2058,""),"")</f>
        <v/>
      </c>
      <c r="B2058" s="11">
        <f t="shared" si="164"/>
        <v>11</v>
      </c>
      <c r="C2058" s="115">
        <v>40857</v>
      </c>
      <c r="D2058" s="115" t="s">
        <v>916</v>
      </c>
      <c r="E2058" s="115">
        <v>40857</v>
      </c>
      <c r="F2058" s="116" t="s">
        <v>1200</v>
      </c>
      <c r="G2058" s="224" t="s">
        <v>1235</v>
      </c>
      <c r="H2058" s="117" t="s">
        <v>709</v>
      </c>
      <c r="I2058" s="141">
        <v>94</v>
      </c>
      <c r="J2058" s="141">
        <v>20820</v>
      </c>
      <c r="K2058" s="238">
        <v>1957080</v>
      </c>
      <c r="L2058" s="118" t="s">
        <v>237</v>
      </c>
      <c r="M2058" s="118" t="s">
        <v>163</v>
      </c>
      <c r="N2058" s="25" t="str">
        <f>IF(AND('331-CT'!$E$7=TH!H2058,OR(L2058="331",M2058="331")),"331",IF(AND(OR(L2058="131",M2058="131"),H2058='131-CT'!$E$7),"131",""))</f>
        <v>131</v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21"/>
    </row>
    <row r="2059" spans="1:26" ht="15.75" customHeight="1">
      <c r="A2059" s="125" t="str">
        <f>IF(B2059&lt;&gt;"",IF(AND(B2059&gt;=_TM1,B2059&lt;=_TM2,OR(TH!L2059="1111",TH!M2059="1111")),TH!D2059,""),"")</f>
        <v/>
      </c>
      <c r="B2059" s="11">
        <f t="shared" si="164"/>
        <v>11</v>
      </c>
      <c r="C2059" s="115">
        <v>40857</v>
      </c>
      <c r="D2059" s="115" t="s">
        <v>916</v>
      </c>
      <c r="E2059" s="115">
        <v>40857</v>
      </c>
      <c r="F2059" s="116" t="s">
        <v>1201</v>
      </c>
      <c r="G2059" s="224" t="s">
        <v>1235</v>
      </c>
      <c r="H2059" s="117" t="s">
        <v>709</v>
      </c>
      <c r="I2059" s="141">
        <v>58</v>
      </c>
      <c r="J2059" s="141">
        <v>26203</v>
      </c>
      <c r="K2059" s="238">
        <v>1519774</v>
      </c>
      <c r="L2059" s="118" t="s">
        <v>237</v>
      </c>
      <c r="M2059" s="118" t="s">
        <v>163</v>
      </c>
      <c r="N2059" s="25" t="str">
        <f>IF(AND('331-CT'!$E$7=TH!H2059,OR(L2059="331",M2059="331")),"331",IF(AND(OR(L2059="131",M2059="131"),H2059='131-CT'!$E$7),"131",""))</f>
        <v>131</v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21"/>
    </row>
    <row r="2060" spans="1:26" ht="15.75" customHeight="1">
      <c r="A2060" s="125" t="str">
        <f>IF(B2060&lt;&gt;"",IF(AND(B2060&gt;=_TM1,B2060&lt;=_TM2,OR(TH!L2060="1111",TH!M2060="1111")),TH!D2060,""),"")</f>
        <v/>
      </c>
      <c r="B2060" s="11">
        <f t="shared" si="164"/>
        <v>11</v>
      </c>
      <c r="C2060" s="115">
        <v>40857</v>
      </c>
      <c r="D2060" s="115" t="s">
        <v>916</v>
      </c>
      <c r="E2060" s="115">
        <v>40857</v>
      </c>
      <c r="F2060" s="116" t="s">
        <v>1202</v>
      </c>
      <c r="G2060" s="224" t="s">
        <v>1235</v>
      </c>
      <c r="H2060" s="117" t="s">
        <v>709</v>
      </c>
      <c r="I2060" s="141">
        <v>4</v>
      </c>
      <c r="J2060" s="141">
        <v>11355</v>
      </c>
      <c r="K2060" s="238">
        <v>45420</v>
      </c>
      <c r="L2060" s="118" t="s">
        <v>237</v>
      </c>
      <c r="M2060" s="118" t="s">
        <v>163</v>
      </c>
      <c r="N2060" s="25" t="str">
        <f>IF(AND('331-CT'!$E$7=TH!H2060,OR(L2060="331",M2060="331")),"331",IF(AND(OR(L2060="131",M2060="131"),H2060='131-CT'!$E$7),"131",""))</f>
        <v>131</v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21"/>
    </row>
    <row r="2061" spans="1:26" ht="15.75" customHeight="1">
      <c r="A2061" s="125" t="str">
        <f>IF(B2061&lt;&gt;"",IF(AND(B2061&gt;=_TM1,B2061&lt;=_TM2,OR(TH!L2061="1111",TH!M2061="1111")),TH!D2061,""),"")</f>
        <v/>
      </c>
      <c r="B2061" s="11">
        <f t="shared" si="164"/>
        <v>11</v>
      </c>
      <c r="C2061" s="115">
        <v>40857</v>
      </c>
      <c r="D2061" s="115" t="s">
        <v>916</v>
      </c>
      <c r="E2061" s="115">
        <v>40857</v>
      </c>
      <c r="F2061" s="116" t="s">
        <v>1203</v>
      </c>
      <c r="G2061" s="224" t="s">
        <v>1235</v>
      </c>
      <c r="H2061" s="117" t="s">
        <v>709</v>
      </c>
      <c r="I2061" s="141">
        <v>1</v>
      </c>
      <c r="J2061" s="141">
        <v>11420</v>
      </c>
      <c r="K2061" s="238">
        <v>11420</v>
      </c>
      <c r="L2061" s="118" t="s">
        <v>237</v>
      </c>
      <c r="M2061" s="118" t="s">
        <v>163</v>
      </c>
      <c r="N2061" s="25" t="str">
        <f>IF(AND('331-CT'!$E$7=TH!H2061,OR(L2061="331",M2061="331")),"331",IF(AND(OR(L2061="131",M2061="131"),H2061='131-CT'!$E$7),"131",""))</f>
        <v>131</v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21"/>
    </row>
    <row r="2062" spans="1:26" ht="15.75" customHeight="1">
      <c r="A2062" s="125" t="str">
        <f>IF(B2062&lt;&gt;"",IF(AND(B2062&gt;=_TM1,B2062&lt;=_TM2,OR(TH!L2062="1111",TH!M2062="1111")),TH!D2062,""),"")</f>
        <v/>
      </c>
      <c r="B2062" s="11">
        <f t="shared" si="164"/>
        <v>11</v>
      </c>
      <c r="C2062" s="115">
        <v>40857</v>
      </c>
      <c r="D2062" s="115" t="s">
        <v>916</v>
      </c>
      <c r="E2062" s="115">
        <v>40857</v>
      </c>
      <c r="F2062" s="116" t="s">
        <v>1204</v>
      </c>
      <c r="G2062" s="224" t="s">
        <v>1235</v>
      </c>
      <c r="H2062" s="117" t="s">
        <v>709</v>
      </c>
      <c r="I2062" s="141">
        <v>5</v>
      </c>
      <c r="J2062" s="141">
        <v>14450</v>
      </c>
      <c r="K2062" s="238">
        <v>72250</v>
      </c>
      <c r="L2062" s="118" t="s">
        <v>237</v>
      </c>
      <c r="M2062" s="118" t="s">
        <v>163</v>
      </c>
      <c r="N2062" s="25" t="str">
        <f>IF(AND('331-CT'!$E$7=TH!H2062,OR(L2062="331",M2062="331")),"331",IF(AND(OR(L2062="131",M2062="131"),H2062='131-CT'!$E$7),"131",""))</f>
        <v>131</v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21"/>
    </row>
    <row r="2063" spans="1:26" ht="15.75" customHeight="1">
      <c r="A2063" s="125" t="str">
        <f>IF(B2063&lt;&gt;"",IF(AND(B2063&gt;=_TM1,B2063&lt;=_TM2,OR(TH!L2063="1111",TH!M2063="1111")),TH!D2063,""),"")</f>
        <v/>
      </c>
      <c r="B2063" s="11">
        <f t="shared" si="164"/>
        <v>11</v>
      </c>
      <c r="C2063" s="115">
        <v>40857</v>
      </c>
      <c r="D2063" s="115" t="s">
        <v>916</v>
      </c>
      <c r="E2063" s="115">
        <v>40857</v>
      </c>
      <c r="F2063" s="116" t="s">
        <v>1205</v>
      </c>
      <c r="G2063" s="224" t="s">
        <v>1235</v>
      </c>
      <c r="H2063" s="117" t="s">
        <v>709</v>
      </c>
      <c r="I2063" s="141">
        <v>80</v>
      </c>
      <c r="J2063" s="141">
        <v>13881</v>
      </c>
      <c r="K2063" s="238">
        <v>1110480</v>
      </c>
      <c r="L2063" s="118" t="s">
        <v>237</v>
      </c>
      <c r="M2063" s="118" t="s">
        <v>163</v>
      </c>
      <c r="N2063" s="25" t="str">
        <f>IF(AND('331-CT'!$E$7=TH!H2063,OR(L2063="331",M2063="331")),"331",IF(AND(OR(L2063="131",M2063="131"),H2063='131-CT'!$E$7),"131",""))</f>
        <v>131</v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21"/>
    </row>
    <row r="2064" spans="1:26" ht="15.75" customHeight="1">
      <c r="A2064" s="125" t="str">
        <f>IF(B2064&lt;&gt;"",IF(AND(B2064&gt;=_TM1,B2064&lt;=_TM2,OR(TH!L2064="1111",TH!M2064="1111")),TH!D2064,""),"")</f>
        <v/>
      </c>
      <c r="B2064" s="11">
        <f t="shared" si="164"/>
        <v>11</v>
      </c>
      <c r="C2064" s="115">
        <v>40857</v>
      </c>
      <c r="D2064" s="115" t="s">
        <v>916</v>
      </c>
      <c r="E2064" s="115">
        <v>40857</v>
      </c>
      <c r="F2064" s="116" t="s">
        <v>1206</v>
      </c>
      <c r="G2064" s="224" t="s">
        <v>1235</v>
      </c>
      <c r="H2064" s="117" t="s">
        <v>709</v>
      </c>
      <c r="I2064" s="141">
        <v>4</v>
      </c>
      <c r="J2064" s="141">
        <v>20891</v>
      </c>
      <c r="K2064" s="238">
        <v>83564</v>
      </c>
      <c r="L2064" s="118" t="s">
        <v>237</v>
      </c>
      <c r="M2064" s="118" t="s">
        <v>163</v>
      </c>
      <c r="N2064" s="25" t="str">
        <f>IF(AND('331-CT'!$E$7=TH!H2064,OR(L2064="331",M2064="331")),"331",IF(AND(OR(L2064="131",M2064="131"),H2064='131-CT'!$E$7),"131",""))</f>
        <v>131</v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21"/>
    </row>
    <row r="2065" spans="1:26" ht="15.75" customHeight="1">
      <c r="A2065" s="125" t="str">
        <f>IF(B2065&lt;&gt;"",IF(AND(B2065&gt;=_TM1,B2065&lt;=_TM2,OR(TH!L2065="1111",TH!M2065="1111")),TH!D2065,""),"")</f>
        <v/>
      </c>
      <c r="B2065" s="11">
        <f t="shared" si="164"/>
        <v>11</v>
      </c>
      <c r="C2065" s="115">
        <v>40857</v>
      </c>
      <c r="D2065" s="115" t="s">
        <v>916</v>
      </c>
      <c r="E2065" s="115">
        <v>40857</v>
      </c>
      <c r="F2065" s="116" t="s">
        <v>1207</v>
      </c>
      <c r="G2065" s="224" t="s">
        <v>1235</v>
      </c>
      <c r="H2065" s="117" t="s">
        <v>709</v>
      </c>
      <c r="I2065" s="141">
        <v>3</v>
      </c>
      <c r="J2065" s="141">
        <v>16534</v>
      </c>
      <c r="K2065" s="238">
        <v>49602</v>
      </c>
      <c r="L2065" s="118" t="s">
        <v>237</v>
      </c>
      <c r="M2065" s="118" t="s">
        <v>163</v>
      </c>
      <c r="N2065" s="25" t="str">
        <f>IF(AND('331-CT'!$E$7=TH!H2065,OR(L2065="331",M2065="331")),"331",IF(AND(OR(L2065="131",M2065="131"),H2065='131-CT'!$E$7),"131",""))</f>
        <v>131</v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21"/>
    </row>
    <row r="2066" spans="1:26" ht="15.75" customHeight="1">
      <c r="A2066" s="125" t="str">
        <f>IF(B2066&lt;&gt;"",IF(AND(B2066&gt;=_TM1,B2066&lt;=_TM2,OR(TH!L2066="1111",TH!M2066="1111")),TH!D2066,""),"")</f>
        <v/>
      </c>
      <c r="B2066" s="11">
        <f t="shared" si="164"/>
        <v>11</v>
      </c>
      <c r="C2066" s="115">
        <v>40857</v>
      </c>
      <c r="D2066" s="115" t="s">
        <v>916</v>
      </c>
      <c r="E2066" s="115">
        <v>40857</v>
      </c>
      <c r="F2066" s="116" t="s">
        <v>1206</v>
      </c>
      <c r="G2066" s="224" t="s">
        <v>1235</v>
      </c>
      <c r="H2066" s="117" t="s">
        <v>709</v>
      </c>
      <c r="I2066" s="141">
        <v>4</v>
      </c>
      <c r="J2066" s="141">
        <v>20981</v>
      </c>
      <c r="K2066" s="238">
        <v>83924</v>
      </c>
      <c r="L2066" s="118" t="s">
        <v>237</v>
      </c>
      <c r="M2066" s="118" t="s">
        <v>163</v>
      </c>
      <c r="N2066" s="25" t="str">
        <f>IF(AND('331-CT'!$E$7=TH!H2066,OR(L2066="331",M2066="331")),"331",IF(AND(OR(L2066="131",M2066="131"),H2066='131-CT'!$E$7),"131",""))</f>
        <v>131</v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21"/>
    </row>
    <row r="2067" spans="1:26" ht="15.75" customHeight="1">
      <c r="A2067" s="125" t="str">
        <f>IF(B2067&lt;&gt;"",IF(AND(B2067&gt;=_TM1,B2067&lt;=_TM2,OR(TH!L2067="1111",TH!M2067="1111")),TH!D2067,""),"")</f>
        <v/>
      </c>
      <c r="B2067" s="11">
        <f t="shared" si="164"/>
        <v>11</v>
      </c>
      <c r="C2067" s="115">
        <v>40857</v>
      </c>
      <c r="D2067" s="115" t="s">
        <v>916</v>
      </c>
      <c r="E2067" s="115">
        <v>40857</v>
      </c>
      <c r="F2067" s="116" t="s">
        <v>1234</v>
      </c>
      <c r="G2067" s="224" t="s">
        <v>1235</v>
      </c>
      <c r="H2067" s="117" t="s">
        <v>709</v>
      </c>
      <c r="I2067" s="141">
        <v>3</v>
      </c>
      <c r="J2067" s="141">
        <v>12847</v>
      </c>
      <c r="K2067" s="238">
        <v>38541</v>
      </c>
      <c r="L2067" s="118" t="s">
        <v>237</v>
      </c>
      <c r="M2067" s="118" t="s">
        <v>163</v>
      </c>
      <c r="N2067" s="25" t="str">
        <f>IF(AND('331-CT'!$E$7=TH!H2067,OR(L2067="331",M2067="331")),"331",IF(AND(OR(L2067="131",M2067="131"),H2067='131-CT'!$E$7),"131",""))</f>
        <v>131</v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21"/>
    </row>
    <row r="2068" spans="1:26" ht="15.75" customHeight="1">
      <c r="A2068" s="125" t="str">
        <f>IF(B2068&lt;&gt;"",IF(AND(B2068&gt;=_TM1,B2068&lt;=_TM2,OR(TH!L2068="1111",TH!M2068="1111")),TH!D2068,""),"")</f>
        <v/>
      </c>
      <c r="B2068" s="11">
        <f t="shared" si="164"/>
        <v>11</v>
      </c>
      <c r="C2068" s="115">
        <v>40857</v>
      </c>
      <c r="D2068" s="115" t="s">
        <v>916</v>
      </c>
      <c r="E2068" s="115">
        <v>40857</v>
      </c>
      <c r="F2068" s="116" t="s">
        <v>1236</v>
      </c>
      <c r="G2068" s="224" t="s">
        <v>1235</v>
      </c>
      <c r="H2068" s="117" t="s">
        <v>709</v>
      </c>
      <c r="I2068" s="141">
        <v>6</v>
      </c>
      <c r="J2068" s="141">
        <v>17321</v>
      </c>
      <c r="K2068" s="238">
        <v>103926</v>
      </c>
      <c r="L2068" s="118" t="s">
        <v>237</v>
      </c>
      <c r="M2068" s="118" t="s">
        <v>163</v>
      </c>
      <c r="N2068" s="25" t="str">
        <f>IF(AND('331-CT'!$E$7=TH!H2068,OR(L2068="331",M2068="331")),"331",IF(AND(OR(L2068="131",M2068="131"),H2068='131-CT'!$E$7),"131",""))</f>
        <v>131</v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21"/>
    </row>
    <row r="2069" spans="1:26" ht="15.75" customHeight="1">
      <c r="A2069" s="125" t="str">
        <f>IF(B2069&lt;&gt;"",IF(AND(B2069&gt;=_TM1,B2069&lt;=_TM2,OR(TH!L2069="1111",TH!M2069="1111")),TH!D2069,""),"")</f>
        <v/>
      </c>
      <c r="B2069" s="11">
        <f t="shared" si="164"/>
        <v>11</v>
      </c>
      <c r="C2069" s="115">
        <v>40857</v>
      </c>
      <c r="D2069" s="115" t="s">
        <v>916</v>
      </c>
      <c r="E2069" s="115">
        <v>40857</v>
      </c>
      <c r="F2069" s="116" t="s">
        <v>1208</v>
      </c>
      <c r="G2069" s="224" t="s">
        <v>1235</v>
      </c>
      <c r="H2069" s="117" t="s">
        <v>709</v>
      </c>
      <c r="I2069" s="141">
        <v>42</v>
      </c>
      <c r="J2069" s="141">
        <v>15669</v>
      </c>
      <c r="K2069" s="238">
        <v>658098</v>
      </c>
      <c r="L2069" s="118" t="s">
        <v>237</v>
      </c>
      <c r="M2069" s="118" t="s">
        <v>163</v>
      </c>
      <c r="N2069" s="25" t="str">
        <f>IF(AND('331-CT'!$E$7=TH!H2069,OR(L2069="331",M2069="331")),"331",IF(AND(OR(L2069="131",M2069="131"),H2069='131-CT'!$E$7),"131",""))</f>
        <v>131</v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21"/>
    </row>
    <row r="2070" spans="1:26" ht="15.75" customHeight="1">
      <c r="A2070" s="125" t="str">
        <f>IF(B2070&lt;&gt;"",IF(AND(B2070&gt;=_TM1,B2070&lt;=_TM2,OR(TH!L2070="1111",TH!M2070="1111")),TH!D2070,""),"")</f>
        <v/>
      </c>
      <c r="B2070" s="11">
        <f t="shared" ref="B2070:B2133" si="167">IF(C2070&lt;&gt;"",MONTH(C2070),"")</f>
        <v>11</v>
      </c>
      <c r="C2070" s="115">
        <v>40857</v>
      </c>
      <c r="D2070" s="115" t="s">
        <v>916</v>
      </c>
      <c r="E2070" s="115">
        <v>40857</v>
      </c>
      <c r="F2070" s="116" t="s">
        <v>1209</v>
      </c>
      <c r="G2070" s="224" t="s">
        <v>1235</v>
      </c>
      <c r="H2070" s="117" t="s">
        <v>709</v>
      </c>
      <c r="I2070" s="141">
        <v>43</v>
      </c>
      <c r="J2070" s="141">
        <v>17372</v>
      </c>
      <c r="K2070" s="238">
        <v>746996</v>
      </c>
      <c r="L2070" s="118" t="s">
        <v>237</v>
      </c>
      <c r="M2070" s="118" t="s">
        <v>163</v>
      </c>
      <c r="N2070" s="25" t="str">
        <f>IF(AND('331-CT'!$E$7=TH!H2070,OR(L2070="331",M2070="331")),"331",IF(AND(OR(L2070="131",M2070="131"),H2070='131-CT'!$E$7),"131",""))</f>
        <v>131</v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21"/>
    </row>
    <row r="2071" spans="1:26" ht="15.75" customHeight="1">
      <c r="A2071" s="125" t="str">
        <f>IF(B2071&lt;&gt;"",IF(AND(B2071&gt;=_TM1,B2071&lt;=_TM2,OR(TH!L2071="1111",TH!M2071="1111")),TH!D2071,""),"")</f>
        <v/>
      </c>
      <c r="B2071" s="11">
        <f t="shared" si="167"/>
        <v>11</v>
      </c>
      <c r="C2071" s="115">
        <v>40857</v>
      </c>
      <c r="D2071" s="115" t="s">
        <v>916</v>
      </c>
      <c r="E2071" s="115">
        <v>40857</v>
      </c>
      <c r="F2071" s="116" t="s">
        <v>1237</v>
      </c>
      <c r="G2071" s="224" t="s">
        <v>1235</v>
      </c>
      <c r="H2071" s="117" t="s">
        <v>709</v>
      </c>
      <c r="I2071" s="141">
        <v>1112</v>
      </c>
      <c r="J2071" s="141">
        <v>13869</v>
      </c>
      <c r="K2071" s="238">
        <v>15422328</v>
      </c>
      <c r="L2071" s="118" t="s">
        <v>237</v>
      </c>
      <c r="M2071" s="118" t="s">
        <v>163</v>
      </c>
      <c r="N2071" s="25" t="str">
        <f>IF(AND('331-CT'!$E$7=TH!H2071,OR(L2071="331",M2071="331")),"331",IF(AND(OR(L2071="131",M2071="131"),H2071='131-CT'!$E$7),"131",""))</f>
        <v>131</v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21"/>
    </row>
    <row r="2072" spans="1:26" ht="15.75" customHeight="1">
      <c r="A2072" s="125" t="str">
        <f>IF(B2072&lt;&gt;"",IF(AND(B2072&gt;=_TM1,B2072&lt;=_TM2,OR(TH!L2072="1111",TH!M2072="1111")),TH!D2072,""),"")</f>
        <v/>
      </c>
      <c r="B2072" s="11">
        <f t="shared" si="167"/>
        <v>11</v>
      </c>
      <c r="C2072" s="115">
        <v>40857</v>
      </c>
      <c r="D2072" s="115" t="s">
        <v>916</v>
      </c>
      <c r="E2072" s="115">
        <v>40857</v>
      </c>
      <c r="F2072" s="116" t="s">
        <v>1238</v>
      </c>
      <c r="G2072" s="224" t="s">
        <v>1235</v>
      </c>
      <c r="H2072" s="117" t="s">
        <v>709</v>
      </c>
      <c r="I2072" s="141">
        <v>1000</v>
      </c>
      <c r="J2072" s="141">
        <v>14230</v>
      </c>
      <c r="K2072" s="238">
        <v>14230000</v>
      </c>
      <c r="L2072" s="118" t="s">
        <v>237</v>
      </c>
      <c r="M2072" s="118" t="s">
        <v>163</v>
      </c>
      <c r="N2072" s="25" t="str">
        <f>IF(AND('331-CT'!$E$7=TH!H2072,OR(L2072="331",M2072="331")),"331",IF(AND(OR(L2072="131",M2072="131"),H2072='131-CT'!$E$7),"131",""))</f>
        <v>131</v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21"/>
    </row>
    <row r="2073" spans="1:26" ht="15.75" customHeight="1">
      <c r="A2073" s="125" t="str">
        <f>IF(B2073&lt;&gt;"",IF(AND(B2073&gt;=_TM1,B2073&lt;=_TM2,OR(TH!L2073="1111",TH!M2073="1111")),TH!D2073,""),"")</f>
        <v/>
      </c>
      <c r="B2073" s="11">
        <f t="shared" si="167"/>
        <v>11</v>
      </c>
      <c r="C2073" s="115">
        <v>40857</v>
      </c>
      <c r="D2073" s="115" t="s">
        <v>916</v>
      </c>
      <c r="E2073" s="115">
        <v>40857</v>
      </c>
      <c r="F2073" s="116" t="s">
        <v>1239</v>
      </c>
      <c r="G2073" s="224" t="s">
        <v>1235</v>
      </c>
      <c r="H2073" s="117" t="s">
        <v>709</v>
      </c>
      <c r="I2073" s="141">
        <v>25</v>
      </c>
      <c r="J2073" s="141">
        <v>9024</v>
      </c>
      <c r="K2073" s="238">
        <v>225600</v>
      </c>
      <c r="L2073" s="118" t="s">
        <v>237</v>
      </c>
      <c r="M2073" s="118" t="s">
        <v>163</v>
      </c>
      <c r="N2073" s="25" t="str">
        <f>IF(AND('331-CT'!$E$7=TH!H2073,OR(L2073="331",M2073="331")),"331",IF(AND(OR(L2073="131",M2073="131"),H2073='131-CT'!$E$7),"131",""))</f>
        <v>131</v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21"/>
    </row>
    <row r="2074" spans="1:26" ht="15.75" customHeight="1">
      <c r="A2074" s="125" t="str">
        <f>IF(B2074&lt;&gt;"",IF(AND(B2074&gt;=_TM1,B2074&lt;=_TM2,OR(TH!L2074="1111",TH!M2074="1111")),TH!D2074,""),"")</f>
        <v/>
      </c>
      <c r="B2074" s="11">
        <f t="shared" si="167"/>
        <v>11</v>
      </c>
      <c r="C2074" s="115">
        <v>40857</v>
      </c>
      <c r="D2074" s="115" t="s">
        <v>916</v>
      </c>
      <c r="E2074" s="115">
        <v>40857</v>
      </c>
      <c r="F2074" s="116" t="s">
        <v>1240</v>
      </c>
      <c r="G2074" s="224" t="s">
        <v>1235</v>
      </c>
      <c r="H2074" s="117" t="s">
        <v>709</v>
      </c>
      <c r="I2074" s="141">
        <v>2</v>
      </c>
      <c r="J2074" s="141">
        <v>4181</v>
      </c>
      <c r="K2074" s="238">
        <v>8362</v>
      </c>
      <c r="L2074" s="118" t="s">
        <v>237</v>
      </c>
      <c r="M2074" s="118" t="s">
        <v>163</v>
      </c>
      <c r="N2074" s="25" t="str">
        <f>IF(AND('331-CT'!$E$7=TH!H2074,OR(L2074="331",M2074="331")),"331",IF(AND(OR(L2074="131",M2074="131"),H2074='131-CT'!$E$7),"131",""))</f>
        <v>131</v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21"/>
    </row>
    <row r="2075" spans="1:26" ht="15.75" customHeight="1">
      <c r="A2075" s="125" t="str">
        <f>IF(B2075&lt;&gt;"",IF(AND(B2075&gt;=_TM1,B2075&lt;=_TM2,OR(TH!L2075="1111",TH!M2075="1111")),TH!D2075,""),"")</f>
        <v/>
      </c>
      <c r="B2075" s="11">
        <f t="shared" si="167"/>
        <v>11</v>
      </c>
      <c r="C2075" s="115">
        <v>40857</v>
      </c>
      <c r="D2075" s="115" t="s">
        <v>916</v>
      </c>
      <c r="E2075" s="115">
        <v>40857</v>
      </c>
      <c r="F2075" s="116" t="s">
        <v>1121</v>
      </c>
      <c r="G2075" s="224" t="s">
        <v>1235</v>
      </c>
      <c r="H2075" s="117" t="s">
        <v>709</v>
      </c>
      <c r="I2075" s="141"/>
      <c r="J2075" s="141"/>
      <c r="K2075" s="238">
        <v>3666497</v>
      </c>
      <c r="L2075" s="118" t="s">
        <v>237</v>
      </c>
      <c r="M2075" s="118" t="s">
        <v>707</v>
      </c>
      <c r="N2075" s="25" t="str">
        <f>IF(AND('331-CT'!$E$7=TH!H2075,OR(L2075="331",M2075="331")),"331",IF(AND(OR(L2075="131",M2075="131"),H2075='131-CT'!$E$7),"131",""))</f>
        <v>131</v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21"/>
    </row>
    <row r="2076" spans="1:26" ht="15.75" customHeight="1">
      <c r="A2076" s="125" t="str">
        <f>IF(B2076&lt;&gt;"",IF(AND(B2076&gt;=_TM1,B2076&lt;=_TM2,OR(TH!L2076="1111",TH!M2076="1111")),TH!D2076,""),"")</f>
        <v/>
      </c>
      <c r="B2076" s="281">
        <f t="shared" si="167"/>
        <v>11</v>
      </c>
      <c r="C2076" s="324">
        <f t="shared" ref="C2076:C2111" si="168">E2076</f>
        <v>40857</v>
      </c>
      <c r="D2076" s="21" t="s">
        <v>1070</v>
      </c>
      <c r="E2076" s="354">
        <v>40857</v>
      </c>
      <c r="F2076" s="22" t="s">
        <v>1199</v>
      </c>
      <c r="G2076" s="22"/>
      <c r="H2076" s="332" t="s">
        <v>1037</v>
      </c>
      <c r="I2076" s="139">
        <v>20</v>
      </c>
      <c r="J2076" s="139">
        <v>9649.9581858454421</v>
      </c>
      <c r="K2076" s="285">
        <f t="shared" ref="K2076:K2111" si="169">ROUND(I2076*J2076,0)</f>
        <v>192999</v>
      </c>
      <c r="L2076" s="25" t="s">
        <v>155</v>
      </c>
      <c r="M2076" s="25" t="s">
        <v>153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308"/>
    </row>
    <row r="2077" spans="1:26" ht="15.75" customHeight="1">
      <c r="A2077" s="125" t="str">
        <f>IF(B2077&lt;&gt;"",IF(AND(B2077&gt;=_TM1,B2077&lt;=_TM2,OR(TH!L2077="1111",TH!M2077="1111")),TH!D2077,""),"")</f>
        <v/>
      </c>
      <c r="B2077" s="281">
        <f t="shared" si="167"/>
        <v>11</v>
      </c>
      <c r="C2077" s="324">
        <f t="shared" si="168"/>
        <v>40857</v>
      </c>
      <c r="D2077" s="21" t="s">
        <v>1070</v>
      </c>
      <c r="E2077" s="354">
        <v>40857</v>
      </c>
      <c r="F2077" s="22" t="s">
        <v>1200</v>
      </c>
      <c r="G2077" s="22"/>
      <c r="H2077" s="332" t="s">
        <v>1037</v>
      </c>
      <c r="I2077" s="139">
        <v>94</v>
      </c>
      <c r="J2077" s="139">
        <v>18666.497547547569</v>
      </c>
      <c r="K2077" s="285">
        <f t="shared" si="169"/>
        <v>1754651</v>
      </c>
      <c r="L2077" s="25" t="s">
        <v>155</v>
      </c>
      <c r="M2077" s="25" t="s">
        <v>153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308"/>
    </row>
    <row r="2078" spans="1:26" ht="15.75" customHeight="1">
      <c r="A2078" s="125" t="str">
        <f>IF(B2078&lt;&gt;"",IF(AND(B2078&gt;=_TM1,B2078&lt;=_TM2,OR(TH!L2078="1111",TH!M2078="1111")),TH!D2078,""),"")</f>
        <v/>
      </c>
      <c r="B2078" s="281">
        <f t="shared" si="167"/>
        <v>11</v>
      </c>
      <c r="C2078" s="324">
        <f t="shared" si="168"/>
        <v>40857</v>
      </c>
      <c r="D2078" s="21" t="s">
        <v>1070</v>
      </c>
      <c r="E2078" s="354">
        <v>40857</v>
      </c>
      <c r="F2078" s="22" t="s">
        <v>1201</v>
      </c>
      <c r="G2078" s="22"/>
      <c r="H2078" s="332" t="s">
        <v>1037</v>
      </c>
      <c r="I2078" s="139">
        <v>58</v>
      </c>
      <c r="J2078" s="139">
        <v>21576.490944466135</v>
      </c>
      <c r="K2078" s="285">
        <f t="shared" si="169"/>
        <v>1251436</v>
      </c>
      <c r="L2078" s="25" t="s">
        <v>155</v>
      </c>
      <c r="M2078" s="25" t="s">
        <v>153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308"/>
    </row>
    <row r="2079" spans="1:26" ht="15.75" customHeight="1">
      <c r="A2079" s="125" t="str">
        <f>IF(B2079&lt;&gt;"",IF(AND(B2079&gt;=_TM1,B2079&lt;=_TM2,OR(TH!L2079="1111",TH!M2079="1111")),TH!D2079,""),"")</f>
        <v/>
      </c>
      <c r="B2079" s="281">
        <f t="shared" si="167"/>
        <v>11</v>
      </c>
      <c r="C2079" s="324">
        <f t="shared" si="168"/>
        <v>40857</v>
      </c>
      <c r="D2079" s="21" t="s">
        <v>1070</v>
      </c>
      <c r="E2079" s="354">
        <v>40857</v>
      </c>
      <c r="F2079" s="22" t="s">
        <v>1202</v>
      </c>
      <c r="G2079" s="22"/>
      <c r="H2079" s="332" t="s">
        <v>1037</v>
      </c>
      <c r="I2079" s="139">
        <v>4</v>
      </c>
      <c r="J2079" s="139">
        <v>9918.2581858454432</v>
      </c>
      <c r="K2079" s="285">
        <f t="shared" si="169"/>
        <v>39673</v>
      </c>
      <c r="L2079" s="25" t="s">
        <v>155</v>
      </c>
      <c r="M2079" s="25" t="s">
        <v>153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308"/>
    </row>
    <row r="2080" spans="1:26" ht="15.75" customHeight="1">
      <c r="A2080" s="125" t="str">
        <f>IF(B2080&lt;&gt;"",IF(AND(B2080&gt;=_TM1,B2080&lt;=_TM2,OR(TH!L2080="1111",TH!M2080="1111")),TH!D2080,""),"")</f>
        <v/>
      </c>
      <c r="B2080" s="281">
        <f t="shared" si="167"/>
        <v>11</v>
      </c>
      <c r="C2080" s="324">
        <f t="shared" si="168"/>
        <v>40857</v>
      </c>
      <c r="D2080" s="21" t="s">
        <v>1070</v>
      </c>
      <c r="E2080" s="354">
        <v>40857</v>
      </c>
      <c r="F2080" s="22" t="s">
        <v>1203</v>
      </c>
      <c r="G2080" s="22"/>
      <c r="H2080" s="332" t="s">
        <v>1037</v>
      </c>
      <c r="I2080" s="139">
        <v>1</v>
      </c>
      <c r="J2080" s="139">
        <v>9917.5081858454432</v>
      </c>
      <c r="K2080" s="285">
        <f t="shared" si="169"/>
        <v>9918</v>
      </c>
      <c r="L2080" s="25" t="s">
        <v>155</v>
      </c>
      <c r="M2080" s="25" t="s">
        <v>153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308"/>
    </row>
    <row r="2081" spans="1:26" ht="15.75" customHeight="1">
      <c r="A2081" s="125" t="str">
        <f>IF(B2081&lt;&gt;"",IF(AND(B2081&gt;=_TM1,B2081&lt;=_TM2,OR(TH!L2081="1111",TH!M2081="1111")),TH!D2081,""),"")</f>
        <v/>
      </c>
      <c r="B2081" s="281">
        <f t="shared" si="167"/>
        <v>11</v>
      </c>
      <c r="C2081" s="324">
        <f t="shared" si="168"/>
        <v>40857</v>
      </c>
      <c r="D2081" s="21" t="s">
        <v>1070</v>
      </c>
      <c r="E2081" s="354">
        <v>40857</v>
      </c>
      <c r="F2081" s="22" t="s">
        <v>1204</v>
      </c>
      <c r="G2081" s="22"/>
      <c r="H2081" s="332" t="s">
        <v>1037</v>
      </c>
      <c r="I2081" s="139">
        <v>5</v>
      </c>
      <c r="J2081" s="139">
        <v>13595.908185845441</v>
      </c>
      <c r="K2081" s="285">
        <f t="shared" si="169"/>
        <v>67980</v>
      </c>
      <c r="L2081" s="25" t="s">
        <v>155</v>
      </c>
      <c r="M2081" s="25" t="s">
        <v>153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308"/>
    </row>
    <row r="2082" spans="1:26" ht="15.75" customHeight="1">
      <c r="A2082" s="125" t="str">
        <f>IF(B2082&lt;&gt;"",IF(AND(B2082&gt;=_TM1,B2082&lt;=_TM2,OR(TH!L2082="1111",TH!M2082="1111")),TH!D2082,""),"")</f>
        <v/>
      </c>
      <c r="B2082" s="281">
        <f t="shared" si="167"/>
        <v>11</v>
      </c>
      <c r="C2082" s="324">
        <f t="shared" si="168"/>
        <v>40857</v>
      </c>
      <c r="D2082" s="21" t="s">
        <v>1070</v>
      </c>
      <c r="E2082" s="354">
        <v>40857</v>
      </c>
      <c r="F2082" s="22" t="s">
        <v>1205</v>
      </c>
      <c r="G2082" s="22"/>
      <c r="H2082" s="332" t="s">
        <v>1037</v>
      </c>
      <c r="I2082" s="139">
        <v>80</v>
      </c>
      <c r="J2082" s="139">
        <v>11437.495685845442</v>
      </c>
      <c r="K2082" s="285">
        <f t="shared" si="169"/>
        <v>915000</v>
      </c>
      <c r="L2082" s="25" t="s">
        <v>155</v>
      </c>
      <c r="M2082" s="25" t="s">
        <v>153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308"/>
    </row>
    <row r="2083" spans="1:26" ht="15.75" customHeight="1">
      <c r="A2083" s="125" t="str">
        <f>IF(B2083&lt;&gt;"",IF(AND(B2083&gt;=_TM1,B2083&lt;=_TM2,OR(TH!L2083="1111",TH!M2083="1111")),TH!D2083,""),"")</f>
        <v/>
      </c>
      <c r="B2083" s="281">
        <f t="shared" si="167"/>
        <v>11</v>
      </c>
      <c r="C2083" s="324">
        <f t="shared" si="168"/>
        <v>40857</v>
      </c>
      <c r="D2083" s="21" t="s">
        <v>1070</v>
      </c>
      <c r="E2083" s="354">
        <v>40857</v>
      </c>
      <c r="F2083" s="22" t="s">
        <v>1206</v>
      </c>
      <c r="G2083" s="22"/>
      <c r="H2083" s="332" t="s">
        <v>1037</v>
      </c>
      <c r="I2083" s="139">
        <v>4</v>
      </c>
      <c r="J2083" s="139">
        <v>18666.258185845447</v>
      </c>
      <c r="K2083" s="285">
        <f t="shared" si="169"/>
        <v>74665</v>
      </c>
      <c r="L2083" s="25" t="s">
        <v>155</v>
      </c>
      <c r="M2083" s="25" t="s">
        <v>153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308"/>
    </row>
    <row r="2084" spans="1:26" ht="15.75" customHeight="1">
      <c r="A2084" s="125" t="str">
        <f>IF(B2084&lt;&gt;"",IF(AND(B2084&gt;=_TM1,B2084&lt;=_TM2,OR(TH!L2084="1111",TH!M2084="1111")),TH!D2084,""),"")</f>
        <v/>
      </c>
      <c r="B2084" s="281">
        <f t="shared" si="167"/>
        <v>11</v>
      </c>
      <c r="C2084" s="324">
        <f t="shared" si="168"/>
        <v>40857</v>
      </c>
      <c r="D2084" s="21" t="s">
        <v>1070</v>
      </c>
      <c r="E2084" s="354">
        <v>40857</v>
      </c>
      <c r="F2084" s="22" t="s">
        <v>1207</v>
      </c>
      <c r="G2084" s="22"/>
      <c r="H2084" s="332" t="s">
        <v>1037</v>
      </c>
      <c r="I2084" s="139">
        <v>3</v>
      </c>
      <c r="J2084" s="139">
        <v>11117.174852512109</v>
      </c>
      <c r="K2084" s="285">
        <f t="shared" si="169"/>
        <v>33352</v>
      </c>
      <c r="L2084" s="25" t="s">
        <v>155</v>
      </c>
      <c r="M2084" s="25" t="s">
        <v>153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308"/>
    </row>
    <row r="2085" spans="1:26" ht="15.75" customHeight="1">
      <c r="A2085" s="125" t="str">
        <f>IF(B2085&lt;&gt;"",IF(AND(B2085&gt;=_TM1,B2085&lt;=_TM2,OR(TH!L2085="1111",TH!M2085="1111")),TH!D2085,""),"")</f>
        <v/>
      </c>
      <c r="B2085" s="281">
        <f t="shared" si="167"/>
        <v>11</v>
      </c>
      <c r="C2085" s="324">
        <f t="shared" si="168"/>
        <v>40857</v>
      </c>
      <c r="D2085" s="21" t="s">
        <v>1071</v>
      </c>
      <c r="E2085" s="354">
        <v>40857</v>
      </c>
      <c r="F2085" s="22" t="s">
        <v>1206</v>
      </c>
      <c r="G2085" s="22"/>
      <c r="H2085" s="332" t="s">
        <v>1037</v>
      </c>
      <c r="I2085" s="139">
        <v>4</v>
      </c>
      <c r="J2085" s="139">
        <v>18666.258185845447</v>
      </c>
      <c r="K2085" s="285">
        <f t="shared" si="169"/>
        <v>74665</v>
      </c>
      <c r="L2085" s="25" t="s">
        <v>155</v>
      </c>
      <c r="M2085" s="25" t="s">
        <v>153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308"/>
    </row>
    <row r="2086" spans="1:26" ht="15.75" customHeight="1">
      <c r="A2086" s="125" t="str">
        <f>IF(B2086&lt;&gt;"",IF(AND(B2086&gt;=_TM1,B2086&lt;=_TM2,OR(TH!L2086="1111",TH!M2086="1111")),TH!D2086,""),"")</f>
        <v/>
      </c>
      <c r="B2086" s="281">
        <f t="shared" si="167"/>
        <v>11</v>
      </c>
      <c r="C2086" s="324">
        <f t="shared" si="168"/>
        <v>40857</v>
      </c>
      <c r="D2086" s="21" t="s">
        <v>1071</v>
      </c>
      <c r="E2086" s="354">
        <v>40857</v>
      </c>
      <c r="F2086" s="22" t="s">
        <v>1234</v>
      </c>
      <c r="G2086" s="22"/>
      <c r="H2086" s="332" t="s">
        <v>1037</v>
      </c>
      <c r="I2086" s="139">
        <v>3</v>
      </c>
      <c r="J2086" s="139">
        <v>10496.174852512109</v>
      </c>
      <c r="K2086" s="285">
        <f t="shared" si="169"/>
        <v>31489</v>
      </c>
      <c r="L2086" s="25" t="s">
        <v>155</v>
      </c>
      <c r="M2086" s="25" t="s">
        <v>153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308"/>
    </row>
    <row r="2087" spans="1:26" ht="15.75" customHeight="1">
      <c r="A2087" s="125" t="str">
        <f>IF(B2087&lt;&gt;"",IF(AND(B2087&gt;=_TM1,B2087&lt;=_TM2,OR(TH!L2087="1111",TH!M2087="1111")),TH!D2087,""),"")</f>
        <v/>
      </c>
      <c r="B2087" s="281">
        <f t="shared" si="167"/>
        <v>11</v>
      </c>
      <c r="C2087" s="324">
        <f t="shared" si="168"/>
        <v>40857</v>
      </c>
      <c r="D2087" s="21" t="s">
        <v>1071</v>
      </c>
      <c r="E2087" s="354">
        <v>40857</v>
      </c>
      <c r="F2087" s="22" t="s">
        <v>1236</v>
      </c>
      <c r="G2087" s="22"/>
      <c r="H2087" s="332" t="s">
        <v>1037</v>
      </c>
      <c r="I2087" s="139">
        <v>6</v>
      </c>
      <c r="J2087" s="139">
        <v>15403.341519178777</v>
      </c>
      <c r="K2087" s="285">
        <f t="shared" si="169"/>
        <v>92420</v>
      </c>
      <c r="L2087" s="25" t="s">
        <v>155</v>
      </c>
      <c r="M2087" s="25" t="s">
        <v>153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308"/>
    </row>
    <row r="2088" spans="1:26" ht="15.75" customHeight="1">
      <c r="A2088" s="125" t="str">
        <f>IF(B2088&lt;&gt;"",IF(AND(B2088&gt;=_TM1,B2088&lt;=_TM2,OR(TH!L2088="1111",TH!M2088="1111")),TH!D2088,""),"")</f>
        <v/>
      </c>
      <c r="B2088" s="281">
        <f t="shared" si="167"/>
        <v>11</v>
      </c>
      <c r="C2088" s="324">
        <f t="shared" si="168"/>
        <v>40857</v>
      </c>
      <c r="D2088" s="21" t="s">
        <v>1071</v>
      </c>
      <c r="E2088" s="354">
        <v>40857</v>
      </c>
      <c r="F2088" s="22" t="s">
        <v>1208</v>
      </c>
      <c r="G2088" s="22"/>
      <c r="H2088" s="332" t="s">
        <v>1037</v>
      </c>
      <c r="I2088" s="139">
        <v>42</v>
      </c>
      <c r="J2088" s="139">
        <v>14113.984376321636</v>
      </c>
      <c r="K2088" s="285">
        <f t="shared" si="169"/>
        <v>592787</v>
      </c>
      <c r="L2088" s="25" t="s">
        <v>155</v>
      </c>
      <c r="M2088" s="25" t="s">
        <v>153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308"/>
    </row>
    <row r="2089" spans="1:26" ht="15.75" customHeight="1">
      <c r="A2089" s="125" t="str">
        <f>IF(B2089&lt;&gt;"",IF(AND(B2089&gt;=_TM1,B2089&lt;=_TM2,OR(TH!L2089="1111",TH!M2089="1111")),TH!D2089,""),"")</f>
        <v/>
      </c>
      <c r="B2089" s="281">
        <f t="shared" si="167"/>
        <v>11</v>
      </c>
      <c r="C2089" s="324">
        <f t="shared" si="168"/>
        <v>40857</v>
      </c>
      <c r="D2089" s="21" t="s">
        <v>1071</v>
      </c>
      <c r="E2089" s="354">
        <v>40857</v>
      </c>
      <c r="F2089" s="22" t="s">
        <v>1209</v>
      </c>
      <c r="G2089" s="22"/>
      <c r="H2089" s="332" t="s">
        <v>1037</v>
      </c>
      <c r="I2089" s="139">
        <v>43</v>
      </c>
      <c r="J2089" s="139">
        <v>15731.508185845443</v>
      </c>
      <c r="K2089" s="285">
        <f t="shared" si="169"/>
        <v>676455</v>
      </c>
      <c r="L2089" s="25" t="s">
        <v>155</v>
      </c>
      <c r="M2089" s="25" t="s">
        <v>153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308"/>
    </row>
    <row r="2090" spans="1:26" ht="15.75" customHeight="1">
      <c r="A2090" s="125" t="str">
        <f>IF(B2090&lt;&gt;"",IF(AND(B2090&gt;=_TM1,B2090&lt;=_TM2,OR(TH!L2090="1111",TH!M2090="1111")),TH!D2090,""),"")</f>
        <v/>
      </c>
      <c r="B2090" s="281">
        <f t="shared" si="167"/>
        <v>11</v>
      </c>
      <c r="C2090" s="324">
        <f t="shared" si="168"/>
        <v>40857</v>
      </c>
      <c r="D2090" s="21" t="s">
        <v>1071</v>
      </c>
      <c r="E2090" s="354">
        <v>40857</v>
      </c>
      <c r="F2090" s="22" t="s">
        <v>1237</v>
      </c>
      <c r="G2090" s="22"/>
      <c r="H2090" s="332" t="s">
        <v>1037</v>
      </c>
      <c r="I2090" s="139">
        <v>1112</v>
      </c>
      <c r="J2090" s="139">
        <v>9642.2572865648672</v>
      </c>
      <c r="K2090" s="285">
        <f t="shared" si="169"/>
        <v>10722190</v>
      </c>
      <c r="L2090" s="25" t="s">
        <v>155</v>
      </c>
      <c r="M2090" s="25" t="s">
        <v>153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308"/>
    </row>
    <row r="2091" spans="1:26" ht="15.75" customHeight="1">
      <c r="A2091" s="125" t="str">
        <f>IF(B2091&lt;&gt;"",IF(AND(B2091&gt;=_TM1,B2091&lt;=_TM2,OR(TH!L2091="1111",TH!M2091="1111")),TH!D2091,""),"")</f>
        <v/>
      </c>
      <c r="B2091" s="281">
        <f t="shared" si="167"/>
        <v>11</v>
      </c>
      <c r="C2091" s="324">
        <f t="shared" si="168"/>
        <v>40857</v>
      </c>
      <c r="D2091" s="21" t="s">
        <v>1071</v>
      </c>
      <c r="E2091" s="354">
        <v>40857</v>
      </c>
      <c r="F2091" s="22" t="s">
        <v>1238</v>
      </c>
      <c r="G2091" s="22"/>
      <c r="H2091" s="332" t="s">
        <v>1037</v>
      </c>
      <c r="I2091" s="139">
        <v>1000</v>
      </c>
      <c r="J2091" s="139">
        <v>9642.257185845443</v>
      </c>
      <c r="K2091" s="285">
        <f t="shared" si="169"/>
        <v>9642257</v>
      </c>
      <c r="L2091" s="25" t="s">
        <v>155</v>
      </c>
      <c r="M2091" s="25" t="s">
        <v>153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308"/>
    </row>
    <row r="2092" spans="1:26" ht="15.75" customHeight="1">
      <c r="A2092" s="125" t="str">
        <f>IF(B2092&lt;&gt;"",IF(AND(B2092&gt;=_TM1,B2092&lt;=_TM2,OR(TH!L2092="1111",TH!M2092="1111")),TH!D2092,""),"")</f>
        <v/>
      </c>
      <c r="B2092" s="281">
        <f t="shared" si="167"/>
        <v>11</v>
      </c>
      <c r="C2092" s="324">
        <f t="shared" si="168"/>
        <v>40857</v>
      </c>
      <c r="D2092" s="21" t="s">
        <v>1071</v>
      </c>
      <c r="E2092" s="354">
        <v>40857</v>
      </c>
      <c r="F2092" s="22" t="s">
        <v>1239</v>
      </c>
      <c r="G2092" s="22"/>
      <c r="H2092" s="332" t="s">
        <v>1037</v>
      </c>
      <c r="I2092" s="139">
        <v>25</v>
      </c>
      <c r="J2092" s="139">
        <v>6878.6681858454422</v>
      </c>
      <c r="K2092" s="285">
        <f t="shared" si="169"/>
        <v>171967</v>
      </c>
      <c r="L2092" s="25" t="s">
        <v>155</v>
      </c>
      <c r="M2092" s="25" t="s">
        <v>153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308"/>
    </row>
    <row r="2093" spans="1:26" ht="15.75" customHeight="1">
      <c r="A2093" s="125" t="str">
        <f>IF(B2093&lt;&gt;"",IF(AND(B2093&gt;=_TM1,B2093&lt;=_TM2,OR(TH!L2093="1111",TH!M2093="1111")),TH!D2093,""),"")</f>
        <v/>
      </c>
      <c r="B2093" s="281">
        <f t="shared" si="167"/>
        <v>11</v>
      </c>
      <c r="C2093" s="324">
        <f t="shared" si="168"/>
        <v>40857</v>
      </c>
      <c r="D2093" s="21" t="s">
        <v>1071</v>
      </c>
      <c r="E2093" s="354">
        <v>40857</v>
      </c>
      <c r="F2093" s="22" t="s">
        <v>1240</v>
      </c>
      <c r="G2093" s="22"/>
      <c r="H2093" s="332" t="s">
        <v>1037</v>
      </c>
      <c r="I2093" s="139">
        <v>2</v>
      </c>
      <c r="J2093" s="139">
        <v>3522.5081858454428</v>
      </c>
      <c r="K2093" s="285">
        <f t="shared" si="169"/>
        <v>7045</v>
      </c>
      <c r="L2093" s="25" t="s">
        <v>155</v>
      </c>
      <c r="M2093" s="25" t="s">
        <v>153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308"/>
    </row>
    <row r="2094" spans="1:26" ht="15.75" customHeight="1">
      <c r="A2094" s="125" t="str">
        <f>IF(B2094&lt;&gt;"",IF(AND(B2094&gt;=_TM1,B2094&lt;=_TM2,OR(TH!L2094="1111",TH!M2094="1111")),TH!D2094,""),"")</f>
        <v/>
      </c>
      <c r="B2094" s="11">
        <f t="shared" si="167"/>
        <v>11</v>
      </c>
      <c r="C2094" s="115">
        <f t="shared" si="168"/>
        <v>40857</v>
      </c>
      <c r="D2094" s="12" t="s">
        <v>916</v>
      </c>
      <c r="E2094" s="304">
        <v>40857</v>
      </c>
      <c r="F2094" s="116" t="s">
        <v>1199</v>
      </c>
      <c r="G2094" s="224" t="s">
        <v>1235</v>
      </c>
      <c r="H2094" s="117" t="s">
        <v>709</v>
      </c>
      <c r="I2094" s="141">
        <v>20</v>
      </c>
      <c r="J2094" s="141">
        <v>9649.9581858454421</v>
      </c>
      <c r="K2094" s="330">
        <f t="shared" si="169"/>
        <v>192999</v>
      </c>
      <c r="L2094" s="319" t="s">
        <v>161</v>
      </c>
      <c r="M2094" s="319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21"/>
    </row>
    <row r="2095" spans="1:26" ht="15.75" customHeight="1">
      <c r="A2095" s="125" t="str">
        <f>IF(B2095&lt;&gt;"",IF(AND(B2095&gt;=_TM1,B2095&lt;=_TM2,OR(TH!L2095="1111",TH!M2095="1111")),TH!D2095,""),"")</f>
        <v/>
      </c>
      <c r="B2095" s="11">
        <f t="shared" si="167"/>
        <v>11</v>
      </c>
      <c r="C2095" s="115">
        <f t="shared" si="168"/>
        <v>40857</v>
      </c>
      <c r="D2095" s="12" t="s">
        <v>916</v>
      </c>
      <c r="E2095" s="303">
        <v>40857</v>
      </c>
      <c r="F2095" s="322" t="s">
        <v>1200</v>
      </c>
      <c r="G2095" s="224" t="s">
        <v>1235</v>
      </c>
      <c r="H2095" s="117" t="s">
        <v>709</v>
      </c>
      <c r="I2095" s="141">
        <v>94</v>
      </c>
      <c r="J2095" s="141">
        <v>18666.497547547569</v>
      </c>
      <c r="K2095" s="330">
        <f t="shared" si="169"/>
        <v>1754651</v>
      </c>
      <c r="L2095" s="319" t="s">
        <v>161</v>
      </c>
      <c r="M2095" s="319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21"/>
    </row>
    <row r="2096" spans="1:26" ht="15.75" customHeight="1">
      <c r="A2096" s="125" t="str">
        <f>IF(B2096&lt;&gt;"",IF(AND(B2096&gt;=_TM1,B2096&lt;=_TM2,OR(TH!L2096="1111",TH!M2096="1111")),TH!D2096,""),"")</f>
        <v/>
      </c>
      <c r="B2096" s="11">
        <f t="shared" si="167"/>
        <v>11</v>
      </c>
      <c r="C2096" s="115">
        <f t="shared" si="168"/>
        <v>40857</v>
      </c>
      <c r="D2096" s="12" t="s">
        <v>916</v>
      </c>
      <c r="E2096" s="303">
        <v>40857</v>
      </c>
      <c r="F2096" s="322" t="s">
        <v>1201</v>
      </c>
      <c r="G2096" s="224" t="s">
        <v>1235</v>
      </c>
      <c r="H2096" s="117" t="s">
        <v>709</v>
      </c>
      <c r="I2096" s="141">
        <v>58</v>
      </c>
      <c r="J2096" s="141">
        <v>21576.490944466135</v>
      </c>
      <c r="K2096" s="330">
        <f t="shared" si="169"/>
        <v>1251436</v>
      </c>
      <c r="L2096" s="319" t="s">
        <v>161</v>
      </c>
      <c r="M2096" s="319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21"/>
    </row>
    <row r="2097" spans="1:26" ht="15.75" customHeight="1">
      <c r="A2097" s="125" t="str">
        <f>IF(B2097&lt;&gt;"",IF(AND(B2097&gt;=_TM1,B2097&lt;=_TM2,OR(TH!L2097="1111",TH!M2097="1111")),TH!D2097,""),"")</f>
        <v/>
      </c>
      <c r="B2097" s="11">
        <f t="shared" si="167"/>
        <v>11</v>
      </c>
      <c r="C2097" s="115">
        <f t="shared" si="168"/>
        <v>40857</v>
      </c>
      <c r="D2097" s="12" t="s">
        <v>916</v>
      </c>
      <c r="E2097" s="303">
        <v>40857</v>
      </c>
      <c r="F2097" s="116" t="s">
        <v>1202</v>
      </c>
      <c r="G2097" s="224" t="s">
        <v>1235</v>
      </c>
      <c r="H2097" s="117" t="s">
        <v>709</v>
      </c>
      <c r="I2097" s="141">
        <v>4</v>
      </c>
      <c r="J2097" s="141">
        <v>9918.2581858454432</v>
      </c>
      <c r="K2097" s="330">
        <f t="shared" si="169"/>
        <v>39673</v>
      </c>
      <c r="L2097" s="319" t="s">
        <v>161</v>
      </c>
      <c r="M2097" s="319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21"/>
    </row>
    <row r="2098" spans="1:26" ht="15.75" customHeight="1">
      <c r="A2098" s="125" t="str">
        <f>IF(B2098&lt;&gt;"",IF(AND(B2098&gt;=_TM1,B2098&lt;=_TM2,OR(TH!L2098="1111",TH!M2098="1111")),TH!D2098,""),"")</f>
        <v/>
      </c>
      <c r="B2098" s="11">
        <f t="shared" si="167"/>
        <v>11</v>
      </c>
      <c r="C2098" s="115">
        <f t="shared" si="168"/>
        <v>40857</v>
      </c>
      <c r="D2098" s="12" t="s">
        <v>916</v>
      </c>
      <c r="E2098" s="303">
        <v>40857</v>
      </c>
      <c r="F2098" s="116" t="s">
        <v>1203</v>
      </c>
      <c r="G2098" s="224" t="s">
        <v>1235</v>
      </c>
      <c r="H2098" s="117" t="s">
        <v>709</v>
      </c>
      <c r="I2098" s="141">
        <v>1</v>
      </c>
      <c r="J2098" s="141">
        <v>9917.5081858454432</v>
      </c>
      <c r="K2098" s="330">
        <f t="shared" si="169"/>
        <v>9918</v>
      </c>
      <c r="L2098" s="319" t="s">
        <v>161</v>
      </c>
      <c r="M2098" s="319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21"/>
    </row>
    <row r="2099" spans="1:26" ht="15.75" customHeight="1">
      <c r="A2099" s="125" t="str">
        <f>IF(B2099&lt;&gt;"",IF(AND(B2099&gt;=_TM1,B2099&lt;=_TM2,OR(TH!L2099="1111",TH!M2099="1111")),TH!D2099,""),"")</f>
        <v/>
      </c>
      <c r="B2099" s="11">
        <f t="shared" si="167"/>
        <v>11</v>
      </c>
      <c r="C2099" s="115">
        <f t="shared" si="168"/>
        <v>40857</v>
      </c>
      <c r="D2099" s="12" t="s">
        <v>916</v>
      </c>
      <c r="E2099" s="304">
        <v>40857</v>
      </c>
      <c r="F2099" s="116" t="s">
        <v>1204</v>
      </c>
      <c r="G2099" s="224" t="s">
        <v>1235</v>
      </c>
      <c r="H2099" s="117" t="s">
        <v>709</v>
      </c>
      <c r="I2099" s="141">
        <v>5</v>
      </c>
      <c r="J2099" s="141">
        <v>13595.908185845441</v>
      </c>
      <c r="K2099" s="330">
        <f t="shared" si="169"/>
        <v>67980</v>
      </c>
      <c r="L2099" s="319" t="s">
        <v>161</v>
      </c>
      <c r="M2099" s="319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21"/>
    </row>
    <row r="2100" spans="1:26" ht="15.75" customHeight="1">
      <c r="A2100" s="125" t="str">
        <f>IF(B2100&lt;&gt;"",IF(AND(B2100&gt;=_TM1,B2100&lt;=_TM2,OR(TH!L2100="1111",TH!M2100="1111")),TH!D2100,""),"")</f>
        <v/>
      </c>
      <c r="B2100" s="11">
        <f t="shared" si="167"/>
        <v>11</v>
      </c>
      <c r="C2100" s="115">
        <f t="shared" si="168"/>
        <v>40857</v>
      </c>
      <c r="D2100" s="12" t="s">
        <v>916</v>
      </c>
      <c r="E2100" s="304">
        <v>40857</v>
      </c>
      <c r="F2100" s="116" t="s">
        <v>1205</v>
      </c>
      <c r="G2100" s="224" t="s">
        <v>1235</v>
      </c>
      <c r="H2100" s="117" t="s">
        <v>709</v>
      </c>
      <c r="I2100" s="141">
        <v>80</v>
      </c>
      <c r="J2100" s="141">
        <v>11437.495685845442</v>
      </c>
      <c r="K2100" s="330">
        <f t="shared" si="169"/>
        <v>915000</v>
      </c>
      <c r="L2100" s="319" t="s">
        <v>161</v>
      </c>
      <c r="M2100" s="319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21"/>
    </row>
    <row r="2101" spans="1:26" ht="15.75" customHeight="1">
      <c r="A2101" s="125" t="str">
        <f>IF(B2101&lt;&gt;"",IF(AND(B2101&gt;=_TM1,B2101&lt;=_TM2,OR(TH!L2101="1111",TH!M2101="1111")),TH!D2101,""),"")</f>
        <v/>
      </c>
      <c r="B2101" s="11">
        <f t="shared" si="167"/>
        <v>11</v>
      </c>
      <c r="C2101" s="115">
        <f t="shared" si="168"/>
        <v>40857</v>
      </c>
      <c r="D2101" s="12" t="s">
        <v>916</v>
      </c>
      <c r="E2101" s="304">
        <v>40857</v>
      </c>
      <c r="F2101" s="116" t="s">
        <v>1206</v>
      </c>
      <c r="G2101" s="224" t="s">
        <v>1235</v>
      </c>
      <c r="H2101" s="117" t="s">
        <v>709</v>
      </c>
      <c r="I2101" s="141">
        <v>4</v>
      </c>
      <c r="J2101" s="141">
        <v>18666.258185845447</v>
      </c>
      <c r="K2101" s="330">
        <f t="shared" si="169"/>
        <v>74665</v>
      </c>
      <c r="L2101" s="319" t="s">
        <v>161</v>
      </c>
      <c r="M2101" s="319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21"/>
    </row>
    <row r="2102" spans="1:26" ht="15.75" customHeight="1">
      <c r="A2102" s="125" t="str">
        <f>IF(B2102&lt;&gt;"",IF(AND(B2102&gt;=_TM1,B2102&lt;=_TM2,OR(TH!L2102="1111",TH!M2102="1111")),TH!D2102,""),"")</f>
        <v/>
      </c>
      <c r="B2102" s="11">
        <f t="shared" si="167"/>
        <v>11</v>
      </c>
      <c r="C2102" s="115">
        <f t="shared" si="168"/>
        <v>40857</v>
      </c>
      <c r="D2102" s="12" t="s">
        <v>916</v>
      </c>
      <c r="E2102" s="304">
        <v>40857</v>
      </c>
      <c r="F2102" s="116" t="s">
        <v>1207</v>
      </c>
      <c r="G2102" s="224" t="s">
        <v>1235</v>
      </c>
      <c r="H2102" s="117" t="s">
        <v>709</v>
      </c>
      <c r="I2102" s="141">
        <v>3</v>
      </c>
      <c r="J2102" s="141">
        <v>11117.174852512109</v>
      </c>
      <c r="K2102" s="330">
        <f t="shared" si="169"/>
        <v>33352</v>
      </c>
      <c r="L2102" s="319" t="s">
        <v>161</v>
      </c>
      <c r="M2102" s="319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21"/>
    </row>
    <row r="2103" spans="1:26" ht="15.75" customHeight="1">
      <c r="A2103" s="125" t="str">
        <f>IF(B2103&lt;&gt;"",IF(AND(B2103&gt;=_TM1,B2103&lt;=_TM2,OR(TH!L2103="1111",TH!M2103="1111")),TH!D2103,""),"")</f>
        <v/>
      </c>
      <c r="B2103" s="11">
        <f t="shared" si="167"/>
        <v>11</v>
      </c>
      <c r="C2103" s="115">
        <f t="shared" si="168"/>
        <v>40857</v>
      </c>
      <c r="D2103" s="12" t="s">
        <v>916</v>
      </c>
      <c r="E2103" s="304">
        <v>40857</v>
      </c>
      <c r="F2103" s="322" t="s">
        <v>1206</v>
      </c>
      <c r="G2103" s="224" t="s">
        <v>1235</v>
      </c>
      <c r="H2103" s="117" t="s">
        <v>709</v>
      </c>
      <c r="I2103" s="141">
        <v>4</v>
      </c>
      <c r="J2103" s="141">
        <v>18666.258185845447</v>
      </c>
      <c r="K2103" s="330">
        <f t="shared" si="169"/>
        <v>74665</v>
      </c>
      <c r="L2103" s="319" t="s">
        <v>161</v>
      </c>
      <c r="M2103" s="319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21"/>
    </row>
    <row r="2104" spans="1:26" ht="15.75" customHeight="1">
      <c r="A2104" s="125" t="str">
        <f>IF(B2104&lt;&gt;"",IF(AND(B2104&gt;=_TM1,B2104&lt;=_TM2,OR(TH!L2104="1111",TH!M2104="1111")),TH!D2104,""),"")</f>
        <v/>
      </c>
      <c r="B2104" s="11">
        <f t="shared" si="167"/>
        <v>11</v>
      </c>
      <c r="C2104" s="115">
        <f t="shared" si="168"/>
        <v>40857</v>
      </c>
      <c r="D2104" s="12" t="s">
        <v>916</v>
      </c>
      <c r="E2104" s="304">
        <v>40857</v>
      </c>
      <c r="F2104" s="116" t="s">
        <v>1234</v>
      </c>
      <c r="G2104" s="224" t="s">
        <v>1235</v>
      </c>
      <c r="H2104" s="117" t="s">
        <v>709</v>
      </c>
      <c r="I2104" s="141">
        <v>3</v>
      </c>
      <c r="J2104" s="141">
        <v>10496.174852512109</v>
      </c>
      <c r="K2104" s="330">
        <f t="shared" si="169"/>
        <v>31489</v>
      </c>
      <c r="L2104" s="319" t="s">
        <v>161</v>
      </c>
      <c r="M2104" s="319" t="s">
        <v>155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21"/>
    </row>
    <row r="2105" spans="1:26" ht="15.75" customHeight="1">
      <c r="A2105" s="125" t="str">
        <f>IF(B2105&lt;&gt;"",IF(AND(B2105&gt;=_TM1,B2105&lt;=_TM2,OR(TH!L2105="1111",TH!M2105="1111")),TH!D2105,""),"")</f>
        <v/>
      </c>
      <c r="B2105" s="11">
        <f t="shared" si="167"/>
        <v>11</v>
      </c>
      <c r="C2105" s="115">
        <f t="shared" si="168"/>
        <v>40857</v>
      </c>
      <c r="D2105" s="12" t="s">
        <v>916</v>
      </c>
      <c r="E2105" s="304">
        <v>40857</v>
      </c>
      <c r="F2105" s="116" t="s">
        <v>1236</v>
      </c>
      <c r="G2105" s="224" t="s">
        <v>1235</v>
      </c>
      <c r="H2105" s="117" t="s">
        <v>709</v>
      </c>
      <c r="I2105" s="141">
        <v>6</v>
      </c>
      <c r="J2105" s="141">
        <v>15403.341519178777</v>
      </c>
      <c r="K2105" s="330">
        <f t="shared" si="169"/>
        <v>92420</v>
      </c>
      <c r="L2105" s="319" t="s">
        <v>161</v>
      </c>
      <c r="M2105" s="319" t="s">
        <v>155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21"/>
    </row>
    <row r="2106" spans="1:26" ht="15.75" customHeight="1">
      <c r="A2106" s="125" t="str">
        <f>IF(B2106&lt;&gt;"",IF(AND(B2106&gt;=_TM1,B2106&lt;=_TM2,OR(TH!L2106="1111",TH!M2106="1111")),TH!D2106,""),"")</f>
        <v/>
      </c>
      <c r="B2106" s="11">
        <f t="shared" si="167"/>
        <v>11</v>
      </c>
      <c r="C2106" s="115">
        <f t="shared" si="168"/>
        <v>40857</v>
      </c>
      <c r="D2106" s="12" t="s">
        <v>916</v>
      </c>
      <c r="E2106" s="304">
        <v>40857</v>
      </c>
      <c r="F2106" s="116" t="s">
        <v>1208</v>
      </c>
      <c r="G2106" s="224" t="s">
        <v>1235</v>
      </c>
      <c r="H2106" s="117" t="s">
        <v>709</v>
      </c>
      <c r="I2106" s="141">
        <v>42</v>
      </c>
      <c r="J2106" s="141">
        <v>14113.984376321636</v>
      </c>
      <c r="K2106" s="330">
        <f t="shared" si="169"/>
        <v>592787</v>
      </c>
      <c r="L2106" s="319" t="s">
        <v>161</v>
      </c>
      <c r="M2106" s="319" t="s">
        <v>155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21"/>
    </row>
    <row r="2107" spans="1:26" ht="15.75" customHeight="1">
      <c r="A2107" s="125" t="str">
        <f>IF(B2107&lt;&gt;"",IF(AND(B2107&gt;=_TM1,B2107&lt;=_TM2,OR(TH!L2107="1111",TH!M2107="1111")),TH!D2107,""),"")</f>
        <v/>
      </c>
      <c r="B2107" s="11">
        <f t="shared" si="167"/>
        <v>11</v>
      </c>
      <c r="C2107" s="115">
        <f t="shared" si="168"/>
        <v>40857</v>
      </c>
      <c r="D2107" s="12" t="s">
        <v>916</v>
      </c>
      <c r="E2107" s="304">
        <v>40857</v>
      </c>
      <c r="F2107" s="116" t="s">
        <v>1209</v>
      </c>
      <c r="G2107" s="224" t="s">
        <v>1235</v>
      </c>
      <c r="H2107" s="117" t="s">
        <v>709</v>
      </c>
      <c r="I2107" s="141">
        <v>43</v>
      </c>
      <c r="J2107" s="141">
        <v>15731.508185845443</v>
      </c>
      <c r="K2107" s="330">
        <f t="shared" si="169"/>
        <v>676455</v>
      </c>
      <c r="L2107" s="319" t="s">
        <v>161</v>
      </c>
      <c r="M2107" s="319" t="s">
        <v>155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21"/>
    </row>
    <row r="2108" spans="1:26" ht="15.75" customHeight="1">
      <c r="A2108" s="125" t="str">
        <f>IF(B2108&lt;&gt;"",IF(AND(B2108&gt;=_TM1,B2108&lt;=_TM2,OR(TH!L2108="1111",TH!M2108="1111")),TH!D2108,""),"")</f>
        <v/>
      </c>
      <c r="B2108" s="11">
        <f t="shared" si="167"/>
        <v>11</v>
      </c>
      <c r="C2108" s="115">
        <f t="shared" si="168"/>
        <v>40857</v>
      </c>
      <c r="D2108" s="12" t="s">
        <v>916</v>
      </c>
      <c r="E2108" s="304">
        <v>40857</v>
      </c>
      <c r="F2108" s="116" t="s">
        <v>1237</v>
      </c>
      <c r="G2108" s="224" t="s">
        <v>1235</v>
      </c>
      <c r="H2108" s="117" t="s">
        <v>709</v>
      </c>
      <c r="I2108" s="141">
        <v>1112</v>
      </c>
      <c r="J2108" s="141">
        <v>9642.2572865648672</v>
      </c>
      <c r="K2108" s="330">
        <f t="shared" si="169"/>
        <v>10722190</v>
      </c>
      <c r="L2108" s="319" t="s">
        <v>161</v>
      </c>
      <c r="M2108" s="319" t="s">
        <v>155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21"/>
    </row>
    <row r="2109" spans="1:26" ht="15.75" customHeight="1">
      <c r="A2109" s="125" t="str">
        <f>IF(B2109&lt;&gt;"",IF(AND(B2109&gt;=_TM1,B2109&lt;=_TM2,OR(TH!L2109="1111",TH!M2109="1111")),TH!D2109,""),"")</f>
        <v/>
      </c>
      <c r="B2109" s="11">
        <f t="shared" si="167"/>
        <v>11</v>
      </c>
      <c r="C2109" s="115">
        <f t="shared" si="168"/>
        <v>40857</v>
      </c>
      <c r="D2109" s="12" t="s">
        <v>916</v>
      </c>
      <c r="E2109" s="304">
        <v>40857</v>
      </c>
      <c r="F2109" s="116" t="s">
        <v>1238</v>
      </c>
      <c r="G2109" s="224" t="s">
        <v>1235</v>
      </c>
      <c r="H2109" s="117" t="s">
        <v>709</v>
      </c>
      <c r="I2109" s="141">
        <v>1000</v>
      </c>
      <c r="J2109" s="141">
        <v>9642.257185845443</v>
      </c>
      <c r="K2109" s="330">
        <f t="shared" si="169"/>
        <v>9642257</v>
      </c>
      <c r="L2109" s="319" t="s">
        <v>161</v>
      </c>
      <c r="M2109" s="319" t="s">
        <v>155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21"/>
    </row>
    <row r="2110" spans="1:26" ht="15.75" customHeight="1">
      <c r="A2110" s="125" t="str">
        <f>IF(B2110&lt;&gt;"",IF(AND(B2110&gt;=_TM1,B2110&lt;=_TM2,OR(TH!L2110="1111",TH!M2110="1111")),TH!D2110,""),"")</f>
        <v/>
      </c>
      <c r="B2110" s="11">
        <f t="shared" si="167"/>
        <v>11</v>
      </c>
      <c r="C2110" s="115">
        <f t="shared" si="168"/>
        <v>40857</v>
      </c>
      <c r="D2110" s="12" t="s">
        <v>916</v>
      </c>
      <c r="E2110" s="304">
        <v>40857</v>
      </c>
      <c r="F2110" s="116" t="s">
        <v>1239</v>
      </c>
      <c r="G2110" s="224" t="s">
        <v>1235</v>
      </c>
      <c r="H2110" s="117" t="s">
        <v>709</v>
      </c>
      <c r="I2110" s="141">
        <v>25</v>
      </c>
      <c r="J2110" s="141">
        <v>6878.6681858454422</v>
      </c>
      <c r="K2110" s="330">
        <f t="shared" si="169"/>
        <v>171967</v>
      </c>
      <c r="L2110" s="319" t="s">
        <v>161</v>
      </c>
      <c r="M2110" s="319" t="s">
        <v>155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21"/>
    </row>
    <row r="2111" spans="1:26" ht="15.75" customHeight="1">
      <c r="A2111" s="125" t="str">
        <f>IF(B2111&lt;&gt;"",IF(AND(B2111&gt;=_TM1,B2111&lt;=_TM2,OR(TH!L2111="1111",TH!M2111="1111")),TH!D2111,""),"")</f>
        <v/>
      </c>
      <c r="B2111" s="11">
        <f t="shared" si="167"/>
        <v>11</v>
      </c>
      <c r="C2111" s="115">
        <f t="shared" si="168"/>
        <v>40857</v>
      </c>
      <c r="D2111" s="12" t="s">
        <v>916</v>
      </c>
      <c r="E2111" s="304">
        <v>40857</v>
      </c>
      <c r="F2111" s="116" t="s">
        <v>1240</v>
      </c>
      <c r="G2111" s="224" t="s">
        <v>1235</v>
      </c>
      <c r="H2111" s="117" t="s">
        <v>709</v>
      </c>
      <c r="I2111" s="141">
        <v>2</v>
      </c>
      <c r="J2111" s="141">
        <v>3522.5081858454428</v>
      </c>
      <c r="K2111" s="330">
        <f t="shared" si="169"/>
        <v>7045</v>
      </c>
      <c r="L2111" s="319" t="s">
        <v>161</v>
      </c>
      <c r="M2111" s="319" t="s">
        <v>155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21"/>
    </row>
    <row r="2112" spans="1:26" ht="15.75" customHeight="1">
      <c r="A2112" s="125" t="str">
        <f>IF(B2112&lt;&gt;"",IF(AND(B2112&gt;=_TM1,B2112&lt;=_TM2,OR(TH!L2112="1111",TH!M2112="1111")),TH!D2112,""),"")</f>
        <v>T03</v>
      </c>
      <c r="B2112" s="11">
        <f t="shared" si="167"/>
        <v>11</v>
      </c>
      <c r="C2112" s="110">
        <v>40858</v>
      </c>
      <c r="D2112" s="110" t="s">
        <v>637</v>
      </c>
      <c r="E2112" s="110">
        <v>40858</v>
      </c>
      <c r="F2112" s="114" t="s">
        <v>1101</v>
      </c>
      <c r="G2112" s="240" t="s">
        <v>307</v>
      </c>
      <c r="H2112" s="117" t="s">
        <v>340</v>
      </c>
      <c r="I2112" s="141"/>
      <c r="J2112" s="141"/>
      <c r="K2112" s="238">
        <v>243000000</v>
      </c>
      <c r="L2112" s="239" t="s">
        <v>44</v>
      </c>
      <c r="M2112" s="239" t="s">
        <v>23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21"/>
    </row>
    <row r="2113" spans="1:26" ht="15.75" customHeight="1">
      <c r="A2113" s="125" t="str">
        <f>IF(B2113&lt;&gt;"",IF(AND(B2113&gt;=_TM1,B2113&lt;=_TM2,OR(TH!L2113="1111",TH!M2113="1111")),TH!D2113,""),"")</f>
        <v>C13</v>
      </c>
      <c r="B2113" s="11">
        <f t="shared" si="167"/>
        <v>11</v>
      </c>
      <c r="C2113" s="115">
        <v>40858</v>
      </c>
      <c r="D2113" s="115" t="s">
        <v>638</v>
      </c>
      <c r="E2113" s="115">
        <v>40858</v>
      </c>
      <c r="F2113" s="116" t="s">
        <v>425</v>
      </c>
      <c r="G2113" s="224" t="s">
        <v>1220</v>
      </c>
      <c r="H2113" s="20" t="s">
        <v>428</v>
      </c>
      <c r="I2113" s="141"/>
      <c r="J2113" s="141"/>
      <c r="K2113" s="13">
        <v>683400</v>
      </c>
      <c r="L2113" s="118" t="s">
        <v>153</v>
      </c>
      <c r="M2113" s="118" t="s">
        <v>44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21">
        <v>11</v>
      </c>
    </row>
    <row r="2114" spans="1:26" ht="15.75" customHeight="1">
      <c r="A2114" s="125" t="str">
        <f>IF(B2114&lt;&gt;"",IF(AND(B2114&gt;=_TM1,B2114&lt;=_TM2,OR(TH!L2114="1111",TH!M2114="1111")),TH!D2114,""),"")</f>
        <v>C13</v>
      </c>
      <c r="B2114" s="11">
        <f t="shared" si="167"/>
        <v>11</v>
      </c>
      <c r="C2114" s="115">
        <v>40858</v>
      </c>
      <c r="D2114" s="115" t="s">
        <v>638</v>
      </c>
      <c r="E2114" s="115">
        <v>40858</v>
      </c>
      <c r="F2114" s="116" t="s">
        <v>426</v>
      </c>
      <c r="G2114" s="224" t="s">
        <v>1220</v>
      </c>
      <c r="H2114" s="20" t="s">
        <v>428</v>
      </c>
      <c r="I2114" s="141"/>
      <c r="J2114" s="141"/>
      <c r="K2114" s="13">
        <v>68340</v>
      </c>
      <c r="L2114" s="118" t="s">
        <v>9</v>
      </c>
      <c r="M2114" s="118" t="s">
        <v>44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21">
        <v>11</v>
      </c>
    </row>
    <row r="2115" spans="1:26" ht="15.75" customHeight="1">
      <c r="A2115" s="125" t="str">
        <f>IF(B2115&lt;&gt;"",IF(AND(B2115&gt;=_TM1,B2115&lt;=_TM2,OR(TH!L2115="1111",TH!M2115="1111")),TH!D2115,""),"")</f>
        <v/>
      </c>
      <c r="B2115" s="11">
        <f t="shared" si="167"/>
        <v>11</v>
      </c>
      <c r="C2115" s="115">
        <f t="shared" ref="C2115:C2141" si="170">E2115</f>
        <v>40858</v>
      </c>
      <c r="D2115" s="324" t="s">
        <v>1048</v>
      </c>
      <c r="E2115" s="304">
        <v>40858</v>
      </c>
      <c r="F2115" s="15" t="s">
        <v>626</v>
      </c>
      <c r="G2115" s="15"/>
      <c r="H2115" s="242" t="s">
        <v>1037</v>
      </c>
      <c r="I2115" s="141">
        <v>104.5</v>
      </c>
      <c r="J2115" s="141">
        <v>16502</v>
      </c>
      <c r="K2115" s="238">
        <f t="shared" ref="K2115:K2141" si="171">ROUND(I2115*J2115,0)</f>
        <v>1724459</v>
      </c>
      <c r="L2115" s="25" t="s">
        <v>153</v>
      </c>
      <c r="M2115" s="25" t="s">
        <v>147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21"/>
    </row>
    <row r="2116" spans="1:26" ht="15.75" customHeight="1">
      <c r="A2116" s="125" t="str">
        <f>IF(B2116&lt;&gt;"",IF(AND(B2116&gt;=_TM1,B2116&lt;=_TM2,OR(TH!L2116="1111",TH!M2116="1111")),TH!D2116,""),"")</f>
        <v/>
      </c>
      <c r="B2116" s="11">
        <f t="shared" si="167"/>
        <v>11</v>
      </c>
      <c r="C2116" s="115">
        <f t="shared" si="170"/>
        <v>40858</v>
      </c>
      <c r="D2116" s="324" t="s">
        <v>1048</v>
      </c>
      <c r="E2116" s="304">
        <v>40858</v>
      </c>
      <c r="F2116" s="15" t="s">
        <v>628</v>
      </c>
      <c r="G2116" s="15"/>
      <c r="H2116" s="242" t="s">
        <v>1037</v>
      </c>
      <c r="I2116" s="141">
        <v>141</v>
      </c>
      <c r="J2116" s="141">
        <v>14105</v>
      </c>
      <c r="K2116" s="238">
        <f t="shared" si="171"/>
        <v>1988805</v>
      </c>
      <c r="L2116" s="25" t="s">
        <v>153</v>
      </c>
      <c r="M2116" s="25" t="s">
        <v>147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21"/>
    </row>
    <row r="2117" spans="1:26" ht="15.75" customHeight="1">
      <c r="A2117" s="125" t="str">
        <f>IF(B2117&lt;&gt;"",IF(AND(B2117&gt;=_TM1,B2117&lt;=_TM2,OR(TH!L2117="1111",TH!M2117="1111")),TH!D2117,""),"")</f>
        <v/>
      </c>
      <c r="B2117" s="11">
        <f t="shared" si="167"/>
        <v>11</v>
      </c>
      <c r="C2117" s="115">
        <f t="shared" si="170"/>
        <v>40858</v>
      </c>
      <c r="D2117" s="324" t="s">
        <v>1048</v>
      </c>
      <c r="E2117" s="304">
        <v>40858</v>
      </c>
      <c r="F2117" s="15" t="s">
        <v>619</v>
      </c>
      <c r="G2117" s="15"/>
      <c r="H2117" s="242" t="s">
        <v>1037</v>
      </c>
      <c r="I2117" s="141">
        <v>174</v>
      </c>
      <c r="J2117" s="141">
        <v>20278</v>
      </c>
      <c r="K2117" s="238">
        <f t="shared" si="171"/>
        <v>3528372</v>
      </c>
      <c r="L2117" s="25" t="s">
        <v>153</v>
      </c>
      <c r="M2117" s="25" t="s">
        <v>147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21"/>
    </row>
    <row r="2118" spans="1:26" ht="15.75" customHeight="1">
      <c r="A2118" s="125" t="str">
        <f>IF(B2118&lt;&gt;"",IF(AND(B2118&gt;=_TM1,B2118&lt;=_TM2,OR(TH!L2118="1111",TH!M2118="1111")),TH!D2118,""),"")</f>
        <v/>
      </c>
      <c r="B2118" s="11">
        <f t="shared" si="167"/>
        <v>11</v>
      </c>
      <c r="C2118" s="115">
        <f t="shared" si="170"/>
        <v>40858</v>
      </c>
      <c r="D2118" s="324" t="s">
        <v>1048</v>
      </c>
      <c r="E2118" s="304">
        <v>40858</v>
      </c>
      <c r="F2118" s="114" t="s">
        <v>484</v>
      </c>
      <c r="G2118" s="15"/>
      <c r="H2118" s="242" t="s">
        <v>1037</v>
      </c>
      <c r="I2118" s="141">
        <v>38</v>
      </c>
      <c r="J2118" s="141">
        <v>8620</v>
      </c>
      <c r="K2118" s="238">
        <f t="shared" si="171"/>
        <v>327560</v>
      </c>
      <c r="L2118" s="25" t="s">
        <v>153</v>
      </c>
      <c r="M2118" s="25" t="s">
        <v>147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21"/>
    </row>
    <row r="2119" spans="1:26" ht="15.75" customHeight="1">
      <c r="A2119" s="125" t="str">
        <f>IF(B2119&lt;&gt;"",IF(AND(B2119&gt;=_TM1,B2119&lt;=_TM2,OR(TH!L2119="1111",TH!M2119="1111")),TH!D2119,""),"")</f>
        <v/>
      </c>
      <c r="B2119" s="11">
        <f t="shared" si="167"/>
        <v>11</v>
      </c>
      <c r="C2119" s="115">
        <f t="shared" si="170"/>
        <v>40858</v>
      </c>
      <c r="D2119" s="324" t="s">
        <v>1048</v>
      </c>
      <c r="E2119" s="304">
        <v>40858</v>
      </c>
      <c r="F2119" s="15" t="s">
        <v>628</v>
      </c>
      <c r="G2119" s="15"/>
      <c r="H2119" s="242" t="s">
        <v>1037</v>
      </c>
      <c r="I2119" s="141">
        <v>12</v>
      </c>
      <c r="J2119" s="141">
        <v>14105</v>
      </c>
      <c r="K2119" s="238">
        <f t="shared" si="171"/>
        <v>169260</v>
      </c>
      <c r="L2119" s="25" t="s">
        <v>153</v>
      </c>
      <c r="M2119" s="25" t="s">
        <v>147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21"/>
    </row>
    <row r="2120" spans="1:26" ht="15.75" customHeight="1">
      <c r="A2120" s="125" t="str">
        <f>IF(B2120&lt;&gt;"",IF(AND(B2120&gt;=_TM1,B2120&lt;=_TM2,OR(TH!L2120="1111",TH!M2120="1111")),TH!D2120,""),"")</f>
        <v/>
      </c>
      <c r="B2120" s="11">
        <f t="shared" si="167"/>
        <v>11</v>
      </c>
      <c r="C2120" s="115">
        <f t="shared" si="170"/>
        <v>40858</v>
      </c>
      <c r="D2120" s="324" t="s">
        <v>1048</v>
      </c>
      <c r="E2120" s="304">
        <v>40858</v>
      </c>
      <c r="F2120" s="15" t="s">
        <v>619</v>
      </c>
      <c r="G2120" s="15"/>
      <c r="H2120" s="242" t="s">
        <v>1037</v>
      </c>
      <c r="I2120" s="141">
        <v>0.5</v>
      </c>
      <c r="J2120" s="141">
        <v>20278</v>
      </c>
      <c r="K2120" s="238">
        <f t="shared" si="171"/>
        <v>10139</v>
      </c>
      <c r="L2120" s="25" t="s">
        <v>153</v>
      </c>
      <c r="M2120" s="25" t="s">
        <v>147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21"/>
    </row>
    <row r="2121" spans="1:26" ht="15.75" customHeight="1">
      <c r="A2121" s="125" t="str">
        <f>IF(B2121&lt;&gt;"",IF(AND(B2121&gt;=_TM1,B2121&lt;=_TM2,OR(TH!L2121="1111",TH!M2121="1111")),TH!D2121,""),"")</f>
        <v/>
      </c>
      <c r="B2121" s="11">
        <f t="shared" si="167"/>
        <v>11</v>
      </c>
      <c r="C2121" s="115">
        <f t="shared" si="170"/>
        <v>40858</v>
      </c>
      <c r="D2121" s="324" t="s">
        <v>1048</v>
      </c>
      <c r="E2121" s="304">
        <v>40858</v>
      </c>
      <c r="F2121" s="15" t="s">
        <v>588</v>
      </c>
      <c r="G2121" s="15"/>
      <c r="H2121" s="242" t="s">
        <v>1037</v>
      </c>
      <c r="I2121" s="141">
        <v>1.5</v>
      </c>
      <c r="J2121" s="141">
        <v>18396</v>
      </c>
      <c r="K2121" s="238">
        <f t="shared" si="171"/>
        <v>27594</v>
      </c>
      <c r="L2121" s="25" t="s">
        <v>153</v>
      </c>
      <c r="M2121" s="25" t="s">
        <v>147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21"/>
    </row>
    <row r="2122" spans="1:26" ht="15.75" customHeight="1">
      <c r="A2122" s="125" t="str">
        <f>IF(B2122&lt;&gt;"",IF(AND(B2122&gt;=_TM1,B2122&lt;=_TM2,OR(TH!L2122="1111",TH!M2122="1111")),TH!D2122,""),"")</f>
        <v/>
      </c>
      <c r="B2122" s="11">
        <f t="shared" si="167"/>
        <v>11</v>
      </c>
      <c r="C2122" s="115">
        <f t="shared" si="170"/>
        <v>40858</v>
      </c>
      <c r="D2122" s="324" t="s">
        <v>1048</v>
      </c>
      <c r="E2122" s="304">
        <v>40858</v>
      </c>
      <c r="F2122" s="114" t="s">
        <v>519</v>
      </c>
      <c r="G2122" s="15"/>
      <c r="H2122" s="242" t="s">
        <v>1037</v>
      </c>
      <c r="I2122" s="141">
        <v>1.5</v>
      </c>
      <c r="J2122" s="141">
        <v>19638</v>
      </c>
      <c r="K2122" s="238">
        <f t="shared" si="171"/>
        <v>29457</v>
      </c>
      <c r="L2122" s="25" t="s">
        <v>153</v>
      </c>
      <c r="M2122" s="25" t="s">
        <v>147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21"/>
    </row>
    <row r="2123" spans="1:26" ht="15.75" customHeight="1">
      <c r="A2123" s="125" t="str">
        <f>IF(B2123&lt;&gt;"",IF(AND(B2123&gt;=_TM1,B2123&lt;=_TM2,OR(TH!L2123="1111",TH!M2123="1111")),TH!D2123,""),"")</f>
        <v/>
      </c>
      <c r="B2123" s="11">
        <f t="shared" si="167"/>
        <v>11</v>
      </c>
      <c r="C2123" s="115">
        <f t="shared" si="170"/>
        <v>40858</v>
      </c>
      <c r="D2123" s="324" t="s">
        <v>1048</v>
      </c>
      <c r="E2123" s="304">
        <v>40858</v>
      </c>
      <c r="F2123" s="114" t="s">
        <v>478</v>
      </c>
      <c r="G2123" s="15"/>
      <c r="H2123" s="242" t="s">
        <v>1037</v>
      </c>
      <c r="I2123" s="141">
        <v>2.5</v>
      </c>
      <c r="J2123" s="141">
        <v>13498</v>
      </c>
      <c r="K2123" s="238">
        <f t="shared" si="171"/>
        <v>33745</v>
      </c>
      <c r="L2123" s="25" t="s">
        <v>153</v>
      </c>
      <c r="M2123" s="25" t="s">
        <v>147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21"/>
    </row>
    <row r="2124" spans="1:26" ht="15.75" customHeight="1">
      <c r="A2124" s="125" t="str">
        <f>IF(B2124&lt;&gt;"",IF(AND(B2124&gt;=_TM1,B2124&lt;=_TM2,OR(TH!L2124="1111",TH!M2124="1111")),TH!D2124,""),"")</f>
        <v/>
      </c>
      <c r="B2124" s="11">
        <f t="shared" si="167"/>
        <v>11</v>
      </c>
      <c r="C2124" s="115">
        <f t="shared" si="170"/>
        <v>40860</v>
      </c>
      <c r="D2124" s="324" t="s">
        <v>1049</v>
      </c>
      <c r="E2124" s="304">
        <v>40860</v>
      </c>
      <c r="F2124" s="114" t="s">
        <v>478</v>
      </c>
      <c r="G2124" s="15"/>
      <c r="H2124" s="242" t="s">
        <v>1037</v>
      </c>
      <c r="I2124" s="141">
        <v>2</v>
      </c>
      <c r="J2124" s="141">
        <v>13498</v>
      </c>
      <c r="K2124" s="238">
        <f t="shared" si="171"/>
        <v>26996</v>
      </c>
      <c r="L2124" s="25" t="s">
        <v>153</v>
      </c>
      <c r="M2124" s="25" t="s">
        <v>147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21"/>
    </row>
    <row r="2125" spans="1:26" ht="15.75" customHeight="1">
      <c r="A2125" s="125" t="str">
        <f>IF(B2125&lt;&gt;"",IF(AND(B2125&gt;=_TM1,B2125&lt;=_TM2,OR(TH!L2125="1111",TH!M2125="1111")),TH!D2125,""),"")</f>
        <v/>
      </c>
      <c r="B2125" s="11">
        <f t="shared" si="167"/>
        <v>11</v>
      </c>
      <c r="C2125" s="115">
        <f t="shared" si="170"/>
        <v>40860</v>
      </c>
      <c r="D2125" s="324" t="s">
        <v>1049</v>
      </c>
      <c r="E2125" s="304">
        <v>40860</v>
      </c>
      <c r="F2125" s="114" t="s">
        <v>364</v>
      </c>
      <c r="G2125" s="15"/>
      <c r="H2125" s="242" t="s">
        <v>1037</v>
      </c>
      <c r="I2125" s="315">
        <v>1</v>
      </c>
      <c r="J2125" s="141">
        <v>4449</v>
      </c>
      <c r="K2125" s="238">
        <f t="shared" si="171"/>
        <v>4449</v>
      </c>
      <c r="L2125" s="25" t="s">
        <v>153</v>
      </c>
      <c r="M2125" s="25" t="s">
        <v>147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>x</v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21"/>
    </row>
    <row r="2126" spans="1:26" ht="15.75" customHeight="1">
      <c r="A2126" s="125" t="str">
        <f>IF(B2126&lt;&gt;"",IF(AND(B2126&gt;=_TM1,B2126&lt;=_TM2,OR(TH!L2126="1111",TH!M2126="1111")),TH!D2126,""),"")</f>
        <v/>
      </c>
      <c r="B2126" s="11">
        <f t="shared" si="167"/>
        <v>11</v>
      </c>
      <c r="C2126" s="115">
        <f t="shared" si="170"/>
        <v>40860</v>
      </c>
      <c r="D2126" s="324" t="s">
        <v>1049</v>
      </c>
      <c r="E2126" s="304">
        <v>40860</v>
      </c>
      <c r="F2126" s="114" t="s">
        <v>556</v>
      </c>
      <c r="G2126" s="15"/>
      <c r="H2126" s="242" t="s">
        <v>1037</v>
      </c>
      <c r="I2126" s="141">
        <v>2</v>
      </c>
      <c r="J2126" s="141">
        <v>7543</v>
      </c>
      <c r="K2126" s="238">
        <f t="shared" si="171"/>
        <v>15086</v>
      </c>
      <c r="L2126" s="25" t="s">
        <v>153</v>
      </c>
      <c r="M2126" s="25" t="s">
        <v>147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21"/>
    </row>
    <row r="2127" spans="1:26" ht="15.75" customHeight="1">
      <c r="A2127" s="125" t="str">
        <f>IF(B2127&lt;&gt;"",IF(AND(B2127&gt;=_TM1,B2127&lt;=_TM2,OR(TH!L2127="1111",TH!M2127="1111")),TH!D2127,""),"")</f>
        <v/>
      </c>
      <c r="B2127" s="11">
        <f t="shared" si="167"/>
        <v>11</v>
      </c>
      <c r="C2127" s="115">
        <f t="shared" si="170"/>
        <v>40860</v>
      </c>
      <c r="D2127" s="324" t="s">
        <v>1049</v>
      </c>
      <c r="E2127" s="304">
        <v>40860</v>
      </c>
      <c r="F2127" s="114" t="s">
        <v>364</v>
      </c>
      <c r="G2127" s="15"/>
      <c r="H2127" s="242" t="s">
        <v>1037</v>
      </c>
      <c r="I2127" s="315">
        <v>4</v>
      </c>
      <c r="J2127" s="141">
        <v>4449</v>
      </c>
      <c r="K2127" s="238">
        <f t="shared" si="171"/>
        <v>17796</v>
      </c>
      <c r="L2127" s="25" t="s">
        <v>153</v>
      </c>
      <c r="M2127" s="25" t="s">
        <v>147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>x</v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21"/>
    </row>
    <row r="2128" spans="1:26" ht="15.75" customHeight="1">
      <c r="A2128" s="125" t="str">
        <f>IF(B2128&lt;&gt;"",IF(AND(B2128&gt;=_TM1,B2128&lt;=_TM2,OR(TH!L2128="1111",TH!M2128="1111")),TH!D2128,""),"")</f>
        <v/>
      </c>
      <c r="B2128" s="11">
        <f t="shared" si="167"/>
        <v>11</v>
      </c>
      <c r="C2128" s="115">
        <f t="shared" si="170"/>
        <v>40860</v>
      </c>
      <c r="D2128" s="324" t="s">
        <v>1049</v>
      </c>
      <c r="E2128" s="304">
        <v>40860</v>
      </c>
      <c r="F2128" s="114" t="s">
        <v>364</v>
      </c>
      <c r="G2128" s="15"/>
      <c r="H2128" s="242" t="s">
        <v>1037</v>
      </c>
      <c r="I2128" s="315">
        <v>2</v>
      </c>
      <c r="J2128" s="141">
        <v>4449</v>
      </c>
      <c r="K2128" s="238">
        <f t="shared" si="171"/>
        <v>8898</v>
      </c>
      <c r="L2128" s="25" t="s">
        <v>153</v>
      </c>
      <c r="M2128" s="25" t="s">
        <v>147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>x</v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21"/>
    </row>
    <row r="2129" spans="1:26" ht="15.75" customHeight="1">
      <c r="A2129" s="125" t="str">
        <f>IF(B2129&lt;&gt;"",IF(AND(B2129&gt;=_TM1,B2129&lt;=_TM2,OR(TH!L2129="1111",TH!M2129="1111")),TH!D2129,""),"")</f>
        <v/>
      </c>
      <c r="B2129" s="11">
        <f t="shared" si="167"/>
        <v>11</v>
      </c>
      <c r="C2129" s="115">
        <f t="shared" si="170"/>
        <v>40860</v>
      </c>
      <c r="D2129" s="324" t="s">
        <v>1049</v>
      </c>
      <c r="E2129" s="304">
        <v>40860</v>
      </c>
      <c r="F2129" s="15" t="s">
        <v>616</v>
      </c>
      <c r="G2129" s="15"/>
      <c r="H2129" s="242" t="s">
        <v>1037</v>
      </c>
      <c r="I2129" s="141">
        <v>56</v>
      </c>
      <c r="J2129" s="141">
        <v>27283</v>
      </c>
      <c r="K2129" s="238">
        <f t="shared" si="171"/>
        <v>1527848</v>
      </c>
      <c r="L2129" s="25" t="s">
        <v>153</v>
      </c>
      <c r="M2129" s="25" t="s">
        <v>147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21"/>
    </row>
    <row r="2130" spans="1:26" ht="15.75" customHeight="1">
      <c r="A2130" s="125" t="str">
        <f>IF(B2130&lt;&gt;"",IF(AND(B2130&gt;=_TM1,B2130&lt;=_TM2,OR(TH!L2130="1111",TH!M2130="1111")),TH!D2130,""),"")</f>
        <v/>
      </c>
      <c r="B2130" s="11">
        <f t="shared" si="167"/>
        <v>11</v>
      </c>
      <c r="C2130" s="115">
        <f t="shared" si="170"/>
        <v>40860</v>
      </c>
      <c r="D2130" s="324" t="s">
        <v>1049</v>
      </c>
      <c r="E2130" s="304">
        <v>40860</v>
      </c>
      <c r="F2130" s="217" t="s">
        <v>620</v>
      </c>
      <c r="G2130" s="15"/>
      <c r="H2130" s="242" t="s">
        <v>1037</v>
      </c>
      <c r="I2130" s="141">
        <v>31</v>
      </c>
      <c r="J2130" s="141">
        <v>25631</v>
      </c>
      <c r="K2130" s="238">
        <f t="shared" si="171"/>
        <v>794561</v>
      </c>
      <c r="L2130" s="25" t="s">
        <v>153</v>
      </c>
      <c r="M2130" s="25" t="s">
        <v>147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21"/>
    </row>
    <row r="2131" spans="1:26" ht="15.75" customHeight="1">
      <c r="A2131" s="125" t="str">
        <f>IF(B2131&lt;&gt;"",IF(AND(B2131&gt;=_TM1,B2131&lt;=_TM2,OR(TH!L2131="1111",TH!M2131="1111")),TH!D2131,""),"")</f>
        <v/>
      </c>
      <c r="B2131" s="11">
        <f t="shared" si="167"/>
        <v>11</v>
      </c>
      <c r="C2131" s="115">
        <f t="shared" si="170"/>
        <v>40860</v>
      </c>
      <c r="D2131" s="324" t="s">
        <v>1049</v>
      </c>
      <c r="E2131" s="304">
        <v>40860</v>
      </c>
      <c r="F2131" s="114" t="s">
        <v>362</v>
      </c>
      <c r="G2131" s="15"/>
      <c r="H2131" s="242" t="s">
        <v>1037</v>
      </c>
      <c r="I2131" s="141">
        <v>139</v>
      </c>
      <c r="J2131" s="141">
        <v>6124</v>
      </c>
      <c r="K2131" s="238">
        <f t="shared" si="171"/>
        <v>851236</v>
      </c>
      <c r="L2131" s="25" t="s">
        <v>153</v>
      </c>
      <c r="M2131" s="25" t="s">
        <v>147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21"/>
    </row>
    <row r="2132" spans="1:26" ht="15.75" customHeight="1">
      <c r="A2132" s="125" t="str">
        <f>IF(B2132&lt;&gt;"",IF(AND(B2132&gt;=_TM1,B2132&lt;=_TM2,OR(TH!L2132="1111",TH!M2132="1111")),TH!D2132,""),"")</f>
        <v/>
      </c>
      <c r="B2132" s="11">
        <f t="shared" si="167"/>
        <v>11</v>
      </c>
      <c r="C2132" s="115">
        <f t="shared" si="170"/>
        <v>40860</v>
      </c>
      <c r="D2132" s="324" t="s">
        <v>1049</v>
      </c>
      <c r="E2132" s="304">
        <v>40860</v>
      </c>
      <c r="F2132" s="15" t="s">
        <v>626</v>
      </c>
      <c r="G2132" s="15"/>
      <c r="H2132" s="242" t="s">
        <v>1037</v>
      </c>
      <c r="I2132" s="141">
        <v>156</v>
      </c>
      <c r="J2132" s="141">
        <v>16502</v>
      </c>
      <c r="K2132" s="238">
        <f t="shared" si="171"/>
        <v>2574312</v>
      </c>
      <c r="L2132" s="25" t="s">
        <v>153</v>
      </c>
      <c r="M2132" s="25" t="s">
        <v>147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21"/>
    </row>
    <row r="2133" spans="1:26" ht="15.75" customHeight="1">
      <c r="A2133" s="125" t="str">
        <f>IF(B2133&lt;&gt;"",IF(AND(B2133&gt;=_TM1,B2133&lt;=_TM2,OR(TH!L2133="1111",TH!M2133="1111")),TH!D2133,""),"")</f>
        <v/>
      </c>
      <c r="B2133" s="11">
        <f t="shared" si="167"/>
        <v>11</v>
      </c>
      <c r="C2133" s="115">
        <f t="shared" si="170"/>
        <v>40861</v>
      </c>
      <c r="D2133" s="324" t="s">
        <v>1050</v>
      </c>
      <c r="E2133" s="304">
        <v>40861</v>
      </c>
      <c r="F2133" s="114" t="s">
        <v>555</v>
      </c>
      <c r="G2133" s="15"/>
      <c r="H2133" s="242" t="s">
        <v>1037</v>
      </c>
      <c r="I2133" s="141">
        <v>12</v>
      </c>
      <c r="J2133" s="141">
        <v>10344</v>
      </c>
      <c r="K2133" s="238">
        <f t="shared" si="171"/>
        <v>124128</v>
      </c>
      <c r="L2133" s="25" t="s">
        <v>153</v>
      </c>
      <c r="M2133" s="25" t="s">
        <v>147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21"/>
    </row>
    <row r="2134" spans="1:26" ht="15.75" customHeight="1">
      <c r="A2134" s="125" t="str">
        <f>IF(B2134&lt;&gt;"",IF(AND(B2134&gt;=_TM1,B2134&lt;=_TM2,OR(TH!L2134="1111",TH!M2134="1111")),TH!D2134,""),"")</f>
        <v/>
      </c>
      <c r="B2134" s="11">
        <f t="shared" ref="B2134:B2197" si="172">IF(C2134&lt;&gt;"",MONTH(C2134),"")</f>
        <v>11</v>
      </c>
      <c r="C2134" s="115">
        <f t="shared" si="170"/>
        <v>40861</v>
      </c>
      <c r="D2134" s="324" t="s">
        <v>1050</v>
      </c>
      <c r="E2134" s="304">
        <v>40861</v>
      </c>
      <c r="F2134" s="114" t="s">
        <v>615</v>
      </c>
      <c r="G2134" s="15"/>
      <c r="H2134" s="242" t="s">
        <v>1037</v>
      </c>
      <c r="I2134" s="141">
        <v>103</v>
      </c>
      <c r="J2134" s="141">
        <v>24595</v>
      </c>
      <c r="K2134" s="238">
        <f t="shared" si="171"/>
        <v>2533285</v>
      </c>
      <c r="L2134" s="25" t="s">
        <v>153</v>
      </c>
      <c r="M2134" s="25" t="s">
        <v>147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21"/>
    </row>
    <row r="2135" spans="1:26" ht="15.75" customHeight="1">
      <c r="A2135" s="125" t="str">
        <f>IF(B2135&lt;&gt;"",IF(AND(B2135&gt;=_TM1,B2135&lt;=_TM2,OR(TH!L2135="1111",TH!M2135="1111")),TH!D2135,""),"")</f>
        <v/>
      </c>
      <c r="B2135" s="11">
        <f t="shared" si="172"/>
        <v>11</v>
      </c>
      <c r="C2135" s="115">
        <f t="shared" si="170"/>
        <v>40861</v>
      </c>
      <c r="D2135" s="324" t="s">
        <v>1050</v>
      </c>
      <c r="E2135" s="304">
        <v>40861</v>
      </c>
      <c r="F2135" s="114" t="s">
        <v>526</v>
      </c>
      <c r="G2135" s="15"/>
      <c r="H2135" s="242" t="s">
        <v>1037</v>
      </c>
      <c r="I2135" s="141">
        <v>45</v>
      </c>
      <c r="J2135" s="141">
        <v>13954</v>
      </c>
      <c r="K2135" s="238">
        <f t="shared" si="171"/>
        <v>627930</v>
      </c>
      <c r="L2135" s="25" t="s">
        <v>153</v>
      </c>
      <c r="M2135" s="25" t="s">
        <v>147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21"/>
    </row>
    <row r="2136" spans="1:26" ht="15.75" customHeight="1">
      <c r="A2136" s="125" t="str">
        <f>IF(B2136&lt;&gt;"",IF(AND(B2136&gt;=_TM1,B2136&lt;=_TM2,OR(TH!L2136="1111",TH!M2136="1111")),TH!D2136,""),"")</f>
        <v/>
      </c>
      <c r="B2136" s="11">
        <f t="shared" si="172"/>
        <v>11</v>
      </c>
      <c r="C2136" s="115">
        <f t="shared" si="170"/>
        <v>40861</v>
      </c>
      <c r="D2136" s="324" t="s">
        <v>1050</v>
      </c>
      <c r="E2136" s="304">
        <v>40861</v>
      </c>
      <c r="F2136" s="15" t="s">
        <v>588</v>
      </c>
      <c r="G2136" s="15"/>
      <c r="H2136" s="242" t="s">
        <v>1037</v>
      </c>
      <c r="I2136" s="141">
        <v>32.5</v>
      </c>
      <c r="J2136" s="141">
        <v>18396</v>
      </c>
      <c r="K2136" s="238">
        <f t="shared" si="171"/>
        <v>597870</v>
      </c>
      <c r="L2136" s="25" t="s">
        <v>153</v>
      </c>
      <c r="M2136" s="25" t="s">
        <v>147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21"/>
    </row>
    <row r="2137" spans="1:26" ht="15.75" customHeight="1">
      <c r="A2137" s="125" t="str">
        <f>IF(B2137&lt;&gt;"",IF(AND(B2137&gt;=_TM1,B2137&lt;=_TM2,OR(TH!L2137="1111",TH!M2137="1111")),TH!D2137,""),"")</f>
        <v/>
      </c>
      <c r="B2137" s="11">
        <f t="shared" si="172"/>
        <v>11</v>
      </c>
      <c r="C2137" s="115">
        <f t="shared" si="170"/>
        <v>40861</v>
      </c>
      <c r="D2137" s="324" t="s">
        <v>1050</v>
      </c>
      <c r="E2137" s="304">
        <v>40861</v>
      </c>
      <c r="F2137" s="15" t="s">
        <v>619</v>
      </c>
      <c r="G2137" s="15"/>
      <c r="H2137" s="242" t="s">
        <v>1037</v>
      </c>
      <c r="I2137" s="141">
        <v>30</v>
      </c>
      <c r="J2137" s="141">
        <v>20278</v>
      </c>
      <c r="K2137" s="238">
        <f t="shared" si="171"/>
        <v>608340</v>
      </c>
      <c r="L2137" s="25" t="s">
        <v>153</v>
      </c>
      <c r="M2137" s="25" t="s">
        <v>147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21"/>
    </row>
    <row r="2138" spans="1:26" ht="15.75" customHeight="1">
      <c r="A2138" s="125" t="str">
        <f>IF(B2138&lt;&gt;"",IF(AND(B2138&gt;=_TM1,B2138&lt;=_TM2,OR(TH!L2138="1111",TH!M2138="1111")),TH!D2138,""),"")</f>
        <v/>
      </c>
      <c r="B2138" s="11">
        <f t="shared" si="172"/>
        <v>11</v>
      </c>
      <c r="C2138" s="115">
        <f t="shared" si="170"/>
        <v>40861</v>
      </c>
      <c r="D2138" s="324" t="s">
        <v>1050</v>
      </c>
      <c r="E2138" s="304">
        <v>40861</v>
      </c>
      <c r="F2138" s="15" t="s">
        <v>626</v>
      </c>
      <c r="G2138" s="15"/>
      <c r="H2138" s="242" t="s">
        <v>1037</v>
      </c>
      <c r="I2138" s="141">
        <v>30.5</v>
      </c>
      <c r="J2138" s="141">
        <v>16502</v>
      </c>
      <c r="K2138" s="238">
        <f t="shared" si="171"/>
        <v>503311</v>
      </c>
      <c r="L2138" s="25" t="s">
        <v>153</v>
      </c>
      <c r="M2138" s="25" t="s">
        <v>147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21"/>
    </row>
    <row r="2139" spans="1:26" ht="15.75" customHeight="1">
      <c r="A2139" s="125" t="str">
        <f>IF(B2139&lt;&gt;"",IF(AND(B2139&gt;=_TM1,B2139&lt;=_TM2,OR(TH!L2139="1111",TH!M2139="1111")),TH!D2139,""),"")</f>
        <v/>
      </c>
      <c r="B2139" s="11">
        <f t="shared" si="172"/>
        <v>11</v>
      </c>
      <c r="C2139" s="115">
        <f t="shared" si="170"/>
        <v>40861</v>
      </c>
      <c r="D2139" s="324" t="s">
        <v>1050</v>
      </c>
      <c r="E2139" s="304">
        <v>40861</v>
      </c>
      <c r="F2139" s="15" t="s">
        <v>618</v>
      </c>
      <c r="G2139" s="15"/>
      <c r="H2139" s="242" t="s">
        <v>1037</v>
      </c>
      <c r="I2139" s="141">
        <v>51</v>
      </c>
      <c r="J2139" s="141">
        <v>34653</v>
      </c>
      <c r="K2139" s="238">
        <f t="shared" si="171"/>
        <v>1767303</v>
      </c>
      <c r="L2139" s="25" t="s">
        <v>153</v>
      </c>
      <c r="M2139" s="25" t="s">
        <v>147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21"/>
    </row>
    <row r="2140" spans="1:26" ht="15.75" customHeight="1">
      <c r="A2140" s="125" t="str">
        <f>IF(B2140&lt;&gt;"",IF(AND(B2140&gt;=_TM1,B2140&lt;=_TM2,OR(TH!L2140="1111",TH!M2140="1111")),TH!D2140,""),"")</f>
        <v/>
      </c>
      <c r="B2140" s="11">
        <f t="shared" si="172"/>
        <v>11</v>
      </c>
      <c r="C2140" s="115">
        <f t="shared" si="170"/>
        <v>40861</v>
      </c>
      <c r="D2140" s="324" t="s">
        <v>1050</v>
      </c>
      <c r="E2140" s="304">
        <v>40861</v>
      </c>
      <c r="F2140" s="15" t="s">
        <v>616</v>
      </c>
      <c r="G2140" s="15"/>
      <c r="H2140" s="242" t="s">
        <v>1037</v>
      </c>
      <c r="I2140" s="141">
        <v>38</v>
      </c>
      <c r="J2140" s="141">
        <v>27283</v>
      </c>
      <c r="K2140" s="238">
        <f t="shared" si="171"/>
        <v>1036754</v>
      </c>
      <c r="L2140" s="25" t="s">
        <v>153</v>
      </c>
      <c r="M2140" s="25" t="s">
        <v>147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21"/>
    </row>
    <row r="2141" spans="1:26" ht="15.75" customHeight="1">
      <c r="A2141" s="125" t="str">
        <f>IF(B2141&lt;&gt;"",IF(AND(B2141&gt;=_TM1,B2141&lt;=_TM2,OR(TH!L2141="1111",TH!M2141="1111")),TH!D2141,""),"")</f>
        <v/>
      </c>
      <c r="B2141" s="11">
        <f t="shared" si="172"/>
        <v>11</v>
      </c>
      <c r="C2141" s="115">
        <f t="shared" si="170"/>
        <v>40861</v>
      </c>
      <c r="D2141" s="324" t="s">
        <v>1050</v>
      </c>
      <c r="E2141" s="304">
        <v>40861</v>
      </c>
      <c r="F2141" s="15" t="s">
        <v>626</v>
      </c>
      <c r="G2141" s="15"/>
      <c r="H2141" s="242" t="s">
        <v>1037</v>
      </c>
      <c r="I2141" s="141">
        <v>118</v>
      </c>
      <c r="J2141" s="141">
        <v>16502</v>
      </c>
      <c r="K2141" s="238">
        <f t="shared" si="171"/>
        <v>1947236</v>
      </c>
      <c r="L2141" s="25" t="s">
        <v>153</v>
      </c>
      <c r="M2141" s="25" t="s">
        <v>147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21"/>
    </row>
    <row r="2142" spans="1:26" ht="15.75" customHeight="1">
      <c r="A2142" s="125" t="str">
        <f>IF(B2142&lt;&gt;"",IF(AND(B2142&gt;=_TM1,B2142&lt;=_TM2,OR(TH!L2142="1111",TH!M2142="1111")),TH!D2142,""),"")</f>
        <v/>
      </c>
      <c r="B2142" s="11">
        <f t="shared" si="172"/>
        <v>11</v>
      </c>
      <c r="C2142" s="110">
        <v>40862</v>
      </c>
      <c r="D2142" s="110" t="s">
        <v>310</v>
      </c>
      <c r="E2142" s="110">
        <v>40862</v>
      </c>
      <c r="F2142" s="114" t="s">
        <v>312</v>
      </c>
      <c r="G2142" s="240" t="s">
        <v>307</v>
      </c>
      <c r="H2142" s="4" t="s">
        <v>711</v>
      </c>
      <c r="I2142" s="141"/>
      <c r="J2142" s="141"/>
      <c r="K2142" s="238">
        <v>13199000</v>
      </c>
      <c r="L2142" s="239" t="s">
        <v>23</v>
      </c>
      <c r="M2142" s="239" t="s">
        <v>237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21"/>
    </row>
    <row r="2143" spans="1:26" ht="15.75" customHeight="1">
      <c r="A2143" s="125" t="str">
        <f>IF(B2143&lt;&gt;"",IF(AND(B2143&gt;=_TM1,B2143&lt;=_TM2,OR(TH!L2143="1111",TH!M2143="1111")),TH!D2143,""),"")</f>
        <v/>
      </c>
      <c r="B2143" s="11">
        <f t="shared" si="172"/>
        <v>11</v>
      </c>
      <c r="C2143" s="115">
        <v>40862</v>
      </c>
      <c r="D2143" s="115" t="s">
        <v>917</v>
      </c>
      <c r="E2143" s="115">
        <v>40862</v>
      </c>
      <c r="F2143" s="116" t="s">
        <v>722</v>
      </c>
      <c r="G2143" s="224" t="s">
        <v>1241</v>
      </c>
      <c r="H2143" s="117" t="s">
        <v>709</v>
      </c>
      <c r="I2143" s="141">
        <v>209</v>
      </c>
      <c r="J2143" s="141">
        <v>10595</v>
      </c>
      <c r="K2143" s="238">
        <v>2214355</v>
      </c>
      <c r="L2143" s="118" t="s">
        <v>237</v>
      </c>
      <c r="M2143" s="118" t="s">
        <v>163</v>
      </c>
      <c r="N2143" s="25" t="str">
        <f>IF(AND('331-CT'!$E$7=TH!H2143,OR(L2143="331",M2143="331")),"331",IF(AND(OR(L2143="131",M2143="131"),H2143='131-CT'!$E$7),"131",""))</f>
        <v>131</v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21"/>
    </row>
    <row r="2144" spans="1:26" ht="15.75" customHeight="1">
      <c r="A2144" s="125" t="str">
        <f>IF(B2144&lt;&gt;"",IF(AND(B2144&gt;=_TM1,B2144&lt;=_TM2,OR(TH!L2144="1111",TH!M2144="1111")),TH!D2144,""),"")</f>
        <v/>
      </c>
      <c r="B2144" s="11">
        <f t="shared" si="172"/>
        <v>11</v>
      </c>
      <c r="C2144" s="115">
        <v>40862</v>
      </c>
      <c r="D2144" s="115" t="s">
        <v>917</v>
      </c>
      <c r="E2144" s="115">
        <v>40862</v>
      </c>
      <c r="F2144" s="116" t="s">
        <v>1214</v>
      </c>
      <c r="G2144" s="224" t="s">
        <v>1241</v>
      </c>
      <c r="H2144" s="117" t="s">
        <v>709</v>
      </c>
      <c r="I2144" s="141">
        <v>141</v>
      </c>
      <c r="J2144" s="141">
        <v>17966</v>
      </c>
      <c r="K2144" s="238">
        <v>2533206</v>
      </c>
      <c r="L2144" s="118" t="s">
        <v>237</v>
      </c>
      <c r="M2144" s="118" t="s">
        <v>163</v>
      </c>
      <c r="N2144" s="25" t="str">
        <f>IF(AND('331-CT'!$E$7=TH!H2144,OR(L2144="331",M2144="331")),"331",IF(AND(OR(L2144="131",M2144="131"),H2144='131-CT'!$E$7),"131",""))</f>
        <v>131</v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21"/>
    </row>
    <row r="2145" spans="1:26" ht="15.75" customHeight="1">
      <c r="A2145" s="125" t="str">
        <f>IF(B2145&lt;&gt;"",IF(AND(B2145&gt;=_TM1,B2145&lt;=_TM2,OR(TH!L2145="1111",TH!M2145="1111")),TH!D2145,""),"")</f>
        <v/>
      </c>
      <c r="B2145" s="11">
        <f t="shared" si="172"/>
        <v>11</v>
      </c>
      <c r="C2145" s="115">
        <v>40862</v>
      </c>
      <c r="D2145" s="115" t="s">
        <v>917</v>
      </c>
      <c r="E2145" s="115">
        <v>40862</v>
      </c>
      <c r="F2145" s="116" t="s">
        <v>1215</v>
      </c>
      <c r="G2145" s="224" t="s">
        <v>1241</v>
      </c>
      <c r="H2145" s="117" t="s">
        <v>709</v>
      </c>
      <c r="I2145" s="141">
        <v>348</v>
      </c>
      <c r="J2145" s="141">
        <v>14535</v>
      </c>
      <c r="K2145" s="238">
        <v>5058180</v>
      </c>
      <c r="L2145" s="118" t="s">
        <v>237</v>
      </c>
      <c r="M2145" s="118" t="s">
        <v>163</v>
      </c>
      <c r="N2145" s="25" t="str">
        <f>IF(AND('331-CT'!$E$7=TH!H2145,OR(L2145="331",M2145="331")),"331",IF(AND(OR(L2145="131",M2145="131"),H2145='131-CT'!$E$7),"131",""))</f>
        <v>131</v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21"/>
    </row>
    <row r="2146" spans="1:26" ht="15.75" customHeight="1">
      <c r="A2146" s="125" t="str">
        <f>IF(B2146&lt;&gt;"",IF(AND(B2146&gt;=_TM1,B2146&lt;=_TM2,OR(TH!L2146="1111",TH!M2146="1111")),TH!D2146,""),"")</f>
        <v/>
      </c>
      <c r="B2146" s="11">
        <f t="shared" si="172"/>
        <v>11</v>
      </c>
      <c r="C2146" s="115">
        <v>40862</v>
      </c>
      <c r="D2146" s="115" t="s">
        <v>917</v>
      </c>
      <c r="E2146" s="115">
        <v>40862</v>
      </c>
      <c r="F2146" s="116" t="s">
        <v>723</v>
      </c>
      <c r="G2146" s="224" t="s">
        <v>1241</v>
      </c>
      <c r="H2146" s="117" t="s">
        <v>709</v>
      </c>
      <c r="I2146" s="141">
        <v>38</v>
      </c>
      <c r="J2146" s="141">
        <v>11321</v>
      </c>
      <c r="K2146" s="238">
        <v>430198</v>
      </c>
      <c r="L2146" s="118" t="s">
        <v>237</v>
      </c>
      <c r="M2146" s="118" t="s">
        <v>163</v>
      </c>
      <c r="N2146" s="25" t="str">
        <f>IF(AND('331-CT'!$E$7=TH!H2146,OR(L2146="331",M2146="331")),"331",IF(AND(OR(L2146="131",M2146="131"),H2146='131-CT'!$E$7),"131",""))</f>
        <v>131</v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21"/>
    </row>
    <row r="2147" spans="1:26" ht="15.75" customHeight="1">
      <c r="A2147" s="125" t="str">
        <f>IF(B2147&lt;&gt;"",IF(AND(B2147&gt;=_TM1,B2147&lt;=_TM2,OR(TH!L2147="1111",TH!M2147="1111")),TH!D2147,""),"")</f>
        <v/>
      </c>
      <c r="B2147" s="11">
        <f t="shared" si="172"/>
        <v>11</v>
      </c>
      <c r="C2147" s="115">
        <v>40862</v>
      </c>
      <c r="D2147" s="115" t="s">
        <v>917</v>
      </c>
      <c r="E2147" s="115">
        <v>40862</v>
      </c>
      <c r="F2147" s="116" t="s">
        <v>1216</v>
      </c>
      <c r="G2147" s="224" t="s">
        <v>1241</v>
      </c>
      <c r="H2147" s="117" t="s">
        <v>709</v>
      </c>
      <c r="I2147" s="141">
        <v>24</v>
      </c>
      <c r="J2147" s="141">
        <v>10267</v>
      </c>
      <c r="K2147" s="238">
        <v>246408</v>
      </c>
      <c r="L2147" s="118" t="s">
        <v>237</v>
      </c>
      <c r="M2147" s="118" t="s">
        <v>163</v>
      </c>
      <c r="N2147" s="25" t="str">
        <f>IF(AND('331-CT'!$E$7=TH!H2147,OR(L2147="331",M2147="331")),"331",IF(AND(OR(L2147="131",M2147="131"),H2147='131-CT'!$E$7),"131",""))</f>
        <v>131</v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21"/>
    </row>
    <row r="2148" spans="1:26" ht="15.75" customHeight="1">
      <c r="A2148" s="125" t="str">
        <f>IF(B2148&lt;&gt;"",IF(AND(B2148&gt;=_TM1,B2148&lt;=_TM2,OR(TH!L2148="1111",TH!M2148="1111")),TH!D2148,""),"")</f>
        <v/>
      </c>
      <c r="B2148" s="11">
        <f t="shared" si="172"/>
        <v>11</v>
      </c>
      <c r="C2148" s="115">
        <v>40862</v>
      </c>
      <c r="D2148" s="115" t="s">
        <v>917</v>
      </c>
      <c r="E2148" s="115">
        <v>40862</v>
      </c>
      <c r="F2148" s="116" t="s">
        <v>958</v>
      </c>
      <c r="G2148" s="224" t="s">
        <v>1241</v>
      </c>
      <c r="H2148" s="117" t="s">
        <v>709</v>
      </c>
      <c r="I2148" s="141">
        <v>1</v>
      </c>
      <c r="J2148" s="141">
        <v>13099</v>
      </c>
      <c r="K2148" s="238">
        <v>13099</v>
      </c>
      <c r="L2148" s="118" t="s">
        <v>237</v>
      </c>
      <c r="M2148" s="118" t="s">
        <v>163</v>
      </c>
      <c r="N2148" s="25" t="str">
        <f>IF(AND('331-CT'!$E$7=TH!H2148,OR(L2148="331",M2148="331")),"331",IF(AND(OR(L2148="131",M2148="131"),H2148='131-CT'!$E$7),"131",""))</f>
        <v>131</v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21"/>
    </row>
    <row r="2149" spans="1:26" ht="15.75" customHeight="1">
      <c r="A2149" s="125" t="str">
        <f>IF(B2149&lt;&gt;"",IF(AND(B2149&gt;=_TM1,B2149&lt;=_TM2,OR(TH!L2149="1111",TH!M2149="1111")),TH!D2149,""),"")</f>
        <v/>
      </c>
      <c r="B2149" s="11">
        <f t="shared" si="172"/>
        <v>11</v>
      </c>
      <c r="C2149" s="115">
        <v>40862</v>
      </c>
      <c r="D2149" s="115" t="s">
        <v>917</v>
      </c>
      <c r="E2149" s="115">
        <v>40862</v>
      </c>
      <c r="F2149" s="116" t="s">
        <v>725</v>
      </c>
      <c r="G2149" s="224" t="s">
        <v>1241</v>
      </c>
      <c r="H2149" s="117" t="s">
        <v>709</v>
      </c>
      <c r="I2149" s="141">
        <v>3</v>
      </c>
      <c r="J2149" s="141">
        <v>12564</v>
      </c>
      <c r="K2149" s="238">
        <v>37692</v>
      </c>
      <c r="L2149" s="118" t="s">
        <v>237</v>
      </c>
      <c r="M2149" s="118" t="s">
        <v>163</v>
      </c>
      <c r="N2149" s="25" t="str">
        <f>IF(AND('331-CT'!$E$7=TH!H2149,OR(L2149="331",M2149="331")),"331",IF(AND(OR(L2149="131",M2149="131"),H2149='131-CT'!$E$7),"131",""))</f>
        <v>131</v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21"/>
    </row>
    <row r="2150" spans="1:26" ht="15.75" customHeight="1">
      <c r="A2150" s="125" t="str">
        <f>IF(B2150&lt;&gt;"",IF(AND(B2150&gt;=_TM1,B2150&lt;=_TM2,OR(TH!L2150="1111",TH!M2150="1111")),TH!D2150,""),"")</f>
        <v/>
      </c>
      <c r="B2150" s="11">
        <f t="shared" si="172"/>
        <v>11</v>
      </c>
      <c r="C2150" s="115">
        <v>40862</v>
      </c>
      <c r="D2150" s="115" t="s">
        <v>917</v>
      </c>
      <c r="E2150" s="115">
        <v>40862</v>
      </c>
      <c r="F2150" s="116" t="s">
        <v>728</v>
      </c>
      <c r="G2150" s="224" t="s">
        <v>1241</v>
      </c>
      <c r="H2150" s="117" t="s">
        <v>709</v>
      </c>
      <c r="I2150" s="141">
        <v>3</v>
      </c>
      <c r="J2150" s="141">
        <v>16284</v>
      </c>
      <c r="K2150" s="238">
        <v>48852</v>
      </c>
      <c r="L2150" s="118" t="s">
        <v>237</v>
      </c>
      <c r="M2150" s="118" t="s">
        <v>163</v>
      </c>
      <c r="N2150" s="25" t="str">
        <f>IF(AND('331-CT'!$E$7=TH!H2150,OR(L2150="331",M2150="331")),"331",IF(AND(OR(L2150="131",M2150="131"),H2150='131-CT'!$E$7),"131",""))</f>
        <v>131</v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21"/>
    </row>
    <row r="2151" spans="1:26" ht="15.75" customHeight="1">
      <c r="A2151" s="125" t="str">
        <f>IF(B2151&lt;&gt;"",IF(AND(B2151&gt;=_TM1,B2151&lt;=_TM2,OR(TH!L2151="1111",TH!M2151="1111")),TH!D2151,""),"")</f>
        <v/>
      </c>
      <c r="B2151" s="11">
        <f t="shared" si="172"/>
        <v>11</v>
      </c>
      <c r="C2151" s="115">
        <v>40862</v>
      </c>
      <c r="D2151" s="115" t="s">
        <v>917</v>
      </c>
      <c r="E2151" s="115">
        <v>40862</v>
      </c>
      <c r="F2151" s="116" t="s">
        <v>724</v>
      </c>
      <c r="G2151" s="224" t="s">
        <v>1241</v>
      </c>
      <c r="H2151" s="117" t="s">
        <v>709</v>
      </c>
      <c r="I2151" s="141">
        <v>5</v>
      </c>
      <c r="J2151" s="141">
        <v>10253</v>
      </c>
      <c r="K2151" s="238">
        <v>51265</v>
      </c>
      <c r="L2151" s="118" t="s">
        <v>237</v>
      </c>
      <c r="M2151" s="118" t="s">
        <v>163</v>
      </c>
      <c r="N2151" s="25" t="str">
        <f>IF(AND('331-CT'!$E$7=TH!H2151,OR(L2151="331",M2151="331")),"331",IF(AND(OR(L2151="131",M2151="131"),H2151='131-CT'!$E$7),"131",""))</f>
        <v>131</v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21"/>
    </row>
    <row r="2152" spans="1:26" ht="15.75" customHeight="1">
      <c r="A2152" s="125" t="str">
        <f>IF(B2152&lt;&gt;"",IF(AND(B2152&gt;=_TM1,B2152&lt;=_TM2,OR(TH!L2152="1111",TH!M2152="1111")),TH!D2152,""),"")</f>
        <v/>
      </c>
      <c r="B2152" s="11">
        <f t="shared" si="172"/>
        <v>11</v>
      </c>
      <c r="C2152" s="115">
        <v>40862</v>
      </c>
      <c r="D2152" s="115" t="s">
        <v>917</v>
      </c>
      <c r="E2152" s="115">
        <v>40862</v>
      </c>
      <c r="F2152" s="116" t="s">
        <v>1242</v>
      </c>
      <c r="G2152" s="224" t="s">
        <v>1241</v>
      </c>
      <c r="H2152" s="117" t="s">
        <v>709</v>
      </c>
      <c r="I2152" s="141">
        <v>4</v>
      </c>
      <c r="J2152" s="141">
        <v>10026</v>
      </c>
      <c r="K2152" s="238">
        <v>40104</v>
      </c>
      <c r="L2152" s="118" t="s">
        <v>237</v>
      </c>
      <c r="M2152" s="118" t="s">
        <v>163</v>
      </c>
      <c r="N2152" s="25" t="str">
        <f>IF(AND('331-CT'!$E$7=TH!H2152,OR(L2152="331",M2152="331")),"331",IF(AND(OR(L2152="131",M2152="131"),H2152='131-CT'!$E$7),"131",""))</f>
        <v>131</v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21"/>
    </row>
    <row r="2153" spans="1:26" ht="15.75" customHeight="1">
      <c r="A2153" s="125" t="str">
        <f>IF(B2153&lt;&gt;"",IF(AND(B2153&gt;=_TM1,B2153&lt;=_TM2,OR(TH!L2153="1111",TH!M2153="1111")),TH!D2153,""),"")</f>
        <v/>
      </c>
      <c r="B2153" s="11">
        <f t="shared" si="172"/>
        <v>11</v>
      </c>
      <c r="C2153" s="115">
        <v>40862</v>
      </c>
      <c r="D2153" s="115" t="s">
        <v>917</v>
      </c>
      <c r="E2153" s="115">
        <v>40862</v>
      </c>
      <c r="F2153" s="116" t="s">
        <v>979</v>
      </c>
      <c r="G2153" s="224" t="s">
        <v>1241</v>
      </c>
      <c r="H2153" s="117" t="s">
        <v>709</v>
      </c>
      <c r="I2153" s="141">
        <v>1</v>
      </c>
      <c r="J2153" s="141">
        <v>7285</v>
      </c>
      <c r="K2153" s="238">
        <v>7285</v>
      </c>
      <c r="L2153" s="118" t="s">
        <v>237</v>
      </c>
      <c r="M2153" s="118" t="s">
        <v>163</v>
      </c>
      <c r="N2153" s="25" t="str">
        <f>IF(AND('331-CT'!$E$7=TH!H2153,OR(L2153="331",M2153="331")),"331",IF(AND(OR(L2153="131",M2153="131"),H2153='131-CT'!$E$7),"131",""))</f>
        <v>131</v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21"/>
    </row>
    <row r="2154" spans="1:26" ht="15.75" customHeight="1">
      <c r="A2154" s="125" t="str">
        <f>IF(B2154&lt;&gt;"",IF(AND(B2154&gt;=_TM1,B2154&lt;=_TM2,OR(TH!L2154="1111",TH!M2154="1111")),TH!D2154,""),"")</f>
        <v/>
      </c>
      <c r="B2154" s="11">
        <f t="shared" si="172"/>
        <v>11</v>
      </c>
      <c r="C2154" s="115">
        <v>40862</v>
      </c>
      <c r="D2154" s="115" t="s">
        <v>917</v>
      </c>
      <c r="E2154" s="115">
        <v>40862</v>
      </c>
      <c r="F2154" s="116" t="s">
        <v>733</v>
      </c>
      <c r="G2154" s="224" t="s">
        <v>1241</v>
      </c>
      <c r="H2154" s="117" t="s">
        <v>709</v>
      </c>
      <c r="I2154" s="141">
        <v>4</v>
      </c>
      <c r="J2154" s="141">
        <v>5210</v>
      </c>
      <c r="K2154" s="238">
        <v>20840</v>
      </c>
      <c r="L2154" s="118" t="s">
        <v>237</v>
      </c>
      <c r="M2154" s="118" t="s">
        <v>163</v>
      </c>
      <c r="N2154" s="25" t="str">
        <f>IF(AND('331-CT'!$E$7=TH!H2154,OR(L2154="331",M2154="331")),"331",IF(AND(OR(L2154="131",M2154="131"),H2154='131-CT'!$E$7),"131",""))</f>
        <v>131</v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21"/>
    </row>
    <row r="2155" spans="1:26" ht="15.75" customHeight="1">
      <c r="A2155" s="125" t="str">
        <f>IF(B2155&lt;&gt;"",IF(AND(B2155&gt;=_TM1,B2155&lt;=_TM2,OR(TH!L2155="1111",TH!M2155="1111")),TH!D2155,""),"")</f>
        <v/>
      </c>
      <c r="B2155" s="11">
        <f t="shared" si="172"/>
        <v>11</v>
      </c>
      <c r="C2155" s="115">
        <v>40862</v>
      </c>
      <c r="D2155" s="115" t="s">
        <v>917</v>
      </c>
      <c r="E2155" s="115">
        <v>40862</v>
      </c>
      <c r="F2155" s="114" t="s">
        <v>872</v>
      </c>
      <c r="G2155" s="224" t="s">
        <v>1241</v>
      </c>
      <c r="H2155" s="117" t="s">
        <v>709</v>
      </c>
      <c r="I2155" s="141">
        <v>4</v>
      </c>
      <c r="J2155" s="141">
        <v>7094</v>
      </c>
      <c r="K2155" s="238">
        <v>28376</v>
      </c>
      <c r="L2155" s="118" t="s">
        <v>237</v>
      </c>
      <c r="M2155" s="118" t="s">
        <v>163</v>
      </c>
      <c r="N2155" s="25" t="str">
        <f>IF(AND('331-CT'!$E$7=TH!H2155,OR(L2155="331",M2155="331")),"331",IF(AND(OR(L2155="131",M2155="131"),H2155='131-CT'!$E$7),"131",""))</f>
        <v>131</v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21"/>
    </row>
    <row r="2156" spans="1:26" ht="15.75" customHeight="1">
      <c r="A2156" s="125" t="str">
        <f>IF(B2156&lt;&gt;"",IF(AND(B2156&gt;=_TM1,B2156&lt;=_TM2,OR(TH!L2156="1111",TH!M2156="1111")),TH!D2156,""),"")</f>
        <v/>
      </c>
      <c r="B2156" s="11">
        <f t="shared" si="172"/>
        <v>11</v>
      </c>
      <c r="C2156" s="115">
        <v>40862</v>
      </c>
      <c r="D2156" s="115" t="s">
        <v>917</v>
      </c>
      <c r="E2156" s="115">
        <v>40862</v>
      </c>
      <c r="F2156" s="116" t="s">
        <v>734</v>
      </c>
      <c r="G2156" s="224" t="s">
        <v>1241</v>
      </c>
      <c r="H2156" s="117" t="s">
        <v>709</v>
      </c>
      <c r="I2156" s="141">
        <v>2</v>
      </c>
      <c r="J2156" s="141">
        <v>7348</v>
      </c>
      <c r="K2156" s="238">
        <v>14696</v>
      </c>
      <c r="L2156" s="118" t="s">
        <v>237</v>
      </c>
      <c r="M2156" s="118" t="s">
        <v>163</v>
      </c>
      <c r="N2156" s="25" t="str">
        <f>IF(AND('331-CT'!$E$7=TH!H2156,OR(L2156="331",M2156="331")),"331",IF(AND(OR(L2156="131",M2156="131"),H2156='131-CT'!$E$7),"131",""))</f>
        <v>131</v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21"/>
    </row>
    <row r="2157" spans="1:26" ht="15.75" customHeight="1">
      <c r="A2157" s="125" t="str">
        <f>IF(B2157&lt;&gt;"",IF(AND(B2157&gt;=_TM1,B2157&lt;=_TM2,OR(TH!L2157="1111",TH!M2157="1111")),TH!D2157,""),"")</f>
        <v/>
      </c>
      <c r="B2157" s="11">
        <f t="shared" si="172"/>
        <v>11</v>
      </c>
      <c r="C2157" s="115">
        <v>40862</v>
      </c>
      <c r="D2157" s="115" t="s">
        <v>917</v>
      </c>
      <c r="E2157" s="115">
        <v>40862</v>
      </c>
      <c r="F2157" s="116" t="s">
        <v>874</v>
      </c>
      <c r="G2157" s="224" t="s">
        <v>1241</v>
      </c>
      <c r="H2157" s="117" t="s">
        <v>709</v>
      </c>
      <c r="I2157" s="141">
        <v>221</v>
      </c>
      <c r="J2157" s="141">
        <v>9594</v>
      </c>
      <c r="K2157" s="238">
        <v>2120274</v>
      </c>
      <c r="L2157" s="118" t="s">
        <v>237</v>
      </c>
      <c r="M2157" s="118" t="s">
        <v>163</v>
      </c>
      <c r="N2157" s="25" t="str">
        <f>IF(AND('331-CT'!$E$7=TH!H2157,OR(L2157="331",M2157="331")),"331",IF(AND(OR(L2157="131",M2157="131"),H2157='131-CT'!$E$7),"131",""))</f>
        <v>131</v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21"/>
    </row>
    <row r="2158" spans="1:26" ht="15.75" customHeight="1">
      <c r="A2158" s="125" t="str">
        <f>IF(B2158&lt;&gt;"",IF(AND(B2158&gt;=_TM1,B2158&lt;=_TM2,OR(TH!L2158="1111",TH!M2158="1111")),TH!D2158,""),"")</f>
        <v/>
      </c>
      <c r="B2158" s="11">
        <f t="shared" si="172"/>
        <v>11</v>
      </c>
      <c r="C2158" s="115">
        <v>40862</v>
      </c>
      <c r="D2158" s="115" t="s">
        <v>917</v>
      </c>
      <c r="E2158" s="115">
        <v>40862</v>
      </c>
      <c r="F2158" s="116" t="s">
        <v>735</v>
      </c>
      <c r="G2158" s="224" t="s">
        <v>1241</v>
      </c>
      <c r="H2158" s="117" t="s">
        <v>709</v>
      </c>
      <c r="I2158" s="141">
        <v>62</v>
      </c>
      <c r="J2158" s="141">
        <v>15136</v>
      </c>
      <c r="K2158" s="238">
        <v>938432</v>
      </c>
      <c r="L2158" s="118" t="s">
        <v>237</v>
      </c>
      <c r="M2158" s="118" t="s">
        <v>163</v>
      </c>
      <c r="N2158" s="25" t="str">
        <f>IF(AND('331-CT'!$E$7=TH!H2158,OR(L2158="331",M2158="331")),"331",IF(AND(OR(L2158="131",M2158="131"),H2158='131-CT'!$E$7),"131",""))</f>
        <v>131</v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21"/>
    </row>
    <row r="2159" spans="1:26" ht="15.75" customHeight="1">
      <c r="A2159" s="125" t="str">
        <f>IF(B2159&lt;&gt;"",IF(AND(B2159&gt;=_TM1,B2159&lt;=_TM2,OR(TH!L2159="1111",TH!M2159="1111")),TH!D2159,""),"")</f>
        <v/>
      </c>
      <c r="B2159" s="11">
        <f t="shared" si="172"/>
        <v>11</v>
      </c>
      <c r="C2159" s="115">
        <v>40862</v>
      </c>
      <c r="D2159" s="115" t="s">
        <v>917</v>
      </c>
      <c r="E2159" s="115">
        <v>40862</v>
      </c>
      <c r="F2159" s="116" t="s">
        <v>870</v>
      </c>
      <c r="G2159" s="224" t="s">
        <v>1241</v>
      </c>
      <c r="H2159" s="117" t="s">
        <v>709</v>
      </c>
      <c r="I2159" s="141">
        <v>139</v>
      </c>
      <c r="J2159" s="141">
        <v>8450</v>
      </c>
      <c r="K2159" s="238">
        <v>1174550</v>
      </c>
      <c r="L2159" s="118" t="s">
        <v>237</v>
      </c>
      <c r="M2159" s="118" t="s">
        <v>163</v>
      </c>
      <c r="N2159" s="25" t="str">
        <f>IF(AND('331-CT'!$E$7=TH!H2159,OR(L2159="331",M2159="331")),"331",IF(AND(OR(L2159="131",M2159="131"),H2159='131-CT'!$E$7),"131",""))</f>
        <v>131</v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21"/>
    </row>
    <row r="2160" spans="1:26" ht="15.75" customHeight="1">
      <c r="A2160" s="125" t="str">
        <f>IF(B2160&lt;&gt;"",IF(AND(B2160&gt;=_TM1,B2160&lt;=_TM2,OR(TH!L2160="1111",TH!M2160="1111")),TH!D2160,""),"")</f>
        <v/>
      </c>
      <c r="B2160" s="11">
        <f t="shared" si="172"/>
        <v>11</v>
      </c>
      <c r="C2160" s="115">
        <v>40862</v>
      </c>
      <c r="D2160" s="115" t="s">
        <v>917</v>
      </c>
      <c r="E2160" s="115">
        <v>40862</v>
      </c>
      <c r="F2160" s="116" t="s">
        <v>722</v>
      </c>
      <c r="G2160" s="224" t="s">
        <v>1241</v>
      </c>
      <c r="H2160" s="117" t="s">
        <v>709</v>
      </c>
      <c r="I2160" s="141">
        <v>312</v>
      </c>
      <c r="J2160" s="141">
        <v>10595</v>
      </c>
      <c r="K2160" s="238">
        <v>3305640</v>
      </c>
      <c r="L2160" s="118" t="s">
        <v>237</v>
      </c>
      <c r="M2160" s="118" t="s">
        <v>163</v>
      </c>
      <c r="N2160" s="25" t="str">
        <f>IF(AND('331-CT'!$E$7=TH!H2160,OR(L2160="331",M2160="331")),"331",IF(AND(OR(L2160="131",M2160="131"),H2160='131-CT'!$E$7),"131",""))</f>
        <v>131</v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21"/>
    </row>
    <row r="2161" spans="1:26" ht="15.75" customHeight="1">
      <c r="A2161" s="125" t="str">
        <f>IF(B2161&lt;&gt;"",IF(AND(B2161&gt;=_TM1,B2161&lt;=_TM2,OR(TH!L2161="1111",TH!M2161="1111")),TH!D2161,""),"")</f>
        <v/>
      </c>
      <c r="B2161" s="11">
        <f t="shared" si="172"/>
        <v>11</v>
      </c>
      <c r="C2161" s="115">
        <v>40862</v>
      </c>
      <c r="D2161" s="115" t="s">
        <v>917</v>
      </c>
      <c r="E2161" s="115">
        <v>40862</v>
      </c>
      <c r="F2161" s="116" t="s">
        <v>1243</v>
      </c>
      <c r="G2161" s="224" t="s">
        <v>1241</v>
      </c>
      <c r="H2161" s="117" t="s">
        <v>709</v>
      </c>
      <c r="I2161" s="141">
        <v>12</v>
      </c>
      <c r="J2161" s="141">
        <v>14836</v>
      </c>
      <c r="K2161" s="238">
        <v>178032</v>
      </c>
      <c r="L2161" s="118" t="s">
        <v>237</v>
      </c>
      <c r="M2161" s="118" t="s">
        <v>163</v>
      </c>
      <c r="N2161" s="25" t="str">
        <f>IF(AND('331-CT'!$E$7=TH!H2161,OR(L2161="331",M2161="331")),"331",IF(AND(OR(L2161="131",M2161="131"),H2161='131-CT'!$E$7),"131",""))</f>
        <v>131</v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21"/>
    </row>
    <row r="2162" spans="1:26" ht="15.75" customHeight="1">
      <c r="A2162" s="125" t="str">
        <f>IF(B2162&lt;&gt;"",IF(AND(B2162&gt;=_TM1,B2162&lt;=_TM2,OR(TH!L2162="1111",TH!M2162="1111")),TH!D2162,""),"")</f>
        <v/>
      </c>
      <c r="B2162" s="11">
        <f t="shared" si="172"/>
        <v>11</v>
      </c>
      <c r="C2162" s="115">
        <v>40862</v>
      </c>
      <c r="D2162" s="115" t="s">
        <v>917</v>
      </c>
      <c r="E2162" s="115">
        <v>40862</v>
      </c>
      <c r="F2162" s="116" t="s">
        <v>726</v>
      </c>
      <c r="G2162" s="224" t="s">
        <v>1241</v>
      </c>
      <c r="H2162" s="117" t="s">
        <v>709</v>
      </c>
      <c r="I2162" s="141">
        <v>206</v>
      </c>
      <c r="J2162" s="141">
        <v>15618</v>
      </c>
      <c r="K2162" s="238">
        <v>3217308</v>
      </c>
      <c r="L2162" s="118" t="s">
        <v>237</v>
      </c>
      <c r="M2162" s="118" t="s">
        <v>163</v>
      </c>
      <c r="N2162" s="25" t="str">
        <f>IF(AND('331-CT'!$E$7=TH!H2162,OR(L2162="331",M2162="331")),"331",IF(AND(OR(L2162="131",M2162="131"),H2162='131-CT'!$E$7),"131",""))</f>
        <v>131</v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21"/>
    </row>
    <row r="2163" spans="1:26" ht="15.75" customHeight="1">
      <c r="A2163" s="125" t="str">
        <f>IF(B2163&lt;&gt;"",IF(AND(B2163&gt;=_TM1,B2163&lt;=_TM2,OR(TH!L2163="1111",TH!M2163="1111")),TH!D2163,""),"")</f>
        <v/>
      </c>
      <c r="B2163" s="11">
        <f t="shared" si="172"/>
        <v>11</v>
      </c>
      <c r="C2163" s="115">
        <v>40862</v>
      </c>
      <c r="D2163" s="115" t="s">
        <v>917</v>
      </c>
      <c r="E2163" s="115">
        <v>40862</v>
      </c>
      <c r="F2163" s="116" t="s">
        <v>1244</v>
      </c>
      <c r="G2163" s="224" t="s">
        <v>1241</v>
      </c>
      <c r="H2163" s="117" t="s">
        <v>709</v>
      </c>
      <c r="I2163" s="141">
        <v>45</v>
      </c>
      <c r="J2163" s="141">
        <v>16215</v>
      </c>
      <c r="K2163" s="238">
        <v>729675</v>
      </c>
      <c r="L2163" s="118" t="s">
        <v>237</v>
      </c>
      <c r="M2163" s="118" t="s">
        <v>163</v>
      </c>
      <c r="N2163" s="25" t="str">
        <f>IF(AND('331-CT'!$E$7=TH!H2163,OR(L2163="331",M2163="331")),"331",IF(AND(OR(L2163="131",M2163="131"),H2163='131-CT'!$E$7),"131",""))</f>
        <v>131</v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21"/>
    </row>
    <row r="2164" spans="1:26" ht="15.75" customHeight="1">
      <c r="A2164" s="125" t="str">
        <f>IF(B2164&lt;&gt;"",IF(AND(B2164&gt;=_TM1,B2164&lt;=_TM2,OR(TH!L2164="1111",TH!M2164="1111")),TH!D2164,""),"")</f>
        <v/>
      </c>
      <c r="B2164" s="11">
        <f t="shared" si="172"/>
        <v>11</v>
      </c>
      <c r="C2164" s="115">
        <v>40862</v>
      </c>
      <c r="D2164" s="115" t="s">
        <v>917</v>
      </c>
      <c r="E2164" s="115">
        <v>40862</v>
      </c>
      <c r="F2164" s="116" t="s">
        <v>1245</v>
      </c>
      <c r="G2164" s="224" t="s">
        <v>1241</v>
      </c>
      <c r="H2164" s="117" t="s">
        <v>709</v>
      </c>
      <c r="I2164" s="141">
        <v>63</v>
      </c>
      <c r="J2164" s="141">
        <v>12346</v>
      </c>
      <c r="K2164" s="238">
        <v>777798</v>
      </c>
      <c r="L2164" s="118" t="s">
        <v>237</v>
      </c>
      <c r="M2164" s="118" t="s">
        <v>163</v>
      </c>
      <c r="N2164" s="25" t="str">
        <f>IF(AND('331-CT'!$E$7=TH!H2164,OR(L2164="331",M2164="331")),"331",IF(AND(OR(L2164="131",M2164="131"),H2164='131-CT'!$E$7),"131",""))</f>
        <v>131</v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21"/>
    </row>
    <row r="2165" spans="1:26" ht="15.75" customHeight="1">
      <c r="A2165" s="125" t="str">
        <f>IF(B2165&lt;&gt;"",IF(AND(B2165&gt;=_TM1,B2165&lt;=_TM2,OR(TH!L2165="1111",TH!M2165="1111")),TH!D2165,""),"")</f>
        <v/>
      </c>
      <c r="B2165" s="11">
        <f t="shared" si="172"/>
        <v>11</v>
      </c>
      <c r="C2165" s="115">
        <v>40862</v>
      </c>
      <c r="D2165" s="115" t="s">
        <v>917</v>
      </c>
      <c r="E2165" s="115">
        <v>40862</v>
      </c>
      <c r="F2165" s="116" t="s">
        <v>1246</v>
      </c>
      <c r="G2165" s="224" t="s">
        <v>1241</v>
      </c>
      <c r="H2165" s="117" t="s">
        <v>709</v>
      </c>
      <c r="I2165" s="141">
        <v>60</v>
      </c>
      <c r="J2165" s="141">
        <v>13110</v>
      </c>
      <c r="K2165" s="238">
        <v>786600</v>
      </c>
      <c r="L2165" s="118" t="s">
        <v>237</v>
      </c>
      <c r="M2165" s="118" t="s">
        <v>163</v>
      </c>
      <c r="N2165" s="25" t="str">
        <f>IF(AND('331-CT'!$E$7=TH!H2165,OR(L2165="331",M2165="331")),"331",IF(AND(OR(L2165="131",M2165="131"),H2165='131-CT'!$E$7),"131",""))</f>
        <v>131</v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21"/>
    </row>
    <row r="2166" spans="1:26" ht="15.75" customHeight="1">
      <c r="A2166" s="125" t="str">
        <f>IF(B2166&lt;&gt;"",IF(AND(B2166&gt;=_TM1,B2166&lt;=_TM2,OR(TH!L2166="1111",TH!M2166="1111")),TH!D2166,""),"")</f>
        <v/>
      </c>
      <c r="B2166" s="11">
        <f t="shared" si="172"/>
        <v>11</v>
      </c>
      <c r="C2166" s="115">
        <v>40862</v>
      </c>
      <c r="D2166" s="115" t="s">
        <v>917</v>
      </c>
      <c r="E2166" s="115">
        <v>40862</v>
      </c>
      <c r="F2166" s="116" t="s">
        <v>1247</v>
      </c>
      <c r="G2166" s="224" t="s">
        <v>1241</v>
      </c>
      <c r="H2166" s="117" t="s">
        <v>709</v>
      </c>
      <c r="I2166" s="141">
        <v>61</v>
      </c>
      <c r="J2166" s="141">
        <v>10884</v>
      </c>
      <c r="K2166" s="238">
        <v>663924</v>
      </c>
      <c r="L2166" s="118" t="s">
        <v>237</v>
      </c>
      <c r="M2166" s="118" t="s">
        <v>163</v>
      </c>
      <c r="N2166" s="25" t="str">
        <f>IF(AND('331-CT'!$E$7=TH!H2166,OR(L2166="331",M2166="331")),"331",IF(AND(OR(L2166="131",M2166="131"),H2166='131-CT'!$E$7),"131",""))</f>
        <v>131</v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21"/>
    </row>
    <row r="2167" spans="1:26" ht="15.75" customHeight="1">
      <c r="A2167" s="125" t="str">
        <f>IF(B2167&lt;&gt;"",IF(AND(B2167&gt;=_TM1,B2167&lt;=_TM2,OR(TH!L2167="1111",TH!M2167="1111")),TH!D2167,""),"")</f>
        <v/>
      </c>
      <c r="B2167" s="11">
        <f t="shared" si="172"/>
        <v>11</v>
      </c>
      <c r="C2167" s="115">
        <v>40862</v>
      </c>
      <c r="D2167" s="115" t="s">
        <v>917</v>
      </c>
      <c r="E2167" s="115">
        <v>40862</v>
      </c>
      <c r="F2167" s="116" t="s">
        <v>1248</v>
      </c>
      <c r="G2167" s="224" t="s">
        <v>1241</v>
      </c>
      <c r="H2167" s="117" t="s">
        <v>709</v>
      </c>
      <c r="I2167" s="141">
        <v>104</v>
      </c>
      <c r="J2167" s="141">
        <v>22061</v>
      </c>
      <c r="K2167" s="238">
        <v>2294344</v>
      </c>
      <c r="L2167" s="118" t="s">
        <v>237</v>
      </c>
      <c r="M2167" s="118" t="s">
        <v>163</v>
      </c>
      <c r="N2167" s="25" t="str">
        <f>IF(AND('331-CT'!$E$7=TH!H2167,OR(L2167="331",M2167="331")),"331",IF(AND(OR(L2167="131",M2167="131"),H2167='131-CT'!$E$7),"131",""))</f>
        <v>131</v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21"/>
    </row>
    <row r="2168" spans="1:26" ht="15.75" customHeight="1">
      <c r="A2168" s="125" t="str">
        <f>IF(B2168&lt;&gt;"",IF(AND(B2168&gt;=_TM1,B2168&lt;=_TM2,OR(TH!L2168="1111",TH!M2168="1111")),TH!D2168,""),"")</f>
        <v/>
      </c>
      <c r="B2168" s="11">
        <f t="shared" si="172"/>
        <v>11</v>
      </c>
      <c r="C2168" s="115">
        <v>40862</v>
      </c>
      <c r="D2168" s="115" t="s">
        <v>917</v>
      </c>
      <c r="E2168" s="115">
        <v>40862</v>
      </c>
      <c r="F2168" s="116" t="s">
        <v>1249</v>
      </c>
      <c r="G2168" s="224" t="s">
        <v>1241</v>
      </c>
      <c r="H2168" s="117" t="s">
        <v>709</v>
      </c>
      <c r="I2168" s="141">
        <v>152</v>
      </c>
      <c r="J2168" s="141">
        <v>9449</v>
      </c>
      <c r="K2168" s="238">
        <v>1436248</v>
      </c>
      <c r="L2168" s="118" t="s">
        <v>237</v>
      </c>
      <c r="M2168" s="118" t="s">
        <v>163</v>
      </c>
      <c r="N2168" s="25" t="str">
        <f>IF(AND('331-CT'!$E$7=TH!H2168,OR(L2168="331",M2168="331")),"331",IF(AND(OR(L2168="131",M2168="131"),H2168='131-CT'!$E$7),"131",""))</f>
        <v>131</v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21"/>
    </row>
    <row r="2169" spans="1:26" ht="15.75" customHeight="1">
      <c r="A2169" s="125" t="str">
        <f>IF(B2169&lt;&gt;"",IF(AND(B2169&gt;=_TM1,B2169&lt;=_TM2,OR(TH!L2169="1111",TH!M2169="1111")),TH!D2169,""),"")</f>
        <v/>
      </c>
      <c r="B2169" s="11">
        <f t="shared" si="172"/>
        <v>11</v>
      </c>
      <c r="C2169" s="115">
        <v>40862</v>
      </c>
      <c r="D2169" s="115" t="s">
        <v>917</v>
      </c>
      <c r="E2169" s="115">
        <v>40862</v>
      </c>
      <c r="F2169" s="116" t="s">
        <v>1250</v>
      </c>
      <c r="G2169" s="224" t="s">
        <v>1241</v>
      </c>
      <c r="H2169" s="117" t="s">
        <v>709</v>
      </c>
      <c r="I2169" s="141">
        <v>235</v>
      </c>
      <c r="J2169" s="141">
        <v>10362</v>
      </c>
      <c r="K2169" s="238">
        <v>2435070</v>
      </c>
      <c r="L2169" s="118" t="s">
        <v>237</v>
      </c>
      <c r="M2169" s="118" t="s">
        <v>163</v>
      </c>
      <c r="N2169" s="25" t="str">
        <f>IF(AND('331-CT'!$E$7=TH!H2169,OR(L2169="331",M2169="331")),"331",IF(AND(OR(L2169="131",M2169="131"),H2169='131-CT'!$E$7),"131",""))</f>
        <v>131</v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21"/>
    </row>
    <row r="2170" spans="1:26" ht="15.75" customHeight="1">
      <c r="A2170" s="125" t="str">
        <f>IF(B2170&lt;&gt;"",IF(AND(B2170&gt;=_TM1,B2170&lt;=_TM2,OR(TH!L2170="1111",TH!M2170="1111")),TH!D2170,""),"")</f>
        <v/>
      </c>
      <c r="B2170" s="11">
        <f t="shared" si="172"/>
        <v>11</v>
      </c>
      <c r="C2170" s="115">
        <v>40862</v>
      </c>
      <c r="D2170" s="115" t="s">
        <v>917</v>
      </c>
      <c r="E2170" s="115">
        <v>40862</v>
      </c>
      <c r="F2170" s="116" t="s">
        <v>1121</v>
      </c>
      <c r="G2170" s="224" t="s">
        <v>1241</v>
      </c>
      <c r="H2170" s="117" t="s">
        <v>709</v>
      </c>
      <c r="I2170" s="141"/>
      <c r="J2170" s="141"/>
      <c r="K2170" s="238">
        <v>3080245</v>
      </c>
      <c r="L2170" s="118" t="s">
        <v>237</v>
      </c>
      <c r="M2170" s="118" t="s">
        <v>707</v>
      </c>
      <c r="N2170" s="25" t="str">
        <f>IF(AND('331-CT'!$E$7=TH!H2170,OR(L2170="331",M2170="331")),"331",IF(AND(OR(L2170="131",M2170="131"),H2170='131-CT'!$E$7),"131",""))</f>
        <v>131</v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21"/>
    </row>
    <row r="2171" spans="1:26" ht="15.75" customHeight="1">
      <c r="A2171" s="125" t="str">
        <f>IF(B2171&lt;&gt;"",IF(AND(B2171&gt;=_TM1,B2171&lt;=_TM2,OR(TH!L2171="1111",TH!M2171="1111")),TH!D2171,""),"")</f>
        <v/>
      </c>
      <c r="B2171" s="11">
        <f t="shared" si="172"/>
        <v>11</v>
      </c>
      <c r="C2171" s="115">
        <f t="shared" ref="C2171:C2202" si="173">E2171</f>
        <v>40862</v>
      </c>
      <c r="D2171" s="324" t="s">
        <v>1051</v>
      </c>
      <c r="E2171" s="304">
        <v>40862</v>
      </c>
      <c r="F2171" s="15" t="s">
        <v>618</v>
      </c>
      <c r="G2171" s="15"/>
      <c r="H2171" s="242" t="s">
        <v>1037</v>
      </c>
      <c r="I2171" s="141">
        <v>19</v>
      </c>
      <c r="J2171" s="141">
        <v>34653</v>
      </c>
      <c r="K2171" s="238">
        <f t="shared" ref="K2171:K2202" si="174">ROUND(I2171*J2171,0)</f>
        <v>658407</v>
      </c>
      <c r="L2171" s="25" t="s">
        <v>153</v>
      </c>
      <c r="M2171" s="25" t="s">
        <v>147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21"/>
    </row>
    <row r="2172" spans="1:26" ht="15.75" customHeight="1">
      <c r="A2172" s="125" t="str">
        <f>IF(B2172&lt;&gt;"",IF(AND(B2172&gt;=_TM1,B2172&lt;=_TM2,OR(TH!L2172="1111",TH!M2172="1111")),TH!D2172,""),"")</f>
        <v/>
      </c>
      <c r="B2172" s="11">
        <f t="shared" si="172"/>
        <v>11</v>
      </c>
      <c r="C2172" s="115">
        <f t="shared" si="173"/>
        <v>40862</v>
      </c>
      <c r="D2172" s="324" t="s">
        <v>1051</v>
      </c>
      <c r="E2172" s="304">
        <v>40862</v>
      </c>
      <c r="F2172" s="15" t="s">
        <v>628</v>
      </c>
      <c r="G2172" s="15"/>
      <c r="H2172" s="242" t="s">
        <v>1037</v>
      </c>
      <c r="I2172" s="141">
        <v>8</v>
      </c>
      <c r="J2172" s="141">
        <v>14105</v>
      </c>
      <c r="K2172" s="238">
        <f t="shared" si="174"/>
        <v>112840</v>
      </c>
      <c r="L2172" s="25" t="s">
        <v>153</v>
      </c>
      <c r="M2172" s="25" t="s">
        <v>147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21"/>
    </row>
    <row r="2173" spans="1:26" ht="15.75" customHeight="1">
      <c r="A2173" s="125" t="str">
        <f>IF(B2173&lt;&gt;"",IF(AND(B2173&gt;=_TM1,B2173&lt;=_TM2,OR(TH!L2173="1111",TH!M2173="1111")),TH!D2173,""),"")</f>
        <v/>
      </c>
      <c r="B2173" s="11">
        <f t="shared" si="172"/>
        <v>11</v>
      </c>
      <c r="C2173" s="115">
        <f t="shared" si="173"/>
        <v>40862</v>
      </c>
      <c r="D2173" s="324" t="s">
        <v>1051</v>
      </c>
      <c r="E2173" s="304">
        <v>40862</v>
      </c>
      <c r="F2173" s="114" t="s">
        <v>484</v>
      </c>
      <c r="G2173" s="15"/>
      <c r="H2173" s="242" t="s">
        <v>1037</v>
      </c>
      <c r="I2173" s="141">
        <v>24</v>
      </c>
      <c r="J2173" s="141">
        <v>8620</v>
      </c>
      <c r="K2173" s="238">
        <f t="shared" si="174"/>
        <v>206880</v>
      </c>
      <c r="L2173" s="25" t="s">
        <v>153</v>
      </c>
      <c r="M2173" s="25" t="s">
        <v>147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21"/>
    </row>
    <row r="2174" spans="1:26" ht="15.75" customHeight="1">
      <c r="A2174" s="125" t="str">
        <f>IF(B2174&lt;&gt;"",IF(AND(B2174&gt;=_TM1,B2174&lt;=_TM2,OR(TH!L2174="1111",TH!M2174="1111")),TH!D2174,""),"")</f>
        <v/>
      </c>
      <c r="B2174" s="11">
        <f t="shared" si="172"/>
        <v>11</v>
      </c>
      <c r="C2174" s="115">
        <f t="shared" si="173"/>
        <v>40862</v>
      </c>
      <c r="D2174" s="324" t="s">
        <v>1051</v>
      </c>
      <c r="E2174" s="304">
        <v>40862</v>
      </c>
      <c r="F2174" s="15" t="s">
        <v>628</v>
      </c>
      <c r="G2174" s="15"/>
      <c r="H2174" s="242" t="s">
        <v>1037</v>
      </c>
      <c r="I2174" s="141">
        <v>12</v>
      </c>
      <c r="J2174" s="141">
        <v>14105</v>
      </c>
      <c r="K2174" s="238">
        <f t="shared" si="174"/>
        <v>169260</v>
      </c>
      <c r="L2174" s="25" t="s">
        <v>153</v>
      </c>
      <c r="M2174" s="25" t="s">
        <v>147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21"/>
    </row>
    <row r="2175" spans="1:26" ht="15.75" customHeight="1">
      <c r="A2175" s="125" t="str">
        <f>IF(B2175&lt;&gt;"",IF(AND(B2175&gt;=_TM1,B2175&lt;=_TM2,OR(TH!L2175="1111",TH!M2175="1111")),TH!D2175,""),"")</f>
        <v/>
      </c>
      <c r="B2175" s="11">
        <f t="shared" si="172"/>
        <v>11</v>
      </c>
      <c r="C2175" s="115">
        <f t="shared" si="173"/>
        <v>40862</v>
      </c>
      <c r="D2175" s="324" t="s">
        <v>1051</v>
      </c>
      <c r="E2175" s="304">
        <v>40862</v>
      </c>
      <c r="F2175" s="114" t="s">
        <v>526</v>
      </c>
      <c r="G2175" s="15"/>
      <c r="H2175" s="242" t="s">
        <v>1037</v>
      </c>
      <c r="I2175" s="141">
        <v>1</v>
      </c>
      <c r="J2175" s="141">
        <v>13954</v>
      </c>
      <c r="K2175" s="238">
        <f t="shared" si="174"/>
        <v>13954</v>
      </c>
      <c r="L2175" s="25" t="s">
        <v>153</v>
      </c>
      <c r="M2175" s="25" t="s">
        <v>147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21"/>
    </row>
    <row r="2176" spans="1:26" ht="15.75" customHeight="1">
      <c r="A2176" s="125" t="str">
        <f>IF(B2176&lt;&gt;"",IF(AND(B2176&gt;=_TM1,B2176&lt;=_TM2,OR(TH!L2176="1111",TH!M2176="1111")),TH!D2176,""),"")</f>
        <v/>
      </c>
      <c r="B2176" s="11">
        <f t="shared" si="172"/>
        <v>11</v>
      </c>
      <c r="C2176" s="115">
        <f t="shared" si="173"/>
        <v>40862</v>
      </c>
      <c r="D2176" s="324" t="s">
        <v>1051</v>
      </c>
      <c r="E2176" s="304">
        <v>40862</v>
      </c>
      <c r="F2176" s="114" t="s">
        <v>615</v>
      </c>
      <c r="G2176" s="15"/>
      <c r="H2176" s="242" t="s">
        <v>1037</v>
      </c>
      <c r="I2176" s="141">
        <v>12.5</v>
      </c>
      <c r="J2176" s="141">
        <v>24595</v>
      </c>
      <c r="K2176" s="238">
        <f t="shared" si="174"/>
        <v>307438</v>
      </c>
      <c r="L2176" s="25" t="s">
        <v>153</v>
      </c>
      <c r="M2176" s="25" t="s">
        <v>147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21"/>
    </row>
    <row r="2177" spans="1:26" ht="15.75" customHeight="1">
      <c r="A2177" s="125" t="str">
        <f>IF(B2177&lt;&gt;"",IF(AND(B2177&gt;=_TM1,B2177&lt;=_TM2,OR(TH!L2177="1111",TH!M2177="1111")),TH!D2177,""),"")</f>
        <v/>
      </c>
      <c r="B2177" s="11">
        <f t="shared" si="172"/>
        <v>11</v>
      </c>
      <c r="C2177" s="115">
        <f t="shared" si="173"/>
        <v>40862</v>
      </c>
      <c r="D2177" s="324" t="s">
        <v>1051</v>
      </c>
      <c r="E2177" s="304">
        <v>40862</v>
      </c>
      <c r="F2177" s="114" t="s">
        <v>484</v>
      </c>
      <c r="G2177" s="15"/>
      <c r="H2177" s="242" t="s">
        <v>1037</v>
      </c>
      <c r="I2177" s="141">
        <v>274</v>
      </c>
      <c r="J2177" s="141">
        <v>8620</v>
      </c>
      <c r="K2177" s="238">
        <f t="shared" si="174"/>
        <v>2361880</v>
      </c>
      <c r="L2177" s="25" t="s">
        <v>153</v>
      </c>
      <c r="M2177" s="25" t="s">
        <v>147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21"/>
    </row>
    <row r="2178" spans="1:26" ht="15.75" customHeight="1">
      <c r="A2178" s="125" t="str">
        <f>IF(B2178&lt;&gt;"",IF(AND(B2178&gt;=_TM1,B2178&lt;=_TM2,OR(TH!L2178="1111",TH!M2178="1111")),TH!D2178,""),"")</f>
        <v/>
      </c>
      <c r="B2178" s="11">
        <f t="shared" si="172"/>
        <v>11</v>
      </c>
      <c r="C2178" s="115">
        <f t="shared" si="173"/>
        <v>40862</v>
      </c>
      <c r="D2178" s="324" t="s">
        <v>1051</v>
      </c>
      <c r="E2178" s="304">
        <v>40862</v>
      </c>
      <c r="F2178" s="114" t="s">
        <v>484</v>
      </c>
      <c r="G2178" s="15"/>
      <c r="H2178" s="242" t="s">
        <v>1037</v>
      </c>
      <c r="I2178" s="141">
        <v>123</v>
      </c>
      <c r="J2178" s="141">
        <v>8620</v>
      </c>
      <c r="K2178" s="238">
        <f t="shared" si="174"/>
        <v>1060260</v>
      </c>
      <c r="L2178" s="25" t="s">
        <v>153</v>
      </c>
      <c r="M2178" s="25" t="s">
        <v>147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21"/>
    </row>
    <row r="2179" spans="1:26" ht="15.75" customHeight="1">
      <c r="A2179" s="125" t="str">
        <f>IF(B2179&lt;&gt;"",IF(AND(B2179&gt;=_TM1,B2179&lt;=_TM2,OR(TH!L2179="1111",TH!M2179="1111")),TH!D2179,""),"")</f>
        <v/>
      </c>
      <c r="B2179" s="11">
        <f t="shared" si="172"/>
        <v>11</v>
      </c>
      <c r="C2179" s="115">
        <f t="shared" si="173"/>
        <v>40862</v>
      </c>
      <c r="D2179" s="324" t="s">
        <v>1051</v>
      </c>
      <c r="E2179" s="304">
        <v>40862</v>
      </c>
      <c r="F2179" s="114" t="s">
        <v>364</v>
      </c>
      <c r="G2179" s="15"/>
      <c r="H2179" s="242" t="s">
        <v>1037</v>
      </c>
      <c r="I2179" s="315">
        <v>4</v>
      </c>
      <c r="J2179" s="141">
        <v>4449</v>
      </c>
      <c r="K2179" s="238">
        <f t="shared" si="174"/>
        <v>17796</v>
      </c>
      <c r="L2179" s="25" t="s">
        <v>153</v>
      </c>
      <c r="M2179" s="25" t="s">
        <v>147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>x</v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21"/>
    </row>
    <row r="2180" spans="1:26" ht="15.75" customHeight="1">
      <c r="A2180" s="125" t="str">
        <f>IF(B2180&lt;&gt;"",IF(AND(B2180&gt;=_TM1,B2180&lt;=_TM2,OR(TH!L2180="1111",TH!M2180="1111")),TH!D2180,""),"")</f>
        <v/>
      </c>
      <c r="B2180" s="281">
        <f t="shared" si="172"/>
        <v>11</v>
      </c>
      <c r="C2180" s="324">
        <f t="shared" si="173"/>
        <v>40862</v>
      </c>
      <c r="D2180" s="21" t="s">
        <v>1072</v>
      </c>
      <c r="E2180" s="354">
        <v>40862</v>
      </c>
      <c r="F2180" s="22" t="s">
        <v>722</v>
      </c>
      <c r="G2180" s="22"/>
      <c r="H2180" s="332" t="s">
        <v>1037</v>
      </c>
      <c r="I2180" s="139">
        <v>209</v>
      </c>
      <c r="J2180" s="139">
        <v>9549.5034011564458</v>
      </c>
      <c r="K2180" s="285">
        <f t="shared" si="174"/>
        <v>1995846</v>
      </c>
      <c r="L2180" s="25" t="s">
        <v>155</v>
      </c>
      <c r="M2180" s="25" t="s">
        <v>153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308"/>
    </row>
    <row r="2181" spans="1:26" ht="15.75" customHeight="1">
      <c r="A2181" s="125" t="str">
        <f>IF(B2181&lt;&gt;"",IF(AND(B2181&gt;=_TM1,B2181&lt;=_TM2,OR(TH!L2181="1111",TH!M2181="1111")),TH!D2181,""),"")</f>
        <v/>
      </c>
      <c r="B2181" s="281">
        <f t="shared" si="172"/>
        <v>11</v>
      </c>
      <c r="C2181" s="324">
        <f t="shared" si="173"/>
        <v>40862</v>
      </c>
      <c r="D2181" s="21" t="s">
        <v>1072</v>
      </c>
      <c r="E2181" s="354">
        <v>40862</v>
      </c>
      <c r="F2181" s="22" t="s">
        <v>1214</v>
      </c>
      <c r="G2181" s="22"/>
      <c r="H2181" s="332" t="s">
        <v>1037</v>
      </c>
      <c r="I2181" s="139">
        <v>141</v>
      </c>
      <c r="J2181" s="139">
        <v>15403.501093646861</v>
      </c>
      <c r="K2181" s="285">
        <f t="shared" si="174"/>
        <v>2171894</v>
      </c>
      <c r="L2181" s="25" t="s">
        <v>155</v>
      </c>
      <c r="M2181" s="25" t="s">
        <v>153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308"/>
    </row>
    <row r="2182" spans="1:26" ht="15.75" customHeight="1">
      <c r="A2182" s="125" t="str">
        <f>IF(B2182&lt;&gt;"",IF(AND(B2182&gt;=_TM1,B2182&lt;=_TM2,OR(TH!L2182="1111",TH!M2182="1111")),TH!D2182,""),"")</f>
        <v/>
      </c>
      <c r="B2182" s="281">
        <f t="shared" si="172"/>
        <v>11</v>
      </c>
      <c r="C2182" s="324">
        <f t="shared" si="173"/>
        <v>40862</v>
      </c>
      <c r="D2182" s="21" t="s">
        <v>1072</v>
      </c>
      <c r="E2182" s="354">
        <v>40862</v>
      </c>
      <c r="F2182" s="22" t="s">
        <v>1215</v>
      </c>
      <c r="G2182" s="22"/>
      <c r="H2182" s="332" t="s">
        <v>1037</v>
      </c>
      <c r="I2182" s="139">
        <v>348</v>
      </c>
      <c r="J2182" s="139">
        <v>11437.505312282225</v>
      </c>
      <c r="K2182" s="285">
        <f t="shared" si="174"/>
        <v>3980252</v>
      </c>
      <c r="L2182" s="25" t="s">
        <v>155</v>
      </c>
      <c r="M2182" s="25" t="s">
        <v>153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308"/>
    </row>
    <row r="2183" spans="1:26" ht="15.75" customHeight="1">
      <c r="A2183" s="125" t="str">
        <f>IF(B2183&lt;&gt;"",IF(AND(B2183&gt;=_TM1,B2183&lt;=_TM2,OR(TH!L2183="1111",TH!M2183="1111")),TH!D2183,""),"")</f>
        <v/>
      </c>
      <c r="B2183" s="281">
        <f t="shared" si="172"/>
        <v>11</v>
      </c>
      <c r="C2183" s="324">
        <f t="shared" si="173"/>
        <v>40862</v>
      </c>
      <c r="D2183" s="21" t="s">
        <v>1072</v>
      </c>
      <c r="E2183" s="354">
        <v>40862</v>
      </c>
      <c r="F2183" s="22" t="s">
        <v>723</v>
      </c>
      <c r="G2183" s="22"/>
      <c r="H2183" s="332" t="s">
        <v>1037</v>
      </c>
      <c r="I2183" s="139">
        <v>38</v>
      </c>
      <c r="J2183" s="139">
        <v>9918.4818700559699</v>
      </c>
      <c r="K2183" s="285">
        <f t="shared" si="174"/>
        <v>376902</v>
      </c>
      <c r="L2183" s="25" t="s">
        <v>155</v>
      </c>
      <c r="M2183" s="25" t="s">
        <v>153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308"/>
    </row>
    <row r="2184" spans="1:26" ht="15.75" customHeight="1">
      <c r="A2184" s="125" t="str">
        <f>IF(B2184&lt;&gt;"",IF(AND(B2184&gt;=_TM1,B2184&lt;=_TM2,OR(TH!L2184="1111",TH!M2184="1111")),TH!D2184,""),"")</f>
        <v/>
      </c>
      <c r="B2184" s="281">
        <f t="shared" si="172"/>
        <v>11</v>
      </c>
      <c r="C2184" s="324">
        <f t="shared" si="173"/>
        <v>40862</v>
      </c>
      <c r="D2184" s="21" t="s">
        <v>1072</v>
      </c>
      <c r="E2184" s="354">
        <v>40862</v>
      </c>
      <c r="F2184" s="116" t="s">
        <v>1216</v>
      </c>
      <c r="G2184" s="22"/>
      <c r="H2184" s="332" t="s">
        <v>1037</v>
      </c>
      <c r="I2184" s="139">
        <v>24</v>
      </c>
      <c r="J2184" s="139">
        <v>8350.9665191787753</v>
      </c>
      <c r="K2184" s="285">
        <f t="shared" si="174"/>
        <v>200423</v>
      </c>
      <c r="L2184" s="25" t="s">
        <v>155</v>
      </c>
      <c r="M2184" s="25" t="s">
        <v>153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308"/>
    </row>
    <row r="2185" spans="1:26" ht="15.75" customHeight="1">
      <c r="A2185" s="125" t="str">
        <f>IF(B2185&lt;&gt;"",IF(AND(B2185&gt;=_TM1,B2185&lt;=_TM2,OR(TH!L2185="1111",TH!M2185="1111")),TH!D2185,""),"")</f>
        <v/>
      </c>
      <c r="B2185" s="281">
        <f t="shared" si="172"/>
        <v>11</v>
      </c>
      <c r="C2185" s="324">
        <f t="shared" si="173"/>
        <v>40862</v>
      </c>
      <c r="D2185" s="21" t="s">
        <v>1072</v>
      </c>
      <c r="E2185" s="354">
        <v>40862</v>
      </c>
      <c r="F2185" s="22" t="s">
        <v>958</v>
      </c>
      <c r="G2185" s="22"/>
      <c r="H2185" s="332" t="s">
        <v>1037</v>
      </c>
      <c r="I2185" s="139">
        <v>1</v>
      </c>
      <c r="J2185" s="139">
        <v>11436.508185845443</v>
      </c>
      <c r="K2185" s="285">
        <f t="shared" si="174"/>
        <v>11437</v>
      </c>
      <c r="L2185" s="25" t="s">
        <v>155</v>
      </c>
      <c r="M2185" s="25" t="s">
        <v>153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308"/>
    </row>
    <row r="2186" spans="1:26" ht="15.75" customHeight="1">
      <c r="A2186" s="125" t="str">
        <f>IF(B2186&lt;&gt;"",IF(AND(B2186&gt;=_TM1,B2186&lt;=_TM2,OR(TH!L2186="1111",TH!M2186="1111")),TH!D2186,""),"")</f>
        <v/>
      </c>
      <c r="B2186" s="281">
        <f t="shared" si="172"/>
        <v>11</v>
      </c>
      <c r="C2186" s="324">
        <f t="shared" si="173"/>
        <v>40862</v>
      </c>
      <c r="D2186" s="21" t="s">
        <v>1072</v>
      </c>
      <c r="E2186" s="354">
        <v>40862</v>
      </c>
      <c r="F2186" s="22" t="s">
        <v>725</v>
      </c>
      <c r="G2186" s="22"/>
      <c r="H2186" s="332" t="s">
        <v>1037</v>
      </c>
      <c r="I2186" s="139">
        <v>3</v>
      </c>
      <c r="J2186" s="139">
        <v>10496.174852512109</v>
      </c>
      <c r="K2186" s="285">
        <f t="shared" si="174"/>
        <v>31489</v>
      </c>
      <c r="L2186" s="25" t="s">
        <v>155</v>
      </c>
      <c r="M2186" s="25" t="s">
        <v>153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308"/>
    </row>
    <row r="2187" spans="1:26" ht="15.75" customHeight="1">
      <c r="A2187" s="125" t="str">
        <f>IF(B2187&lt;&gt;"",IF(AND(B2187&gt;=_TM1,B2187&lt;=_TM2,OR(TH!L2187="1111",TH!M2187="1111")),TH!D2187,""),"")</f>
        <v/>
      </c>
      <c r="B2187" s="281">
        <f t="shared" si="172"/>
        <v>11</v>
      </c>
      <c r="C2187" s="324">
        <f t="shared" si="173"/>
        <v>40862</v>
      </c>
      <c r="D2187" s="21" t="s">
        <v>1072</v>
      </c>
      <c r="E2187" s="354">
        <v>40862</v>
      </c>
      <c r="F2187" s="22" t="s">
        <v>728</v>
      </c>
      <c r="G2187" s="22"/>
      <c r="H2187" s="332" t="s">
        <v>1037</v>
      </c>
      <c r="I2187" s="139">
        <v>3</v>
      </c>
      <c r="J2187" s="139">
        <v>11117.174852512109</v>
      </c>
      <c r="K2187" s="285">
        <f t="shared" si="174"/>
        <v>33352</v>
      </c>
      <c r="L2187" s="25" t="s">
        <v>155</v>
      </c>
      <c r="M2187" s="25" t="s">
        <v>153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308"/>
    </row>
    <row r="2188" spans="1:26" ht="15.75" customHeight="1">
      <c r="A2188" s="125" t="str">
        <f>IF(B2188&lt;&gt;"",IF(AND(B2188&gt;=_TM1,B2188&lt;=_TM2,OR(TH!L2188="1111",TH!M2188="1111")),TH!D2188,""),"")</f>
        <v/>
      </c>
      <c r="B2188" s="281">
        <f t="shared" si="172"/>
        <v>11</v>
      </c>
      <c r="C2188" s="324">
        <f t="shared" si="173"/>
        <v>40862</v>
      </c>
      <c r="D2188" s="21" t="s">
        <v>1072</v>
      </c>
      <c r="E2188" s="354">
        <v>40862</v>
      </c>
      <c r="F2188" s="22" t="s">
        <v>724</v>
      </c>
      <c r="G2188" s="22"/>
      <c r="H2188" s="332" t="s">
        <v>1037</v>
      </c>
      <c r="I2188" s="139">
        <v>5</v>
      </c>
      <c r="J2188" s="139">
        <v>8047.3081858454416</v>
      </c>
      <c r="K2188" s="285">
        <f t="shared" si="174"/>
        <v>40237</v>
      </c>
      <c r="L2188" s="25" t="s">
        <v>155</v>
      </c>
      <c r="M2188" s="25" t="s">
        <v>153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308"/>
    </row>
    <row r="2189" spans="1:26" ht="15.75" customHeight="1">
      <c r="A2189" s="125" t="str">
        <f>IF(B2189&lt;&gt;"",IF(AND(B2189&gt;=_TM1,B2189&lt;=_TM2,OR(TH!L2189="1111",TH!M2189="1111")),TH!D2189,""),"")</f>
        <v/>
      </c>
      <c r="B2189" s="281">
        <f t="shared" si="172"/>
        <v>11</v>
      </c>
      <c r="C2189" s="324">
        <f t="shared" si="173"/>
        <v>40862</v>
      </c>
      <c r="D2189" s="21" t="s">
        <v>1073</v>
      </c>
      <c r="E2189" s="354">
        <v>40862</v>
      </c>
      <c r="F2189" s="116" t="s">
        <v>1242</v>
      </c>
      <c r="G2189" s="22"/>
      <c r="H2189" s="332" t="s">
        <v>1037</v>
      </c>
      <c r="I2189" s="139">
        <v>4</v>
      </c>
      <c r="J2189" s="139">
        <v>8047.2581858454423</v>
      </c>
      <c r="K2189" s="285">
        <f t="shared" si="174"/>
        <v>32189</v>
      </c>
      <c r="L2189" s="25" t="s">
        <v>155</v>
      </c>
      <c r="M2189" s="25" t="s">
        <v>153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308"/>
    </row>
    <row r="2190" spans="1:26" ht="15.75" customHeight="1">
      <c r="A2190" s="125" t="str">
        <f>IF(B2190&lt;&gt;"",IF(AND(B2190&gt;=_TM1,B2190&lt;=_TM2,OR(TH!L2190="1111",TH!M2190="1111")),TH!D2190,""),"")</f>
        <v/>
      </c>
      <c r="B2190" s="281">
        <f t="shared" si="172"/>
        <v>11</v>
      </c>
      <c r="C2190" s="324">
        <f t="shared" si="173"/>
        <v>40862</v>
      </c>
      <c r="D2190" s="21" t="s">
        <v>1073</v>
      </c>
      <c r="E2190" s="354">
        <v>40862</v>
      </c>
      <c r="F2190" s="334" t="s">
        <v>979</v>
      </c>
      <c r="G2190" s="22"/>
      <c r="H2190" s="332" t="s">
        <v>1037</v>
      </c>
      <c r="I2190" s="139">
        <v>1</v>
      </c>
      <c r="J2190" s="139">
        <v>5746.5081858454423</v>
      </c>
      <c r="K2190" s="285">
        <f t="shared" si="174"/>
        <v>5747</v>
      </c>
      <c r="L2190" s="25" t="s">
        <v>155</v>
      </c>
      <c r="M2190" s="25" t="s">
        <v>153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308"/>
    </row>
    <row r="2191" spans="1:26" ht="15.75" customHeight="1">
      <c r="A2191" s="125" t="str">
        <f>IF(B2191&lt;&gt;"",IF(AND(B2191&gt;=_TM1,B2191&lt;=_TM2,OR(TH!L2191="1111",TH!M2191="1111")),TH!D2191,""),"")</f>
        <v/>
      </c>
      <c r="B2191" s="281">
        <f t="shared" si="172"/>
        <v>11</v>
      </c>
      <c r="C2191" s="324">
        <f t="shared" si="173"/>
        <v>40862</v>
      </c>
      <c r="D2191" s="21" t="s">
        <v>1073</v>
      </c>
      <c r="E2191" s="354">
        <v>40862</v>
      </c>
      <c r="F2191" s="22" t="s">
        <v>733</v>
      </c>
      <c r="G2191" s="22"/>
      <c r="H2191" s="332" t="s">
        <v>1037</v>
      </c>
      <c r="I2191" s="139">
        <v>4</v>
      </c>
      <c r="J2191" s="139">
        <v>5069.7581858454423</v>
      </c>
      <c r="K2191" s="285">
        <f t="shared" si="174"/>
        <v>20279</v>
      </c>
      <c r="L2191" s="25" t="s">
        <v>155</v>
      </c>
      <c r="M2191" s="25" t="s">
        <v>153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308"/>
    </row>
    <row r="2192" spans="1:26" ht="15.75" customHeight="1">
      <c r="A2192" s="125" t="str">
        <f>IF(B2192&lt;&gt;"",IF(AND(B2192&gt;=_TM1,B2192&lt;=_TM2,OR(TH!L2192="1111",TH!M2192="1111")),TH!D2192,""),"")</f>
        <v/>
      </c>
      <c r="B2192" s="281">
        <f t="shared" si="172"/>
        <v>11</v>
      </c>
      <c r="C2192" s="324">
        <f t="shared" si="173"/>
        <v>40862</v>
      </c>
      <c r="D2192" s="21" t="s">
        <v>1073</v>
      </c>
      <c r="E2192" s="354">
        <v>40862</v>
      </c>
      <c r="F2192" s="114" t="s">
        <v>872</v>
      </c>
      <c r="G2192" s="22"/>
      <c r="H2192" s="332" t="s">
        <v>1037</v>
      </c>
      <c r="I2192" s="139">
        <v>4</v>
      </c>
      <c r="J2192" s="139">
        <v>5747.2581858454423</v>
      </c>
      <c r="K2192" s="285">
        <f t="shared" si="174"/>
        <v>22989</v>
      </c>
      <c r="L2192" s="25" t="s">
        <v>155</v>
      </c>
      <c r="M2192" s="25" t="s">
        <v>153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308"/>
    </row>
    <row r="2193" spans="1:26" ht="15.75" customHeight="1">
      <c r="A2193" s="125" t="str">
        <f>IF(B2193&lt;&gt;"",IF(AND(B2193&gt;=_TM1,B2193&lt;=_TM2,OR(TH!L2193="1111",TH!M2193="1111")),TH!D2193,""),"")</f>
        <v/>
      </c>
      <c r="B2193" s="281">
        <f t="shared" si="172"/>
        <v>11</v>
      </c>
      <c r="C2193" s="324">
        <f t="shared" si="173"/>
        <v>40862</v>
      </c>
      <c r="D2193" s="21" t="s">
        <v>1073</v>
      </c>
      <c r="E2193" s="354">
        <v>40862</v>
      </c>
      <c r="F2193" s="22" t="s">
        <v>734</v>
      </c>
      <c r="G2193" s="22"/>
      <c r="H2193" s="332" t="s">
        <v>1037</v>
      </c>
      <c r="I2193" s="139">
        <v>2</v>
      </c>
      <c r="J2193" s="139">
        <v>5747.0081858454423</v>
      </c>
      <c r="K2193" s="285">
        <f t="shared" si="174"/>
        <v>11494</v>
      </c>
      <c r="L2193" s="25" t="s">
        <v>155</v>
      </c>
      <c r="M2193" s="25" t="s">
        <v>153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308"/>
    </row>
    <row r="2194" spans="1:26" ht="15.75" customHeight="1">
      <c r="A2194" s="125" t="str">
        <f>IF(B2194&lt;&gt;"",IF(AND(B2194&gt;=_TM1,B2194&lt;=_TM2,OR(TH!L2194="1111",TH!M2194="1111")),TH!D2194,""),"")</f>
        <v/>
      </c>
      <c r="B2194" s="281">
        <f t="shared" si="172"/>
        <v>11</v>
      </c>
      <c r="C2194" s="324">
        <f t="shared" si="173"/>
        <v>40862</v>
      </c>
      <c r="D2194" s="21" t="s">
        <v>1073</v>
      </c>
      <c r="E2194" s="354">
        <v>40862</v>
      </c>
      <c r="F2194" s="116" t="s">
        <v>874</v>
      </c>
      <c r="G2194" s="22"/>
      <c r="H2194" s="332" t="s">
        <v>1037</v>
      </c>
      <c r="I2194" s="139">
        <v>221</v>
      </c>
      <c r="J2194" s="139">
        <v>8211.8430274744023</v>
      </c>
      <c r="K2194" s="285">
        <f t="shared" si="174"/>
        <v>1814817</v>
      </c>
      <c r="L2194" s="25" t="s">
        <v>155</v>
      </c>
      <c r="M2194" s="25" t="s">
        <v>153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308"/>
    </row>
    <row r="2195" spans="1:26" ht="15.75" customHeight="1">
      <c r="A2195" s="125" t="str">
        <f>IF(B2195&lt;&gt;"",IF(AND(B2195&gt;=_TM1,B2195&lt;=_TM2,OR(TH!L2195="1111",TH!M2195="1111")),TH!D2195,""),"")</f>
        <v/>
      </c>
      <c r="B2195" s="281">
        <f t="shared" si="172"/>
        <v>11</v>
      </c>
      <c r="C2195" s="324">
        <f t="shared" si="173"/>
        <v>40862</v>
      </c>
      <c r="D2195" s="21" t="s">
        <v>1073</v>
      </c>
      <c r="E2195" s="354">
        <v>40862</v>
      </c>
      <c r="F2195" s="22" t="s">
        <v>735</v>
      </c>
      <c r="G2195" s="22"/>
      <c r="H2195" s="332" t="s">
        <v>1037</v>
      </c>
      <c r="I2195" s="139">
        <v>62</v>
      </c>
      <c r="J2195" s="139">
        <v>14113.992056813184</v>
      </c>
      <c r="K2195" s="285">
        <f t="shared" si="174"/>
        <v>875068</v>
      </c>
      <c r="L2195" s="25" t="s">
        <v>155</v>
      </c>
      <c r="M2195" s="25" t="s">
        <v>153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308"/>
    </row>
    <row r="2196" spans="1:26" ht="15.75" customHeight="1">
      <c r="A2196" s="125" t="str">
        <f>IF(B2196&lt;&gt;"",IF(AND(B2196&gt;=_TM1,B2196&lt;=_TM2,OR(TH!L2196="1111",TH!M2196="1111")),TH!D2196,""),"")</f>
        <v/>
      </c>
      <c r="B2196" s="281">
        <f t="shared" si="172"/>
        <v>11</v>
      </c>
      <c r="C2196" s="324">
        <f t="shared" si="173"/>
        <v>40862</v>
      </c>
      <c r="D2196" s="21" t="s">
        <v>1073</v>
      </c>
      <c r="E2196" s="354">
        <v>40862</v>
      </c>
      <c r="F2196" s="116" t="s">
        <v>870</v>
      </c>
      <c r="G2196" s="22"/>
      <c r="H2196" s="332" t="s">
        <v>1037</v>
      </c>
      <c r="I2196" s="139">
        <v>139</v>
      </c>
      <c r="J2196" s="139">
        <v>7422.5009916008385</v>
      </c>
      <c r="K2196" s="285">
        <f t="shared" si="174"/>
        <v>1031728</v>
      </c>
      <c r="L2196" s="25" t="s">
        <v>155</v>
      </c>
      <c r="M2196" s="25" t="s">
        <v>153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308"/>
    </row>
    <row r="2197" spans="1:26" ht="15.75" customHeight="1">
      <c r="A2197" s="125" t="str">
        <f>IF(B2197&lt;&gt;"",IF(AND(B2197&gt;=_TM1,B2197&lt;=_TM2,OR(TH!L2197="1111",TH!M2197="1111")),TH!D2197,""),"")</f>
        <v/>
      </c>
      <c r="B2197" s="281">
        <f t="shared" si="172"/>
        <v>11</v>
      </c>
      <c r="C2197" s="324">
        <f t="shared" si="173"/>
        <v>40862</v>
      </c>
      <c r="D2197" s="21" t="s">
        <v>1073</v>
      </c>
      <c r="E2197" s="354">
        <v>40862</v>
      </c>
      <c r="F2197" s="22" t="s">
        <v>722</v>
      </c>
      <c r="G2197" s="22"/>
      <c r="H2197" s="332" t="s">
        <v>1037</v>
      </c>
      <c r="I2197" s="139">
        <v>312</v>
      </c>
      <c r="J2197" s="139">
        <v>9549.50498071724</v>
      </c>
      <c r="K2197" s="285">
        <f t="shared" si="174"/>
        <v>2979446</v>
      </c>
      <c r="L2197" s="25" t="s">
        <v>155</v>
      </c>
      <c r="M2197" s="25" t="s">
        <v>153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308"/>
    </row>
    <row r="2198" spans="1:26" ht="15.75" customHeight="1">
      <c r="A2198" s="125" t="str">
        <f>IF(B2198&lt;&gt;"",IF(AND(B2198&gt;=_TM1,B2198&lt;=_TM2,OR(TH!L2198="1111",TH!M2198="1111")),TH!D2198,""),"")</f>
        <v/>
      </c>
      <c r="B2198" s="281">
        <f t="shared" ref="B2198:B2261" si="175">IF(C2198&lt;&gt;"",MONTH(C2198),"")</f>
        <v>11</v>
      </c>
      <c r="C2198" s="324">
        <f t="shared" si="173"/>
        <v>40862</v>
      </c>
      <c r="D2198" s="21" t="s">
        <v>1074</v>
      </c>
      <c r="E2198" s="354">
        <v>40862</v>
      </c>
      <c r="F2198" s="22" t="s">
        <v>1243</v>
      </c>
      <c r="G2198" s="22"/>
      <c r="H2198" s="332" t="s">
        <v>1037</v>
      </c>
      <c r="I2198" s="139">
        <v>12</v>
      </c>
      <c r="J2198" s="139">
        <v>11642.424852512109</v>
      </c>
      <c r="K2198" s="285">
        <f t="shared" si="174"/>
        <v>139709</v>
      </c>
      <c r="L2198" s="25" t="s">
        <v>155</v>
      </c>
      <c r="M2198" s="25" t="s">
        <v>153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308"/>
    </row>
    <row r="2199" spans="1:26" ht="15.75" customHeight="1">
      <c r="A2199" s="125" t="str">
        <f>IF(B2199&lt;&gt;"",IF(AND(B2199&gt;=_TM1,B2199&lt;=_TM2,OR(TH!L2199="1111",TH!M2199="1111")),TH!D2199,""),"")</f>
        <v/>
      </c>
      <c r="B2199" s="281">
        <f t="shared" si="175"/>
        <v>11</v>
      </c>
      <c r="C2199" s="324">
        <f t="shared" si="173"/>
        <v>40862</v>
      </c>
      <c r="D2199" s="21" t="s">
        <v>1074</v>
      </c>
      <c r="E2199" s="354">
        <v>40862</v>
      </c>
      <c r="F2199" s="22" t="s">
        <v>726</v>
      </c>
      <c r="G2199" s="22"/>
      <c r="H2199" s="332" t="s">
        <v>1037</v>
      </c>
      <c r="I2199" s="139">
        <v>206</v>
      </c>
      <c r="J2199" s="139">
        <v>13596.003331476513</v>
      </c>
      <c r="K2199" s="285">
        <f t="shared" si="174"/>
        <v>2800777</v>
      </c>
      <c r="L2199" s="25" t="s">
        <v>155</v>
      </c>
      <c r="M2199" s="25" t="s">
        <v>153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308"/>
    </row>
    <row r="2200" spans="1:26" ht="15.75" customHeight="1">
      <c r="A2200" s="125" t="str">
        <f>IF(B2200&lt;&gt;"",IF(AND(B2200&gt;=_TM1,B2200&lt;=_TM2,OR(TH!L2200="1111",TH!M2200="1111")),TH!D2200,""),"")</f>
        <v/>
      </c>
      <c r="B2200" s="281">
        <f t="shared" si="175"/>
        <v>11</v>
      </c>
      <c r="C2200" s="324">
        <f t="shared" si="173"/>
        <v>40862</v>
      </c>
      <c r="D2200" s="21" t="s">
        <v>1074</v>
      </c>
      <c r="E2200" s="354">
        <v>40862</v>
      </c>
      <c r="F2200" s="22" t="s">
        <v>1244</v>
      </c>
      <c r="G2200" s="22"/>
      <c r="H2200" s="332" t="s">
        <v>1037</v>
      </c>
      <c r="I2200" s="139">
        <v>45</v>
      </c>
      <c r="J2200" s="139">
        <v>15252.485963623221</v>
      </c>
      <c r="K2200" s="285">
        <f t="shared" si="174"/>
        <v>686362</v>
      </c>
      <c r="L2200" s="25" t="s">
        <v>155</v>
      </c>
      <c r="M2200" s="25" t="s">
        <v>153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308"/>
    </row>
    <row r="2201" spans="1:26" ht="15.75" customHeight="1">
      <c r="A2201" s="125" t="str">
        <f>IF(B2201&lt;&gt;"",IF(AND(B2201&gt;=_TM1,B2201&lt;=_TM2,OR(TH!L2201="1111",TH!M2201="1111")),TH!D2201,""),"")</f>
        <v/>
      </c>
      <c r="B2201" s="281">
        <f t="shared" si="175"/>
        <v>11</v>
      </c>
      <c r="C2201" s="324">
        <f t="shared" si="173"/>
        <v>40862</v>
      </c>
      <c r="D2201" s="21" t="s">
        <v>1074</v>
      </c>
      <c r="E2201" s="354">
        <v>40862</v>
      </c>
      <c r="F2201" s="22" t="s">
        <v>1245</v>
      </c>
      <c r="G2201" s="22"/>
      <c r="H2201" s="332" t="s">
        <v>1037</v>
      </c>
      <c r="I2201" s="139">
        <v>63</v>
      </c>
      <c r="J2201" s="139">
        <v>10788.49231282957</v>
      </c>
      <c r="K2201" s="285">
        <f t="shared" si="174"/>
        <v>679675</v>
      </c>
      <c r="L2201" s="25" t="s">
        <v>155</v>
      </c>
      <c r="M2201" s="25" t="s">
        <v>153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308"/>
    </row>
    <row r="2202" spans="1:26" ht="15.75" customHeight="1">
      <c r="A2202" s="125" t="str">
        <f>IF(B2202&lt;&gt;"",IF(AND(B2202&gt;=_TM1,B2202&lt;=_TM2,OR(TH!L2202="1111",TH!M2202="1111")),TH!D2202,""),"")</f>
        <v/>
      </c>
      <c r="B2202" s="281">
        <f t="shared" si="175"/>
        <v>11</v>
      </c>
      <c r="C2202" s="324">
        <f t="shared" si="173"/>
        <v>40862</v>
      </c>
      <c r="D2202" s="21" t="s">
        <v>1074</v>
      </c>
      <c r="E2202" s="354">
        <v>40862</v>
      </c>
      <c r="F2202" s="22" t="s">
        <v>1246</v>
      </c>
      <c r="G2202" s="22"/>
      <c r="H2202" s="332" t="s">
        <v>1037</v>
      </c>
      <c r="I2202" s="139">
        <v>60</v>
      </c>
      <c r="J2202" s="139">
        <v>11437.491519178777</v>
      </c>
      <c r="K2202" s="285">
        <f t="shared" si="174"/>
        <v>686249</v>
      </c>
      <c r="L2202" s="25" t="s">
        <v>155</v>
      </c>
      <c r="M2202" s="25" t="s">
        <v>153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308"/>
    </row>
    <row r="2203" spans="1:26" ht="15.75" customHeight="1">
      <c r="A2203" s="125" t="str">
        <f>IF(B2203&lt;&gt;"",IF(AND(B2203&gt;=_TM1,B2203&lt;=_TM2,OR(TH!L2203="1111",TH!M2203="1111")),TH!D2203,""),"")</f>
        <v/>
      </c>
      <c r="B2203" s="281">
        <f t="shared" si="175"/>
        <v>11</v>
      </c>
      <c r="C2203" s="324">
        <f t="shared" ref="C2203:C2234" si="176">E2203</f>
        <v>40862</v>
      </c>
      <c r="D2203" s="21" t="s">
        <v>1074</v>
      </c>
      <c r="E2203" s="354">
        <v>40862</v>
      </c>
      <c r="F2203" s="22" t="s">
        <v>1247</v>
      </c>
      <c r="G2203" s="22"/>
      <c r="H2203" s="332" t="s">
        <v>1037</v>
      </c>
      <c r="I2203" s="139">
        <v>61</v>
      </c>
      <c r="J2203" s="139">
        <v>9549.4917924028196</v>
      </c>
      <c r="K2203" s="285">
        <f t="shared" ref="K2203:K2234" si="177">ROUND(I2203*J2203,0)</f>
        <v>582519</v>
      </c>
      <c r="L2203" s="25" t="s">
        <v>155</v>
      </c>
      <c r="M2203" s="25" t="s">
        <v>153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308"/>
    </row>
    <row r="2204" spans="1:26" ht="15.75" customHeight="1">
      <c r="A2204" s="125" t="str">
        <f>IF(B2204&lt;&gt;"",IF(AND(B2204&gt;=_TM1,B2204&lt;=_TM2,OR(TH!L2204="1111",TH!M2204="1111")),TH!D2204,""),"")</f>
        <v/>
      </c>
      <c r="B2204" s="281">
        <f t="shared" si="175"/>
        <v>11</v>
      </c>
      <c r="C2204" s="324">
        <f t="shared" si="176"/>
        <v>40862</v>
      </c>
      <c r="D2204" s="21" t="s">
        <v>1074</v>
      </c>
      <c r="E2204" s="354">
        <v>40862</v>
      </c>
      <c r="F2204" s="22" t="s">
        <v>1248</v>
      </c>
      <c r="G2204" s="22"/>
      <c r="H2204" s="332" t="s">
        <v>1037</v>
      </c>
      <c r="I2204" s="139">
        <v>104</v>
      </c>
      <c r="J2204" s="139">
        <v>18291.796647383904</v>
      </c>
      <c r="K2204" s="285">
        <f t="shared" si="177"/>
        <v>1902347</v>
      </c>
      <c r="L2204" s="25" t="s">
        <v>155</v>
      </c>
      <c r="M2204" s="25" t="s">
        <v>153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308"/>
    </row>
    <row r="2205" spans="1:26" ht="15.75" customHeight="1">
      <c r="A2205" s="125" t="str">
        <f>IF(B2205&lt;&gt;"",IF(AND(B2205&gt;=_TM1,B2205&lt;=_TM2,OR(TH!L2205="1111",TH!M2205="1111")),TH!D2205,""),"")</f>
        <v/>
      </c>
      <c r="B2205" s="281">
        <f t="shared" si="175"/>
        <v>11</v>
      </c>
      <c r="C2205" s="324">
        <f t="shared" si="176"/>
        <v>40862</v>
      </c>
      <c r="D2205" s="21" t="s">
        <v>1074</v>
      </c>
      <c r="E2205" s="354">
        <v>40862</v>
      </c>
      <c r="F2205" s="22" t="s">
        <v>1249</v>
      </c>
      <c r="G2205" s="22"/>
      <c r="H2205" s="332" t="s">
        <v>1037</v>
      </c>
      <c r="I2205" s="139">
        <v>152</v>
      </c>
      <c r="J2205" s="139">
        <v>8119.251606898074</v>
      </c>
      <c r="K2205" s="285">
        <f t="shared" si="177"/>
        <v>1234126</v>
      </c>
      <c r="L2205" s="25" t="s">
        <v>155</v>
      </c>
      <c r="M2205" s="25" t="s">
        <v>153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308"/>
    </row>
    <row r="2206" spans="1:26" ht="15.75" customHeight="1">
      <c r="A2206" s="125" t="str">
        <f>IF(B2206&lt;&gt;"",IF(AND(B2206&gt;=_TM1,B2206&lt;=_TM2,OR(TH!L2206="1111",TH!M2206="1111")),TH!D2206,""),"")</f>
        <v/>
      </c>
      <c r="B2206" s="281">
        <f t="shared" si="175"/>
        <v>11</v>
      </c>
      <c r="C2206" s="324">
        <f t="shared" si="176"/>
        <v>40862</v>
      </c>
      <c r="D2206" s="21" t="s">
        <v>1074</v>
      </c>
      <c r="E2206" s="354">
        <v>40862</v>
      </c>
      <c r="F2206" s="22" t="s">
        <v>1250</v>
      </c>
      <c r="G2206" s="22"/>
      <c r="H2206" s="332" t="s">
        <v>1037</v>
      </c>
      <c r="I2206" s="139">
        <v>235</v>
      </c>
      <c r="J2206" s="139">
        <v>9584.6145688241668</v>
      </c>
      <c r="K2206" s="285">
        <f t="shared" si="177"/>
        <v>2252384</v>
      </c>
      <c r="L2206" s="25" t="s">
        <v>155</v>
      </c>
      <c r="M2206" s="25" t="s">
        <v>153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308"/>
    </row>
    <row r="2207" spans="1:26" ht="15.75" customHeight="1">
      <c r="A2207" s="125" t="str">
        <f>IF(B2207&lt;&gt;"",IF(AND(B2207&gt;=_TM1,B2207&lt;=_TM2,OR(TH!L2207="1111",TH!M2207="1111")),TH!D2207,""),"")</f>
        <v/>
      </c>
      <c r="B2207" s="11">
        <f t="shared" si="175"/>
        <v>11</v>
      </c>
      <c r="C2207" s="115">
        <f t="shared" si="176"/>
        <v>40862</v>
      </c>
      <c r="D2207" s="12" t="s">
        <v>917</v>
      </c>
      <c r="E2207" s="304">
        <v>40862</v>
      </c>
      <c r="F2207" s="116" t="s">
        <v>722</v>
      </c>
      <c r="G2207" s="224" t="s">
        <v>1241</v>
      </c>
      <c r="H2207" s="117" t="s">
        <v>709</v>
      </c>
      <c r="I2207" s="141">
        <v>209</v>
      </c>
      <c r="J2207" s="141">
        <v>9549.5034011564458</v>
      </c>
      <c r="K2207" s="330">
        <f t="shared" si="177"/>
        <v>1995846</v>
      </c>
      <c r="L2207" s="319" t="s">
        <v>161</v>
      </c>
      <c r="M2207" s="319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21"/>
    </row>
    <row r="2208" spans="1:26" ht="15.75" customHeight="1">
      <c r="A2208" s="125" t="str">
        <f>IF(B2208&lt;&gt;"",IF(AND(B2208&gt;=_TM1,B2208&lt;=_TM2,OR(TH!L2208="1111",TH!M2208="1111")),TH!D2208,""),"")</f>
        <v/>
      </c>
      <c r="B2208" s="11">
        <f t="shared" si="175"/>
        <v>11</v>
      </c>
      <c r="C2208" s="115">
        <f t="shared" si="176"/>
        <v>40862</v>
      </c>
      <c r="D2208" s="12" t="s">
        <v>917</v>
      </c>
      <c r="E2208" s="304">
        <v>40862</v>
      </c>
      <c r="F2208" s="116" t="s">
        <v>1214</v>
      </c>
      <c r="G2208" s="224" t="s">
        <v>1241</v>
      </c>
      <c r="H2208" s="117" t="s">
        <v>709</v>
      </c>
      <c r="I2208" s="141">
        <v>141</v>
      </c>
      <c r="J2208" s="141">
        <v>15403.501093646861</v>
      </c>
      <c r="K2208" s="330">
        <f t="shared" si="177"/>
        <v>2171894</v>
      </c>
      <c r="L2208" s="319" t="s">
        <v>161</v>
      </c>
      <c r="M2208" s="319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21"/>
    </row>
    <row r="2209" spans="1:26" ht="15.75" customHeight="1">
      <c r="A2209" s="125" t="str">
        <f>IF(B2209&lt;&gt;"",IF(AND(B2209&gt;=_TM1,B2209&lt;=_TM2,OR(TH!L2209="1111",TH!M2209="1111")),TH!D2209,""),"")</f>
        <v/>
      </c>
      <c r="B2209" s="11">
        <f t="shared" si="175"/>
        <v>11</v>
      </c>
      <c r="C2209" s="115">
        <f t="shared" si="176"/>
        <v>40862</v>
      </c>
      <c r="D2209" s="12" t="s">
        <v>917</v>
      </c>
      <c r="E2209" s="304">
        <v>40862</v>
      </c>
      <c r="F2209" s="116" t="s">
        <v>1215</v>
      </c>
      <c r="G2209" s="224" t="s">
        <v>1241</v>
      </c>
      <c r="H2209" s="117" t="s">
        <v>709</v>
      </c>
      <c r="I2209" s="141">
        <v>348</v>
      </c>
      <c r="J2209" s="141">
        <v>11437.505312282225</v>
      </c>
      <c r="K2209" s="330">
        <f t="shared" si="177"/>
        <v>3980252</v>
      </c>
      <c r="L2209" s="319" t="s">
        <v>161</v>
      </c>
      <c r="M2209" s="319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21"/>
    </row>
    <row r="2210" spans="1:26" ht="15.75" customHeight="1">
      <c r="A2210" s="125" t="str">
        <f>IF(B2210&lt;&gt;"",IF(AND(B2210&gt;=_TM1,B2210&lt;=_TM2,OR(TH!L2210="1111",TH!M2210="1111")),TH!D2210,""),"")</f>
        <v/>
      </c>
      <c r="B2210" s="11">
        <f t="shared" si="175"/>
        <v>11</v>
      </c>
      <c r="C2210" s="115">
        <f t="shared" si="176"/>
        <v>40862</v>
      </c>
      <c r="D2210" s="12" t="s">
        <v>917</v>
      </c>
      <c r="E2210" s="304">
        <v>40862</v>
      </c>
      <c r="F2210" s="116" t="s">
        <v>723</v>
      </c>
      <c r="G2210" s="224" t="s">
        <v>1241</v>
      </c>
      <c r="H2210" s="117" t="s">
        <v>709</v>
      </c>
      <c r="I2210" s="141">
        <v>38</v>
      </c>
      <c r="J2210" s="141">
        <v>9918.4818700559699</v>
      </c>
      <c r="K2210" s="330">
        <f t="shared" si="177"/>
        <v>376902</v>
      </c>
      <c r="L2210" s="319" t="s">
        <v>161</v>
      </c>
      <c r="M2210" s="319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21"/>
    </row>
    <row r="2211" spans="1:26" ht="15.75" customHeight="1">
      <c r="A2211" s="125" t="str">
        <f>IF(B2211&lt;&gt;"",IF(AND(B2211&gt;=_TM1,B2211&lt;=_TM2,OR(TH!L2211="1111",TH!M2211="1111")),TH!D2211,""),"")</f>
        <v/>
      </c>
      <c r="B2211" s="11">
        <f t="shared" si="175"/>
        <v>11</v>
      </c>
      <c r="C2211" s="115">
        <f t="shared" si="176"/>
        <v>40862</v>
      </c>
      <c r="D2211" s="12" t="s">
        <v>917</v>
      </c>
      <c r="E2211" s="304">
        <v>40862</v>
      </c>
      <c r="F2211" s="116" t="s">
        <v>1216</v>
      </c>
      <c r="G2211" s="224" t="s">
        <v>1241</v>
      </c>
      <c r="H2211" s="117" t="s">
        <v>709</v>
      </c>
      <c r="I2211" s="141">
        <v>24</v>
      </c>
      <c r="J2211" s="141">
        <v>8350.9665191787753</v>
      </c>
      <c r="K2211" s="330">
        <f t="shared" si="177"/>
        <v>200423</v>
      </c>
      <c r="L2211" s="319" t="s">
        <v>161</v>
      </c>
      <c r="M2211" s="319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21"/>
    </row>
    <row r="2212" spans="1:26" ht="15.75" customHeight="1">
      <c r="A2212" s="125" t="str">
        <f>IF(B2212&lt;&gt;"",IF(AND(B2212&gt;=_TM1,B2212&lt;=_TM2,OR(TH!L2212="1111",TH!M2212="1111")),TH!D2212,""),"")</f>
        <v/>
      </c>
      <c r="B2212" s="11">
        <f t="shared" si="175"/>
        <v>11</v>
      </c>
      <c r="C2212" s="115">
        <f t="shared" si="176"/>
        <v>40862</v>
      </c>
      <c r="D2212" s="12" t="s">
        <v>917</v>
      </c>
      <c r="E2212" s="304">
        <v>40862</v>
      </c>
      <c r="F2212" s="116" t="s">
        <v>958</v>
      </c>
      <c r="G2212" s="224" t="s">
        <v>1241</v>
      </c>
      <c r="H2212" s="117" t="s">
        <v>709</v>
      </c>
      <c r="I2212" s="141">
        <v>1</v>
      </c>
      <c r="J2212" s="141">
        <v>11436.508185845443</v>
      </c>
      <c r="K2212" s="330">
        <f t="shared" si="177"/>
        <v>11437</v>
      </c>
      <c r="L2212" s="319" t="s">
        <v>161</v>
      </c>
      <c r="M2212" s="319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21"/>
    </row>
    <row r="2213" spans="1:26" ht="15.75" customHeight="1">
      <c r="A2213" s="125" t="str">
        <f>IF(B2213&lt;&gt;"",IF(AND(B2213&gt;=_TM1,B2213&lt;=_TM2,OR(TH!L2213="1111",TH!M2213="1111")),TH!D2213,""),"")</f>
        <v/>
      </c>
      <c r="B2213" s="11">
        <f t="shared" si="175"/>
        <v>11</v>
      </c>
      <c r="C2213" s="115">
        <f t="shared" si="176"/>
        <v>40862</v>
      </c>
      <c r="D2213" s="12" t="s">
        <v>917</v>
      </c>
      <c r="E2213" s="304">
        <v>40862</v>
      </c>
      <c r="F2213" s="116" t="s">
        <v>725</v>
      </c>
      <c r="G2213" s="224" t="s">
        <v>1241</v>
      </c>
      <c r="H2213" s="117" t="s">
        <v>709</v>
      </c>
      <c r="I2213" s="141">
        <v>3</v>
      </c>
      <c r="J2213" s="141">
        <v>10496.174852512109</v>
      </c>
      <c r="K2213" s="330">
        <f t="shared" si="177"/>
        <v>31489</v>
      </c>
      <c r="L2213" s="319" t="s">
        <v>161</v>
      </c>
      <c r="M2213" s="319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21"/>
    </row>
    <row r="2214" spans="1:26" ht="15.75" customHeight="1">
      <c r="A2214" s="125" t="str">
        <f>IF(B2214&lt;&gt;"",IF(AND(B2214&gt;=_TM1,B2214&lt;=_TM2,OR(TH!L2214="1111",TH!M2214="1111")),TH!D2214,""),"")</f>
        <v/>
      </c>
      <c r="B2214" s="11">
        <f t="shared" si="175"/>
        <v>11</v>
      </c>
      <c r="C2214" s="115">
        <f t="shared" si="176"/>
        <v>40862</v>
      </c>
      <c r="D2214" s="12" t="s">
        <v>917</v>
      </c>
      <c r="E2214" s="304">
        <v>40862</v>
      </c>
      <c r="F2214" s="116" t="s">
        <v>728</v>
      </c>
      <c r="G2214" s="224" t="s">
        <v>1241</v>
      </c>
      <c r="H2214" s="117" t="s">
        <v>709</v>
      </c>
      <c r="I2214" s="141">
        <v>3</v>
      </c>
      <c r="J2214" s="141">
        <v>11117.174852512109</v>
      </c>
      <c r="K2214" s="330">
        <f t="shared" si="177"/>
        <v>33352</v>
      </c>
      <c r="L2214" s="319" t="s">
        <v>161</v>
      </c>
      <c r="M2214" s="319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21"/>
    </row>
    <row r="2215" spans="1:26" ht="15.75" customHeight="1">
      <c r="A2215" s="125" t="str">
        <f>IF(B2215&lt;&gt;"",IF(AND(B2215&gt;=_TM1,B2215&lt;=_TM2,OR(TH!L2215="1111",TH!M2215="1111")),TH!D2215,""),"")</f>
        <v/>
      </c>
      <c r="B2215" s="11">
        <f t="shared" si="175"/>
        <v>11</v>
      </c>
      <c r="C2215" s="115">
        <f t="shared" si="176"/>
        <v>40862</v>
      </c>
      <c r="D2215" s="12" t="s">
        <v>917</v>
      </c>
      <c r="E2215" s="304">
        <v>40862</v>
      </c>
      <c r="F2215" s="116" t="s">
        <v>724</v>
      </c>
      <c r="G2215" s="224" t="s">
        <v>1241</v>
      </c>
      <c r="H2215" s="117" t="s">
        <v>709</v>
      </c>
      <c r="I2215" s="141">
        <v>5</v>
      </c>
      <c r="J2215" s="141">
        <v>8047.3081858454416</v>
      </c>
      <c r="K2215" s="330">
        <f t="shared" si="177"/>
        <v>40237</v>
      </c>
      <c r="L2215" s="319" t="s">
        <v>161</v>
      </c>
      <c r="M2215" s="319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21"/>
    </row>
    <row r="2216" spans="1:26" ht="15.75" customHeight="1">
      <c r="A2216" s="125" t="str">
        <f>IF(B2216&lt;&gt;"",IF(AND(B2216&gt;=_TM1,B2216&lt;=_TM2,OR(TH!L2216="1111",TH!M2216="1111")),TH!D2216,""),"")</f>
        <v/>
      </c>
      <c r="B2216" s="11">
        <f t="shared" si="175"/>
        <v>11</v>
      </c>
      <c r="C2216" s="115">
        <f t="shared" si="176"/>
        <v>40862</v>
      </c>
      <c r="D2216" s="12" t="s">
        <v>917</v>
      </c>
      <c r="E2216" s="304">
        <v>40862</v>
      </c>
      <c r="F2216" s="116" t="s">
        <v>1242</v>
      </c>
      <c r="G2216" s="224" t="s">
        <v>1241</v>
      </c>
      <c r="H2216" s="117" t="s">
        <v>709</v>
      </c>
      <c r="I2216" s="141">
        <v>4</v>
      </c>
      <c r="J2216" s="141">
        <v>8047.2581858454423</v>
      </c>
      <c r="K2216" s="330">
        <f t="shared" si="177"/>
        <v>32189</v>
      </c>
      <c r="L2216" s="319" t="s">
        <v>161</v>
      </c>
      <c r="M2216" s="319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21"/>
    </row>
    <row r="2217" spans="1:26" ht="15.75" customHeight="1">
      <c r="A2217" s="125" t="str">
        <f>IF(B2217&lt;&gt;"",IF(AND(B2217&gt;=_TM1,B2217&lt;=_TM2,OR(TH!L2217="1111",TH!M2217="1111")),TH!D2217,""),"")</f>
        <v/>
      </c>
      <c r="B2217" s="11">
        <f t="shared" si="175"/>
        <v>11</v>
      </c>
      <c r="C2217" s="115">
        <f t="shared" si="176"/>
        <v>40862</v>
      </c>
      <c r="D2217" s="12" t="s">
        <v>917</v>
      </c>
      <c r="E2217" s="304">
        <v>40862</v>
      </c>
      <c r="F2217" s="116" t="s">
        <v>979</v>
      </c>
      <c r="G2217" s="224" t="s">
        <v>1241</v>
      </c>
      <c r="H2217" s="117" t="s">
        <v>709</v>
      </c>
      <c r="I2217" s="141">
        <v>1</v>
      </c>
      <c r="J2217" s="141">
        <v>5746.5081858454423</v>
      </c>
      <c r="K2217" s="330">
        <f t="shared" si="177"/>
        <v>5747</v>
      </c>
      <c r="L2217" s="319" t="s">
        <v>161</v>
      </c>
      <c r="M2217" s="319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21"/>
    </row>
    <row r="2218" spans="1:26" ht="15.75" customHeight="1">
      <c r="A2218" s="125" t="str">
        <f>IF(B2218&lt;&gt;"",IF(AND(B2218&gt;=_TM1,B2218&lt;=_TM2,OR(TH!L2218="1111",TH!M2218="1111")),TH!D2218,""),"")</f>
        <v/>
      </c>
      <c r="B2218" s="11">
        <f t="shared" si="175"/>
        <v>11</v>
      </c>
      <c r="C2218" s="115">
        <f t="shared" si="176"/>
        <v>40862</v>
      </c>
      <c r="D2218" s="12" t="s">
        <v>917</v>
      </c>
      <c r="E2218" s="304">
        <v>40862</v>
      </c>
      <c r="F2218" s="116" t="s">
        <v>733</v>
      </c>
      <c r="G2218" s="224" t="s">
        <v>1241</v>
      </c>
      <c r="H2218" s="117" t="s">
        <v>709</v>
      </c>
      <c r="I2218" s="141">
        <v>4</v>
      </c>
      <c r="J2218" s="141">
        <v>5069.7581858454423</v>
      </c>
      <c r="K2218" s="330">
        <f t="shared" si="177"/>
        <v>20279</v>
      </c>
      <c r="L2218" s="319" t="s">
        <v>161</v>
      </c>
      <c r="M2218" s="319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21"/>
    </row>
    <row r="2219" spans="1:26" ht="15.75" customHeight="1">
      <c r="A2219" s="125" t="str">
        <f>IF(B2219&lt;&gt;"",IF(AND(B2219&gt;=_TM1,B2219&lt;=_TM2,OR(TH!L2219="1111",TH!M2219="1111")),TH!D2219,""),"")</f>
        <v/>
      </c>
      <c r="B2219" s="11">
        <f t="shared" si="175"/>
        <v>11</v>
      </c>
      <c r="C2219" s="115">
        <f t="shared" si="176"/>
        <v>40862</v>
      </c>
      <c r="D2219" s="12" t="s">
        <v>917</v>
      </c>
      <c r="E2219" s="304">
        <v>40862</v>
      </c>
      <c r="F2219" s="114" t="s">
        <v>872</v>
      </c>
      <c r="G2219" s="224" t="s">
        <v>1241</v>
      </c>
      <c r="H2219" s="117" t="s">
        <v>709</v>
      </c>
      <c r="I2219" s="141">
        <v>4</v>
      </c>
      <c r="J2219" s="141">
        <v>5747.2581858454423</v>
      </c>
      <c r="K2219" s="330">
        <f t="shared" si="177"/>
        <v>22989</v>
      </c>
      <c r="L2219" s="319" t="s">
        <v>161</v>
      </c>
      <c r="M2219" s="319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21"/>
    </row>
    <row r="2220" spans="1:26" ht="15.75" customHeight="1">
      <c r="A2220" s="125" t="str">
        <f>IF(B2220&lt;&gt;"",IF(AND(B2220&gt;=_TM1,B2220&lt;=_TM2,OR(TH!L2220="1111",TH!M2220="1111")),TH!D2220,""),"")</f>
        <v/>
      </c>
      <c r="B2220" s="11">
        <f t="shared" si="175"/>
        <v>11</v>
      </c>
      <c r="C2220" s="115">
        <f t="shared" si="176"/>
        <v>40862</v>
      </c>
      <c r="D2220" s="12" t="s">
        <v>917</v>
      </c>
      <c r="E2220" s="304">
        <v>40862</v>
      </c>
      <c r="F2220" s="116" t="s">
        <v>734</v>
      </c>
      <c r="G2220" s="224" t="s">
        <v>1241</v>
      </c>
      <c r="H2220" s="117" t="s">
        <v>709</v>
      </c>
      <c r="I2220" s="141">
        <v>2</v>
      </c>
      <c r="J2220" s="141">
        <v>5747.0081858454423</v>
      </c>
      <c r="K2220" s="330">
        <f t="shared" si="177"/>
        <v>11494</v>
      </c>
      <c r="L2220" s="319" t="s">
        <v>161</v>
      </c>
      <c r="M2220" s="319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21"/>
    </row>
    <row r="2221" spans="1:26" ht="15.75" customHeight="1">
      <c r="A2221" s="125" t="str">
        <f>IF(B2221&lt;&gt;"",IF(AND(B2221&gt;=_TM1,B2221&lt;=_TM2,OR(TH!L2221="1111",TH!M2221="1111")),TH!D2221,""),"")</f>
        <v/>
      </c>
      <c r="B2221" s="11">
        <f t="shared" si="175"/>
        <v>11</v>
      </c>
      <c r="C2221" s="115">
        <f t="shared" si="176"/>
        <v>40862</v>
      </c>
      <c r="D2221" s="12" t="s">
        <v>917</v>
      </c>
      <c r="E2221" s="304">
        <v>40862</v>
      </c>
      <c r="F2221" s="116" t="s">
        <v>874</v>
      </c>
      <c r="G2221" s="224" t="s">
        <v>1241</v>
      </c>
      <c r="H2221" s="117" t="s">
        <v>709</v>
      </c>
      <c r="I2221" s="141">
        <v>221</v>
      </c>
      <c r="J2221" s="141">
        <v>8211.8430274744023</v>
      </c>
      <c r="K2221" s="330">
        <f t="shared" si="177"/>
        <v>1814817</v>
      </c>
      <c r="L2221" s="319" t="s">
        <v>161</v>
      </c>
      <c r="M2221" s="319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21"/>
    </row>
    <row r="2222" spans="1:26" ht="15.75" customHeight="1">
      <c r="A2222" s="125" t="str">
        <f>IF(B2222&lt;&gt;"",IF(AND(B2222&gt;=_TM1,B2222&lt;=_TM2,OR(TH!L2222="1111",TH!M2222="1111")),TH!D2222,""),"")</f>
        <v/>
      </c>
      <c r="B2222" s="11">
        <f t="shared" si="175"/>
        <v>11</v>
      </c>
      <c r="C2222" s="115">
        <f t="shared" si="176"/>
        <v>40862</v>
      </c>
      <c r="D2222" s="12" t="s">
        <v>917</v>
      </c>
      <c r="E2222" s="304">
        <v>40862</v>
      </c>
      <c r="F2222" s="116" t="s">
        <v>735</v>
      </c>
      <c r="G2222" s="224" t="s">
        <v>1241</v>
      </c>
      <c r="H2222" s="117" t="s">
        <v>709</v>
      </c>
      <c r="I2222" s="141">
        <v>62</v>
      </c>
      <c r="J2222" s="141">
        <v>14113.992056813184</v>
      </c>
      <c r="K2222" s="330">
        <f t="shared" si="177"/>
        <v>875068</v>
      </c>
      <c r="L2222" s="319" t="s">
        <v>161</v>
      </c>
      <c r="M2222" s="319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21"/>
    </row>
    <row r="2223" spans="1:26" ht="15.75" customHeight="1">
      <c r="A2223" s="125" t="str">
        <f>IF(B2223&lt;&gt;"",IF(AND(B2223&gt;=_TM1,B2223&lt;=_TM2,OR(TH!L2223="1111",TH!M2223="1111")),TH!D2223,""),"")</f>
        <v/>
      </c>
      <c r="B2223" s="11">
        <f t="shared" si="175"/>
        <v>11</v>
      </c>
      <c r="C2223" s="115">
        <f t="shared" si="176"/>
        <v>40862</v>
      </c>
      <c r="D2223" s="12" t="s">
        <v>917</v>
      </c>
      <c r="E2223" s="304">
        <v>40862</v>
      </c>
      <c r="F2223" s="116" t="s">
        <v>870</v>
      </c>
      <c r="G2223" s="224" t="s">
        <v>1241</v>
      </c>
      <c r="H2223" s="117" t="s">
        <v>709</v>
      </c>
      <c r="I2223" s="141">
        <v>139</v>
      </c>
      <c r="J2223" s="141">
        <v>7422.5009916008385</v>
      </c>
      <c r="K2223" s="330">
        <f t="shared" si="177"/>
        <v>1031728</v>
      </c>
      <c r="L2223" s="319" t="s">
        <v>161</v>
      </c>
      <c r="M2223" s="319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21"/>
    </row>
    <row r="2224" spans="1:26" ht="15.75" customHeight="1">
      <c r="A2224" s="125" t="str">
        <f>IF(B2224&lt;&gt;"",IF(AND(B2224&gt;=_TM1,B2224&lt;=_TM2,OR(TH!L2224="1111",TH!M2224="1111")),TH!D2224,""),"")</f>
        <v/>
      </c>
      <c r="B2224" s="11">
        <f t="shared" si="175"/>
        <v>11</v>
      </c>
      <c r="C2224" s="115">
        <f t="shared" si="176"/>
        <v>40862</v>
      </c>
      <c r="D2224" s="12" t="s">
        <v>917</v>
      </c>
      <c r="E2224" s="304">
        <v>40862</v>
      </c>
      <c r="F2224" s="116" t="s">
        <v>722</v>
      </c>
      <c r="G2224" s="224" t="s">
        <v>1241</v>
      </c>
      <c r="H2224" s="117" t="s">
        <v>709</v>
      </c>
      <c r="I2224" s="141">
        <v>312</v>
      </c>
      <c r="J2224" s="141">
        <v>9549.50498071724</v>
      </c>
      <c r="K2224" s="330">
        <f t="shared" si="177"/>
        <v>2979446</v>
      </c>
      <c r="L2224" s="319" t="s">
        <v>161</v>
      </c>
      <c r="M2224" s="319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21"/>
    </row>
    <row r="2225" spans="1:26" ht="15.75" customHeight="1">
      <c r="A2225" s="125" t="str">
        <f>IF(B2225&lt;&gt;"",IF(AND(B2225&gt;=_TM1,B2225&lt;=_TM2,OR(TH!L2225="1111",TH!M2225="1111")),TH!D2225,""),"")</f>
        <v/>
      </c>
      <c r="B2225" s="11">
        <f t="shared" si="175"/>
        <v>11</v>
      </c>
      <c r="C2225" s="115">
        <f t="shared" si="176"/>
        <v>40862</v>
      </c>
      <c r="D2225" s="12" t="s">
        <v>917</v>
      </c>
      <c r="E2225" s="304">
        <v>40862</v>
      </c>
      <c r="F2225" s="116" t="s">
        <v>1243</v>
      </c>
      <c r="G2225" s="224" t="s">
        <v>1241</v>
      </c>
      <c r="H2225" s="117" t="s">
        <v>709</v>
      </c>
      <c r="I2225" s="141">
        <v>12</v>
      </c>
      <c r="J2225" s="141">
        <v>11642.424852512109</v>
      </c>
      <c r="K2225" s="330">
        <f t="shared" si="177"/>
        <v>139709</v>
      </c>
      <c r="L2225" s="319" t="s">
        <v>161</v>
      </c>
      <c r="M2225" s="319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21"/>
    </row>
    <row r="2226" spans="1:26" ht="15.75" customHeight="1">
      <c r="A2226" s="125" t="str">
        <f>IF(B2226&lt;&gt;"",IF(AND(B2226&gt;=_TM1,B2226&lt;=_TM2,OR(TH!L2226="1111",TH!M2226="1111")),TH!D2226,""),"")</f>
        <v/>
      </c>
      <c r="B2226" s="11">
        <f t="shared" si="175"/>
        <v>11</v>
      </c>
      <c r="C2226" s="115">
        <f t="shared" si="176"/>
        <v>40862</v>
      </c>
      <c r="D2226" s="12" t="s">
        <v>917</v>
      </c>
      <c r="E2226" s="304">
        <v>40862</v>
      </c>
      <c r="F2226" s="116" t="s">
        <v>726</v>
      </c>
      <c r="G2226" s="224" t="s">
        <v>1241</v>
      </c>
      <c r="H2226" s="117" t="s">
        <v>709</v>
      </c>
      <c r="I2226" s="141">
        <v>206</v>
      </c>
      <c r="J2226" s="141">
        <v>13596.003331476513</v>
      </c>
      <c r="K2226" s="330">
        <f t="shared" si="177"/>
        <v>2800777</v>
      </c>
      <c r="L2226" s="319" t="s">
        <v>161</v>
      </c>
      <c r="M2226" s="319" t="s">
        <v>155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21"/>
    </row>
    <row r="2227" spans="1:26" ht="15.75" customHeight="1">
      <c r="A2227" s="125" t="str">
        <f>IF(B2227&lt;&gt;"",IF(AND(B2227&gt;=_TM1,B2227&lt;=_TM2,OR(TH!L2227="1111",TH!M2227="1111")),TH!D2227,""),"")</f>
        <v/>
      </c>
      <c r="B2227" s="11">
        <f t="shared" si="175"/>
        <v>11</v>
      </c>
      <c r="C2227" s="115">
        <f t="shared" si="176"/>
        <v>40862</v>
      </c>
      <c r="D2227" s="12" t="s">
        <v>917</v>
      </c>
      <c r="E2227" s="304">
        <v>40862</v>
      </c>
      <c r="F2227" s="116" t="s">
        <v>1244</v>
      </c>
      <c r="G2227" s="224" t="s">
        <v>1241</v>
      </c>
      <c r="H2227" s="117" t="s">
        <v>709</v>
      </c>
      <c r="I2227" s="141">
        <v>45</v>
      </c>
      <c r="J2227" s="141">
        <v>15252.485963623221</v>
      </c>
      <c r="K2227" s="330">
        <f t="shared" si="177"/>
        <v>686362</v>
      </c>
      <c r="L2227" s="319" t="s">
        <v>161</v>
      </c>
      <c r="M2227" s="319" t="s">
        <v>155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21"/>
    </row>
    <row r="2228" spans="1:26" ht="15.75" customHeight="1">
      <c r="A2228" s="125" t="str">
        <f>IF(B2228&lt;&gt;"",IF(AND(B2228&gt;=_TM1,B2228&lt;=_TM2,OR(TH!L2228="1111",TH!M2228="1111")),TH!D2228,""),"")</f>
        <v/>
      </c>
      <c r="B2228" s="11">
        <f t="shared" si="175"/>
        <v>11</v>
      </c>
      <c r="C2228" s="115">
        <f t="shared" si="176"/>
        <v>40862</v>
      </c>
      <c r="D2228" s="12" t="s">
        <v>917</v>
      </c>
      <c r="E2228" s="304">
        <v>40862</v>
      </c>
      <c r="F2228" s="116" t="s">
        <v>1245</v>
      </c>
      <c r="G2228" s="224" t="s">
        <v>1241</v>
      </c>
      <c r="H2228" s="117" t="s">
        <v>709</v>
      </c>
      <c r="I2228" s="141">
        <v>63</v>
      </c>
      <c r="J2228" s="141">
        <v>10788.49231282957</v>
      </c>
      <c r="K2228" s="330">
        <f t="shared" si="177"/>
        <v>679675</v>
      </c>
      <c r="L2228" s="319" t="s">
        <v>161</v>
      </c>
      <c r="M2228" s="319" t="s">
        <v>155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21"/>
    </row>
    <row r="2229" spans="1:26" ht="15.75" customHeight="1">
      <c r="A2229" s="125" t="str">
        <f>IF(B2229&lt;&gt;"",IF(AND(B2229&gt;=_TM1,B2229&lt;=_TM2,OR(TH!L2229="1111",TH!M2229="1111")),TH!D2229,""),"")</f>
        <v/>
      </c>
      <c r="B2229" s="11">
        <f t="shared" si="175"/>
        <v>11</v>
      </c>
      <c r="C2229" s="115">
        <f t="shared" si="176"/>
        <v>40862</v>
      </c>
      <c r="D2229" s="12" t="s">
        <v>917</v>
      </c>
      <c r="E2229" s="304">
        <v>40862</v>
      </c>
      <c r="F2229" s="116" t="s">
        <v>1246</v>
      </c>
      <c r="G2229" s="224" t="s">
        <v>1241</v>
      </c>
      <c r="H2229" s="117" t="s">
        <v>709</v>
      </c>
      <c r="I2229" s="141">
        <v>60</v>
      </c>
      <c r="J2229" s="141">
        <v>11437.491519178777</v>
      </c>
      <c r="K2229" s="330">
        <f t="shared" si="177"/>
        <v>686249</v>
      </c>
      <c r="L2229" s="319" t="s">
        <v>161</v>
      </c>
      <c r="M2229" s="319" t="s">
        <v>155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21"/>
    </row>
    <row r="2230" spans="1:26" ht="15.75" customHeight="1">
      <c r="A2230" s="125" t="str">
        <f>IF(B2230&lt;&gt;"",IF(AND(B2230&gt;=_TM1,B2230&lt;=_TM2,OR(TH!L2230="1111",TH!M2230="1111")),TH!D2230,""),"")</f>
        <v/>
      </c>
      <c r="B2230" s="11">
        <f t="shared" si="175"/>
        <v>11</v>
      </c>
      <c r="C2230" s="115">
        <f t="shared" si="176"/>
        <v>40862</v>
      </c>
      <c r="D2230" s="12" t="s">
        <v>917</v>
      </c>
      <c r="E2230" s="304">
        <v>40862</v>
      </c>
      <c r="F2230" s="116" t="s">
        <v>1247</v>
      </c>
      <c r="G2230" s="224" t="s">
        <v>1241</v>
      </c>
      <c r="H2230" s="117" t="s">
        <v>709</v>
      </c>
      <c r="I2230" s="141">
        <v>61</v>
      </c>
      <c r="J2230" s="141">
        <v>9549.4917924028196</v>
      </c>
      <c r="K2230" s="330">
        <f t="shared" si="177"/>
        <v>582519</v>
      </c>
      <c r="L2230" s="319" t="s">
        <v>161</v>
      </c>
      <c r="M2230" s="319" t="s">
        <v>155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21"/>
    </row>
    <row r="2231" spans="1:26" ht="15.75" customHeight="1">
      <c r="A2231" s="125" t="str">
        <f>IF(B2231&lt;&gt;"",IF(AND(B2231&gt;=_TM1,B2231&lt;=_TM2,OR(TH!L2231="1111",TH!M2231="1111")),TH!D2231,""),"")</f>
        <v/>
      </c>
      <c r="B2231" s="11">
        <f t="shared" si="175"/>
        <v>11</v>
      </c>
      <c r="C2231" s="115">
        <f t="shared" si="176"/>
        <v>40862</v>
      </c>
      <c r="D2231" s="12" t="s">
        <v>917</v>
      </c>
      <c r="E2231" s="304">
        <v>40862</v>
      </c>
      <c r="F2231" s="116" t="s">
        <v>1248</v>
      </c>
      <c r="G2231" s="224" t="s">
        <v>1241</v>
      </c>
      <c r="H2231" s="117" t="s">
        <v>709</v>
      </c>
      <c r="I2231" s="141">
        <v>104</v>
      </c>
      <c r="J2231" s="141">
        <v>18291.796647383904</v>
      </c>
      <c r="K2231" s="330">
        <f t="shared" si="177"/>
        <v>1902347</v>
      </c>
      <c r="L2231" s="319" t="s">
        <v>161</v>
      </c>
      <c r="M2231" s="319" t="s">
        <v>155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21"/>
    </row>
    <row r="2232" spans="1:26" ht="15.75" customHeight="1">
      <c r="A2232" s="125" t="str">
        <f>IF(B2232&lt;&gt;"",IF(AND(B2232&gt;=_TM1,B2232&lt;=_TM2,OR(TH!L2232="1111",TH!M2232="1111")),TH!D2232,""),"")</f>
        <v/>
      </c>
      <c r="B2232" s="11">
        <f t="shared" si="175"/>
        <v>11</v>
      </c>
      <c r="C2232" s="115">
        <f t="shared" si="176"/>
        <v>40862</v>
      </c>
      <c r="D2232" s="12" t="s">
        <v>917</v>
      </c>
      <c r="E2232" s="304">
        <v>40862</v>
      </c>
      <c r="F2232" s="116" t="s">
        <v>1249</v>
      </c>
      <c r="G2232" s="224" t="s">
        <v>1241</v>
      </c>
      <c r="H2232" s="117" t="s">
        <v>709</v>
      </c>
      <c r="I2232" s="141">
        <v>152</v>
      </c>
      <c r="J2232" s="141">
        <v>8119.251606898074</v>
      </c>
      <c r="K2232" s="330">
        <f t="shared" si="177"/>
        <v>1234126</v>
      </c>
      <c r="L2232" s="319" t="s">
        <v>161</v>
      </c>
      <c r="M2232" s="319" t="s">
        <v>155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21"/>
    </row>
    <row r="2233" spans="1:26" ht="15.75" customHeight="1">
      <c r="A2233" s="125" t="str">
        <f>IF(B2233&lt;&gt;"",IF(AND(B2233&gt;=_TM1,B2233&lt;=_TM2,OR(TH!L2233="1111",TH!M2233="1111")),TH!D2233,""),"")</f>
        <v/>
      </c>
      <c r="B2233" s="11">
        <f t="shared" si="175"/>
        <v>11</v>
      </c>
      <c r="C2233" s="115">
        <f t="shared" si="176"/>
        <v>40862</v>
      </c>
      <c r="D2233" s="12" t="s">
        <v>917</v>
      </c>
      <c r="E2233" s="304">
        <v>40862</v>
      </c>
      <c r="F2233" s="116" t="s">
        <v>1250</v>
      </c>
      <c r="G2233" s="224" t="s">
        <v>1241</v>
      </c>
      <c r="H2233" s="117" t="s">
        <v>709</v>
      </c>
      <c r="I2233" s="141">
        <v>235</v>
      </c>
      <c r="J2233" s="141">
        <v>9584.6145688241668</v>
      </c>
      <c r="K2233" s="330">
        <f t="shared" si="177"/>
        <v>2252384</v>
      </c>
      <c r="L2233" s="319" t="s">
        <v>161</v>
      </c>
      <c r="M2233" s="319" t="s">
        <v>155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21"/>
    </row>
    <row r="2234" spans="1:26" ht="15.75" customHeight="1">
      <c r="A2234" s="125" t="str">
        <f>IF(B2234&lt;&gt;"",IF(AND(B2234&gt;=_TM1,B2234&lt;=_TM2,OR(TH!L2234="1111",TH!M2234="1111")),TH!D2234,""),"")</f>
        <v/>
      </c>
      <c r="B2234" s="11">
        <f t="shared" si="175"/>
        <v>11</v>
      </c>
      <c r="C2234" s="115">
        <f t="shared" si="176"/>
        <v>40863</v>
      </c>
      <c r="D2234" s="324" t="s">
        <v>1052</v>
      </c>
      <c r="E2234" s="304">
        <v>40863</v>
      </c>
      <c r="F2234" s="114" t="s">
        <v>364</v>
      </c>
      <c r="G2234" s="15"/>
      <c r="H2234" s="242" t="s">
        <v>1037</v>
      </c>
      <c r="I2234" s="315">
        <v>8</v>
      </c>
      <c r="J2234" s="141">
        <v>4449</v>
      </c>
      <c r="K2234" s="238">
        <f t="shared" si="177"/>
        <v>35592</v>
      </c>
      <c r="L2234" s="25" t="s">
        <v>153</v>
      </c>
      <c r="M2234" s="25" t="s">
        <v>147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>x</v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21"/>
    </row>
    <row r="2235" spans="1:26" ht="15.75" customHeight="1">
      <c r="A2235" s="125" t="str">
        <f>IF(B2235&lt;&gt;"",IF(AND(B2235&gt;=_TM1,B2235&lt;=_TM2,OR(TH!L2235="1111",TH!M2235="1111")),TH!D2235,""),"")</f>
        <v/>
      </c>
      <c r="B2235" s="11">
        <f t="shared" si="175"/>
        <v>11</v>
      </c>
      <c r="C2235" s="115">
        <f t="shared" ref="C2235:C2254" si="178">E2235</f>
        <v>40863</v>
      </c>
      <c r="D2235" s="324" t="s">
        <v>1052</v>
      </c>
      <c r="E2235" s="304">
        <v>40863</v>
      </c>
      <c r="F2235" s="114" t="s">
        <v>364</v>
      </c>
      <c r="G2235" s="15"/>
      <c r="H2235" s="242" t="s">
        <v>1037</v>
      </c>
      <c r="I2235" s="315">
        <v>3</v>
      </c>
      <c r="J2235" s="141">
        <v>4449</v>
      </c>
      <c r="K2235" s="238">
        <f t="shared" ref="K2235:K2254" si="179">ROUND(I2235*J2235,0)</f>
        <v>13347</v>
      </c>
      <c r="L2235" s="25" t="s">
        <v>153</v>
      </c>
      <c r="M2235" s="25" t="s">
        <v>147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>x</v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21"/>
    </row>
    <row r="2236" spans="1:26" ht="15.75" customHeight="1">
      <c r="A2236" s="125" t="str">
        <f>IF(B2236&lt;&gt;"",IF(AND(B2236&gt;=_TM1,B2236&lt;=_TM2,OR(TH!L2236="1111",TH!M2236="1111")),TH!D2236,""),"")</f>
        <v/>
      </c>
      <c r="B2236" s="11">
        <f t="shared" si="175"/>
        <v>11</v>
      </c>
      <c r="C2236" s="115">
        <f t="shared" si="178"/>
        <v>40863</v>
      </c>
      <c r="D2236" s="324" t="s">
        <v>1052</v>
      </c>
      <c r="E2236" s="304">
        <v>40863</v>
      </c>
      <c r="F2236" s="114" t="s">
        <v>364</v>
      </c>
      <c r="G2236" s="15"/>
      <c r="H2236" s="242" t="s">
        <v>1037</v>
      </c>
      <c r="I2236" s="315">
        <v>6</v>
      </c>
      <c r="J2236" s="141">
        <v>4449</v>
      </c>
      <c r="K2236" s="238">
        <f t="shared" si="179"/>
        <v>26694</v>
      </c>
      <c r="L2236" s="25" t="s">
        <v>153</v>
      </c>
      <c r="M2236" s="25" t="s">
        <v>147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>x</v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21"/>
    </row>
    <row r="2237" spans="1:26" ht="15.75" customHeight="1">
      <c r="A2237" s="125" t="str">
        <f>IF(B2237&lt;&gt;"",IF(AND(B2237&gt;=_TM1,B2237&lt;=_TM2,OR(TH!L2237="1111",TH!M2237="1111")),TH!D2237,""),"")</f>
        <v/>
      </c>
      <c r="B2237" s="11">
        <f t="shared" si="175"/>
        <v>11</v>
      </c>
      <c r="C2237" s="115">
        <f t="shared" si="178"/>
        <v>40863</v>
      </c>
      <c r="D2237" s="324" t="s">
        <v>1052</v>
      </c>
      <c r="E2237" s="304">
        <v>40863</v>
      </c>
      <c r="F2237" s="114" t="s">
        <v>364</v>
      </c>
      <c r="G2237" s="15"/>
      <c r="H2237" s="242" t="s">
        <v>1037</v>
      </c>
      <c r="I2237" s="315">
        <v>7</v>
      </c>
      <c r="J2237" s="141">
        <v>4449</v>
      </c>
      <c r="K2237" s="238">
        <f t="shared" si="179"/>
        <v>31143</v>
      </c>
      <c r="L2237" s="25" t="s">
        <v>153</v>
      </c>
      <c r="M2237" s="25" t="s">
        <v>147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>x</v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21"/>
    </row>
    <row r="2238" spans="1:26" ht="15.75" customHeight="1">
      <c r="A2238" s="125" t="str">
        <f>IF(B2238&lt;&gt;"",IF(AND(B2238&gt;=_TM1,B2238&lt;=_TM2,OR(TH!L2238="1111",TH!M2238="1111")),TH!D2238,""),"")</f>
        <v/>
      </c>
      <c r="B2238" s="11">
        <f t="shared" si="175"/>
        <v>11</v>
      </c>
      <c r="C2238" s="115">
        <f t="shared" si="178"/>
        <v>40863</v>
      </c>
      <c r="D2238" s="324" t="s">
        <v>1052</v>
      </c>
      <c r="E2238" s="304">
        <v>40863</v>
      </c>
      <c r="F2238" s="114" t="s">
        <v>364</v>
      </c>
      <c r="G2238" s="15"/>
      <c r="H2238" s="242" t="s">
        <v>1037</v>
      </c>
      <c r="I2238" s="315">
        <v>15</v>
      </c>
      <c r="J2238" s="141">
        <v>4449</v>
      </c>
      <c r="K2238" s="238">
        <f t="shared" si="179"/>
        <v>66735</v>
      </c>
      <c r="L2238" s="25" t="s">
        <v>153</v>
      </c>
      <c r="M2238" s="25" t="s">
        <v>147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>x</v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21"/>
    </row>
    <row r="2239" spans="1:26" ht="15.75" customHeight="1">
      <c r="A2239" s="125" t="str">
        <f>IF(B2239&lt;&gt;"",IF(AND(B2239&gt;=_TM1,B2239&lt;=_TM2,OR(TH!L2239="1111",TH!M2239="1111")),TH!D2239,""),"")</f>
        <v/>
      </c>
      <c r="B2239" s="11">
        <f t="shared" si="175"/>
        <v>11</v>
      </c>
      <c r="C2239" s="115">
        <f t="shared" si="178"/>
        <v>40863</v>
      </c>
      <c r="D2239" s="324" t="s">
        <v>1052</v>
      </c>
      <c r="E2239" s="304">
        <v>40863</v>
      </c>
      <c r="F2239" s="114" t="s">
        <v>556</v>
      </c>
      <c r="G2239" s="15"/>
      <c r="H2239" s="242" t="s">
        <v>1037</v>
      </c>
      <c r="I2239" s="141">
        <v>14</v>
      </c>
      <c r="J2239" s="141">
        <v>7543</v>
      </c>
      <c r="K2239" s="238">
        <f t="shared" si="179"/>
        <v>105602</v>
      </c>
      <c r="L2239" s="25" t="s">
        <v>153</v>
      </c>
      <c r="M2239" s="25" t="s">
        <v>147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21"/>
    </row>
    <row r="2240" spans="1:26" ht="15.75" customHeight="1">
      <c r="A2240" s="125" t="str">
        <f>IF(B2240&lt;&gt;"",IF(AND(B2240&gt;=_TM1,B2240&lt;=_TM2,OR(TH!L2240="1111",TH!M2240="1111")),TH!D2240,""),"")</f>
        <v/>
      </c>
      <c r="B2240" s="11">
        <f t="shared" si="175"/>
        <v>11</v>
      </c>
      <c r="C2240" s="115">
        <f t="shared" si="178"/>
        <v>40863</v>
      </c>
      <c r="D2240" s="324" t="s">
        <v>1052</v>
      </c>
      <c r="E2240" s="304">
        <v>40863</v>
      </c>
      <c r="F2240" s="114" t="s">
        <v>364</v>
      </c>
      <c r="G2240" s="15"/>
      <c r="H2240" s="242" t="s">
        <v>1037</v>
      </c>
      <c r="I2240" s="315">
        <v>14</v>
      </c>
      <c r="J2240" s="141">
        <v>4449</v>
      </c>
      <c r="K2240" s="238">
        <f t="shared" si="179"/>
        <v>62286</v>
      </c>
      <c r="L2240" s="25" t="s">
        <v>153</v>
      </c>
      <c r="M2240" s="25" t="s">
        <v>147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>x</v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21"/>
    </row>
    <row r="2241" spans="1:26" ht="15.75" customHeight="1">
      <c r="A2241" s="125" t="str">
        <f>IF(B2241&lt;&gt;"",IF(AND(B2241&gt;=_TM1,B2241&lt;=_TM2,OR(TH!L2241="1111",TH!M2241="1111")),TH!D2241,""),"")</f>
        <v/>
      </c>
      <c r="B2241" s="11">
        <f t="shared" si="175"/>
        <v>11</v>
      </c>
      <c r="C2241" s="115">
        <f t="shared" si="178"/>
        <v>40863</v>
      </c>
      <c r="D2241" s="324" t="s">
        <v>1052</v>
      </c>
      <c r="E2241" s="304">
        <v>40863</v>
      </c>
      <c r="F2241" s="114" t="s">
        <v>364</v>
      </c>
      <c r="G2241" s="15"/>
      <c r="H2241" s="242" t="s">
        <v>1037</v>
      </c>
      <c r="I2241" s="315">
        <v>2</v>
      </c>
      <c r="J2241" s="141">
        <v>4449</v>
      </c>
      <c r="K2241" s="238">
        <f t="shared" si="179"/>
        <v>8898</v>
      </c>
      <c r="L2241" s="25" t="s">
        <v>153</v>
      </c>
      <c r="M2241" s="25" t="s">
        <v>147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>x</v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21"/>
    </row>
    <row r="2242" spans="1:26" ht="15.75" customHeight="1">
      <c r="A2242" s="125" t="str">
        <f>IF(B2242&lt;&gt;"",IF(AND(B2242&gt;=_TM1,B2242&lt;=_TM2,OR(TH!L2242="1111",TH!M2242="1111")),TH!D2242,""),"")</f>
        <v/>
      </c>
      <c r="B2242" s="11">
        <f t="shared" si="175"/>
        <v>11</v>
      </c>
      <c r="C2242" s="115">
        <f t="shared" si="178"/>
        <v>40863</v>
      </c>
      <c r="D2242" s="324" t="s">
        <v>1052</v>
      </c>
      <c r="E2242" s="304">
        <v>40863</v>
      </c>
      <c r="F2242" s="114" t="s">
        <v>364</v>
      </c>
      <c r="G2242" s="15"/>
      <c r="H2242" s="242" t="s">
        <v>1037</v>
      </c>
      <c r="I2242" s="315">
        <v>2</v>
      </c>
      <c r="J2242" s="141">
        <v>4449</v>
      </c>
      <c r="K2242" s="238">
        <f t="shared" si="179"/>
        <v>8898</v>
      </c>
      <c r="L2242" s="25" t="s">
        <v>153</v>
      </c>
      <c r="M2242" s="25" t="s">
        <v>147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>x</v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21"/>
    </row>
    <row r="2243" spans="1:26" ht="15.75" customHeight="1">
      <c r="A2243" s="125" t="str">
        <f>IF(B2243&lt;&gt;"",IF(AND(B2243&gt;=_TM1,B2243&lt;=_TM2,OR(TH!L2243="1111",TH!M2243="1111")),TH!D2243,""),"")</f>
        <v/>
      </c>
      <c r="B2243" s="11">
        <f t="shared" si="175"/>
        <v>11</v>
      </c>
      <c r="C2243" s="115">
        <f t="shared" si="178"/>
        <v>40865</v>
      </c>
      <c r="D2243" s="324" t="s">
        <v>1053</v>
      </c>
      <c r="E2243" s="303">
        <v>40865</v>
      </c>
      <c r="F2243" s="114" t="s">
        <v>364</v>
      </c>
      <c r="G2243" s="15"/>
      <c r="H2243" s="242" t="s">
        <v>1037</v>
      </c>
      <c r="I2243" s="315">
        <v>3</v>
      </c>
      <c r="J2243" s="141">
        <v>4449</v>
      </c>
      <c r="K2243" s="238">
        <f t="shared" si="179"/>
        <v>13347</v>
      </c>
      <c r="L2243" s="25" t="s">
        <v>153</v>
      </c>
      <c r="M2243" s="25" t="s">
        <v>147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>x</v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21"/>
    </row>
    <row r="2244" spans="1:26" ht="15.75" customHeight="1">
      <c r="A2244" s="125" t="str">
        <f>IF(B2244&lt;&gt;"",IF(AND(B2244&gt;=_TM1,B2244&lt;=_TM2,OR(TH!L2244="1111",TH!M2244="1111")),TH!D2244,""),"")</f>
        <v/>
      </c>
      <c r="B2244" s="11">
        <f t="shared" si="175"/>
        <v>11</v>
      </c>
      <c r="C2244" s="115">
        <f t="shared" si="178"/>
        <v>40865</v>
      </c>
      <c r="D2244" s="324" t="s">
        <v>1053</v>
      </c>
      <c r="E2244" s="303">
        <v>40865</v>
      </c>
      <c r="F2244" s="114" t="s">
        <v>364</v>
      </c>
      <c r="G2244" s="15"/>
      <c r="H2244" s="242" t="s">
        <v>1037</v>
      </c>
      <c r="I2244" s="315">
        <v>8</v>
      </c>
      <c r="J2244" s="141">
        <v>4449</v>
      </c>
      <c r="K2244" s="238">
        <f t="shared" si="179"/>
        <v>35592</v>
      </c>
      <c r="L2244" s="25" t="s">
        <v>153</v>
      </c>
      <c r="M2244" s="25" t="s">
        <v>147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>x</v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21"/>
    </row>
    <row r="2245" spans="1:26" ht="15.75" customHeight="1">
      <c r="A2245" s="125" t="str">
        <f>IF(B2245&lt;&gt;"",IF(AND(B2245&gt;=_TM1,B2245&lt;=_TM2,OR(TH!L2245="1111",TH!M2245="1111")),TH!D2245,""),"")</f>
        <v/>
      </c>
      <c r="B2245" s="11">
        <f t="shared" si="175"/>
        <v>11</v>
      </c>
      <c r="C2245" s="115">
        <f t="shared" si="178"/>
        <v>40865</v>
      </c>
      <c r="D2245" s="324" t="s">
        <v>1053</v>
      </c>
      <c r="E2245" s="303">
        <v>40865</v>
      </c>
      <c r="F2245" s="114" t="s">
        <v>364</v>
      </c>
      <c r="G2245" s="15"/>
      <c r="H2245" s="242" t="s">
        <v>1037</v>
      </c>
      <c r="I2245" s="315">
        <v>5</v>
      </c>
      <c r="J2245" s="141">
        <v>4449</v>
      </c>
      <c r="K2245" s="238">
        <f t="shared" si="179"/>
        <v>22245</v>
      </c>
      <c r="L2245" s="25" t="s">
        <v>153</v>
      </c>
      <c r="M2245" s="25" t="s">
        <v>147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>x</v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21"/>
    </row>
    <row r="2246" spans="1:26" ht="15.75" customHeight="1">
      <c r="A2246" s="125" t="str">
        <f>IF(B2246&lt;&gt;"",IF(AND(B2246&gt;=_TM1,B2246&lt;=_TM2,OR(TH!L2246="1111",TH!M2246="1111")),TH!D2246,""),"")</f>
        <v/>
      </c>
      <c r="B2246" s="11">
        <f t="shared" si="175"/>
        <v>11</v>
      </c>
      <c r="C2246" s="115">
        <f t="shared" si="178"/>
        <v>40865</v>
      </c>
      <c r="D2246" s="324" t="s">
        <v>1053</v>
      </c>
      <c r="E2246" s="303">
        <v>40865</v>
      </c>
      <c r="F2246" s="114" t="s">
        <v>364</v>
      </c>
      <c r="G2246" s="15"/>
      <c r="H2246" s="242" t="s">
        <v>1037</v>
      </c>
      <c r="I2246" s="315">
        <v>11</v>
      </c>
      <c r="J2246" s="141">
        <v>4449</v>
      </c>
      <c r="K2246" s="238">
        <f t="shared" si="179"/>
        <v>48939</v>
      </c>
      <c r="L2246" s="25" t="s">
        <v>153</v>
      </c>
      <c r="M2246" s="25" t="s">
        <v>147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>x</v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21"/>
    </row>
    <row r="2247" spans="1:26" ht="15.75" customHeight="1">
      <c r="A2247" s="125" t="str">
        <f>IF(B2247&lt;&gt;"",IF(AND(B2247&gt;=_TM1,B2247&lt;=_TM2,OR(TH!L2247="1111",TH!M2247="1111")),TH!D2247,""),"")</f>
        <v/>
      </c>
      <c r="B2247" s="11">
        <f t="shared" si="175"/>
        <v>11</v>
      </c>
      <c r="C2247" s="115">
        <f t="shared" si="178"/>
        <v>40865</v>
      </c>
      <c r="D2247" s="324" t="s">
        <v>1053</v>
      </c>
      <c r="E2247" s="303">
        <v>40865</v>
      </c>
      <c r="F2247" s="15" t="s">
        <v>601</v>
      </c>
      <c r="G2247" s="15"/>
      <c r="H2247" s="242" t="s">
        <v>1037</v>
      </c>
      <c r="I2247" s="141">
        <v>0.5</v>
      </c>
      <c r="J2247" s="141">
        <v>23688</v>
      </c>
      <c r="K2247" s="238">
        <f t="shared" si="179"/>
        <v>11844</v>
      </c>
      <c r="L2247" s="25" t="s">
        <v>153</v>
      </c>
      <c r="M2247" s="25" t="s">
        <v>147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21"/>
    </row>
    <row r="2248" spans="1:26" ht="15.75" customHeight="1">
      <c r="A2248" s="125" t="str">
        <f>IF(B2248&lt;&gt;"",IF(AND(B2248&gt;=_TM1,B2248&lt;=_TM2,OR(TH!L2248="1111",TH!M2248="1111")),TH!D2248,""),"")</f>
        <v/>
      </c>
      <c r="B2248" s="11">
        <f t="shared" si="175"/>
        <v>11</v>
      </c>
      <c r="C2248" s="115">
        <f t="shared" si="178"/>
        <v>40865</v>
      </c>
      <c r="D2248" s="324" t="s">
        <v>1053</v>
      </c>
      <c r="E2248" s="303">
        <v>40865</v>
      </c>
      <c r="F2248" s="114" t="s">
        <v>519</v>
      </c>
      <c r="G2248" s="15"/>
      <c r="H2248" s="242" t="s">
        <v>1037</v>
      </c>
      <c r="I2248" s="141">
        <v>1</v>
      </c>
      <c r="J2248" s="141">
        <v>19638</v>
      </c>
      <c r="K2248" s="238">
        <f t="shared" si="179"/>
        <v>19638</v>
      </c>
      <c r="L2248" s="25" t="s">
        <v>153</v>
      </c>
      <c r="M2248" s="25" t="s">
        <v>147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21"/>
    </row>
    <row r="2249" spans="1:26" ht="15.75" customHeight="1">
      <c r="A2249" s="125" t="str">
        <f>IF(B2249&lt;&gt;"",IF(AND(B2249&gt;=_TM1,B2249&lt;=_TM2,OR(TH!L2249="1111",TH!M2249="1111")),TH!D2249,""),"")</f>
        <v/>
      </c>
      <c r="B2249" s="11">
        <f t="shared" si="175"/>
        <v>11</v>
      </c>
      <c r="C2249" s="115">
        <f t="shared" si="178"/>
        <v>40865</v>
      </c>
      <c r="D2249" s="324" t="s">
        <v>1053</v>
      </c>
      <c r="E2249" s="303">
        <v>40865</v>
      </c>
      <c r="F2249" s="114" t="s">
        <v>526</v>
      </c>
      <c r="G2249" s="15"/>
      <c r="H2249" s="242" t="s">
        <v>1037</v>
      </c>
      <c r="I2249" s="141">
        <v>21</v>
      </c>
      <c r="J2249" s="141">
        <v>13954</v>
      </c>
      <c r="K2249" s="238">
        <f t="shared" si="179"/>
        <v>293034</v>
      </c>
      <c r="L2249" s="25" t="s">
        <v>153</v>
      </c>
      <c r="M2249" s="25" t="s">
        <v>147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21"/>
    </row>
    <row r="2250" spans="1:26" ht="15.75" customHeight="1">
      <c r="A2250" s="125" t="str">
        <f>IF(B2250&lt;&gt;"",IF(AND(B2250&gt;=_TM1,B2250&lt;=_TM2,OR(TH!L2250="1111",TH!M2250="1111")),TH!D2250,""),"")</f>
        <v/>
      </c>
      <c r="B2250" s="11">
        <f t="shared" si="175"/>
        <v>11</v>
      </c>
      <c r="C2250" s="115">
        <f t="shared" si="178"/>
        <v>40865</v>
      </c>
      <c r="D2250" s="324" t="s">
        <v>1053</v>
      </c>
      <c r="E2250" s="303">
        <v>40865</v>
      </c>
      <c r="F2250" s="15" t="s">
        <v>626</v>
      </c>
      <c r="G2250" s="15"/>
      <c r="H2250" s="242" t="s">
        <v>1037</v>
      </c>
      <c r="I2250" s="141">
        <v>27</v>
      </c>
      <c r="J2250" s="141">
        <v>16502</v>
      </c>
      <c r="K2250" s="238">
        <f t="shared" si="179"/>
        <v>445554</v>
      </c>
      <c r="L2250" s="25" t="s">
        <v>153</v>
      </c>
      <c r="M2250" s="25" t="s">
        <v>147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21"/>
    </row>
    <row r="2251" spans="1:26" ht="15.75" customHeight="1">
      <c r="A2251" s="125" t="str">
        <f>IF(B2251&lt;&gt;"",IF(AND(B2251&gt;=_TM1,B2251&lt;=_TM2,OR(TH!L2251="1111",TH!M2251="1111")),TH!D2251,""),"")</f>
        <v/>
      </c>
      <c r="B2251" s="11">
        <f t="shared" si="175"/>
        <v>11</v>
      </c>
      <c r="C2251" s="115">
        <f t="shared" si="178"/>
        <v>40865</v>
      </c>
      <c r="D2251" s="324" t="s">
        <v>1053</v>
      </c>
      <c r="E2251" s="303">
        <v>40865</v>
      </c>
      <c r="F2251" s="15" t="s">
        <v>619</v>
      </c>
      <c r="G2251" s="15"/>
      <c r="H2251" s="242" t="s">
        <v>1037</v>
      </c>
      <c r="I2251" s="141">
        <v>3</v>
      </c>
      <c r="J2251" s="141">
        <v>20278</v>
      </c>
      <c r="K2251" s="238">
        <f t="shared" si="179"/>
        <v>60834</v>
      </c>
      <c r="L2251" s="25" t="s">
        <v>153</v>
      </c>
      <c r="M2251" s="25" t="s">
        <v>147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21"/>
    </row>
    <row r="2252" spans="1:26" ht="15.75" customHeight="1">
      <c r="A2252" s="125" t="str">
        <f>IF(B2252&lt;&gt;"",IF(AND(B2252&gt;=_TM1,B2252&lt;=_TM2,OR(TH!L2252="1111",TH!M2252="1111")),TH!D2252,""),"")</f>
        <v/>
      </c>
      <c r="B2252" s="11">
        <f t="shared" si="175"/>
        <v>11</v>
      </c>
      <c r="C2252" s="115">
        <f t="shared" si="178"/>
        <v>40865</v>
      </c>
      <c r="D2252" s="324" t="s">
        <v>1054</v>
      </c>
      <c r="E2252" s="303">
        <v>40865</v>
      </c>
      <c r="F2252" s="15" t="s">
        <v>601</v>
      </c>
      <c r="G2252" s="15"/>
      <c r="H2252" s="242" t="s">
        <v>1037</v>
      </c>
      <c r="I2252" s="141">
        <v>0.5</v>
      </c>
      <c r="J2252" s="141">
        <v>23688</v>
      </c>
      <c r="K2252" s="238">
        <f t="shared" si="179"/>
        <v>11844</v>
      </c>
      <c r="L2252" s="25" t="s">
        <v>153</v>
      </c>
      <c r="M2252" s="25" t="s">
        <v>147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21"/>
    </row>
    <row r="2253" spans="1:26" ht="15.75" customHeight="1">
      <c r="A2253" s="125" t="str">
        <f>IF(B2253&lt;&gt;"",IF(AND(B2253&gt;=_TM1,B2253&lt;=_TM2,OR(TH!L2253="1111",TH!M2253="1111")),TH!D2253,""),"")</f>
        <v/>
      </c>
      <c r="B2253" s="11">
        <f t="shared" si="175"/>
        <v>11</v>
      </c>
      <c r="C2253" s="115">
        <f t="shared" si="178"/>
        <v>40865</v>
      </c>
      <c r="D2253" s="324" t="s">
        <v>1054</v>
      </c>
      <c r="E2253" s="303">
        <v>40865</v>
      </c>
      <c r="F2253" s="114" t="s">
        <v>526</v>
      </c>
      <c r="G2253" s="15"/>
      <c r="H2253" s="242" t="s">
        <v>1037</v>
      </c>
      <c r="I2253" s="141">
        <v>1</v>
      </c>
      <c r="J2253" s="141">
        <v>13954</v>
      </c>
      <c r="K2253" s="238">
        <f t="shared" si="179"/>
        <v>13954</v>
      </c>
      <c r="L2253" s="25" t="s">
        <v>153</v>
      </c>
      <c r="M2253" s="25" t="s">
        <v>147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21"/>
    </row>
    <row r="2254" spans="1:26" ht="15.75" customHeight="1">
      <c r="A2254" s="125" t="str">
        <f>IF(B2254&lt;&gt;"",IF(AND(B2254&gt;=_TM1,B2254&lt;=_TM2,OR(TH!L2254="1111",TH!M2254="1111")),TH!D2254,""),"")</f>
        <v/>
      </c>
      <c r="B2254" s="11">
        <f t="shared" si="175"/>
        <v>11</v>
      </c>
      <c r="C2254" s="115">
        <f t="shared" si="178"/>
        <v>40865</v>
      </c>
      <c r="D2254" s="324" t="s">
        <v>1054</v>
      </c>
      <c r="E2254" s="303">
        <v>40865</v>
      </c>
      <c r="F2254" s="15" t="s">
        <v>620</v>
      </c>
      <c r="G2254" s="15"/>
      <c r="H2254" s="242" t="s">
        <v>1037</v>
      </c>
      <c r="I2254" s="141">
        <v>6</v>
      </c>
      <c r="J2254" s="141">
        <v>25631</v>
      </c>
      <c r="K2254" s="238">
        <f t="shared" si="179"/>
        <v>153786</v>
      </c>
      <c r="L2254" s="25" t="s">
        <v>153</v>
      </c>
      <c r="M2254" s="25" t="s">
        <v>147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21"/>
    </row>
    <row r="2255" spans="1:26" ht="15.75" customHeight="1">
      <c r="A2255" s="125" t="str">
        <f>IF(B2255&lt;&gt;"",IF(AND(B2255&gt;=_TM1,B2255&lt;=_TM2,OR(TH!L2255="1111",TH!M2255="1111")),TH!D2255,""),"")</f>
        <v/>
      </c>
      <c r="B2255" s="11">
        <f t="shared" si="175"/>
        <v>11</v>
      </c>
      <c r="C2255" s="115">
        <v>40866</v>
      </c>
      <c r="D2255" s="115" t="s">
        <v>918</v>
      </c>
      <c r="E2255" s="345">
        <v>40866</v>
      </c>
      <c r="F2255" s="116" t="s">
        <v>1251</v>
      </c>
      <c r="G2255" s="224" t="s">
        <v>1252</v>
      </c>
      <c r="H2255" s="117" t="s">
        <v>709</v>
      </c>
      <c r="I2255" s="141">
        <v>38</v>
      </c>
      <c r="J2255" s="141">
        <v>25864</v>
      </c>
      <c r="K2255" s="238">
        <v>982832</v>
      </c>
      <c r="L2255" s="118" t="s">
        <v>237</v>
      </c>
      <c r="M2255" s="118" t="s">
        <v>163</v>
      </c>
      <c r="N2255" s="25" t="str">
        <f>IF(AND('331-CT'!$E$7=TH!H2255,OR(L2255="331",M2255="331")),"331",IF(AND(OR(L2255="131",M2255="131"),H2255='131-CT'!$E$7),"131",""))</f>
        <v>131</v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21"/>
    </row>
    <row r="2256" spans="1:26" ht="15.75" customHeight="1">
      <c r="A2256" s="125" t="str">
        <f>IF(B2256&lt;&gt;"",IF(AND(B2256&gt;=_TM1,B2256&lt;=_TM2,OR(TH!L2256="1111",TH!M2256="1111")),TH!D2256,""),"")</f>
        <v/>
      </c>
      <c r="B2256" s="11">
        <f t="shared" si="175"/>
        <v>11</v>
      </c>
      <c r="C2256" s="115">
        <v>40866</v>
      </c>
      <c r="D2256" s="115" t="s">
        <v>918</v>
      </c>
      <c r="E2256" s="345">
        <v>40866</v>
      </c>
      <c r="F2256" s="116" t="s">
        <v>1253</v>
      </c>
      <c r="G2256" s="224" t="s">
        <v>1252</v>
      </c>
      <c r="H2256" s="117" t="s">
        <v>709</v>
      </c>
      <c r="I2256" s="141">
        <v>8</v>
      </c>
      <c r="J2256" s="141">
        <v>17968</v>
      </c>
      <c r="K2256" s="238">
        <v>143744</v>
      </c>
      <c r="L2256" s="118" t="s">
        <v>237</v>
      </c>
      <c r="M2256" s="118" t="s">
        <v>163</v>
      </c>
      <c r="N2256" s="25" t="str">
        <f>IF(AND('331-CT'!$E$7=TH!H2256,OR(L2256="331",M2256="331")),"331",IF(AND(OR(L2256="131",M2256="131"),H2256='131-CT'!$E$7),"131",""))</f>
        <v>131</v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21"/>
    </row>
    <row r="2257" spans="1:26" ht="15.75" customHeight="1">
      <c r="A2257" s="125" t="str">
        <f>IF(B2257&lt;&gt;"",IF(AND(B2257&gt;=_TM1,B2257&lt;=_TM2,OR(TH!L2257="1111",TH!M2257="1111")),TH!D2257,""),"")</f>
        <v/>
      </c>
      <c r="B2257" s="11">
        <f t="shared" si="175"/>
        <v>11</v>
      </c>
      <c r="C2257" s="115">
        <v>40866</v>
      </c>
      <c r="D2257" s="115" t="s">
        <v>918</v>
      </c>
      <c r="E2257" s="345">
        <v>40866</v>
      </c>
      <c r="F2257" s="116" t="s">
        <v>1254</v>
      </c>
      <c r="G2257" s="224" t="s">
        <v>1252</v>
      </c>
      <c r="H2257" s="117" t="s">
        <v>709</v>
      </c>
      <c r="I2257" s="141">
        <v>24</v>
      </c>
      <c r="J2257" s="141">
        <v>11987</v>
      </c>
      <c r="K2257" s="238">
        <v>287688</v>
      </c>
      <c r="L2257" s="118" t="s">
        <v>237</v>
      </c>
      <c r="M2257" s="118" t="s">
        <v>163</v>
      </c>
      <c r="N2257" s="25" t="str">
        <f>IF(AND('331-CT'!$E$7=TH!H2257,OR(L2257="331",M2257="331")),"331",IF(AND(OR(L2257="131",M2257="131"),H2257='131-CT'!$E$7),"131",""))</f>
        <v>131</v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21"/>
    </row>
    <row r="2258" spans="1:26" ht="15.75" customHeight="1">
      <c r="A2258" s="125" t="str">
        <f>IF(B2258&lt;&gt;"",IF(AND(B2258&gt;=_TM1,B2258&lt;=_TM2,OR(TH!L2258="1111",TH!M2258="1111")),TH!D2258,""),"")</f>
        <v/>
      </c>
      <c r="B2258" s="11">
        <f t="shared" si="175"/>
        <v>11</v>
      </c>
      <c r="C2258" s="115">
        <v>40866</v>
      </c>
      <c r="D2258" s="115" t="s">
        <v>918</v>
      </c>
      <c r="E2258" s="345">
        <v>40866</v>
      </c>
      <c r="F2258" s="116" t="s">
        <v>1255</v>
      </c>
      <c r="G2258" s="224" t="s">
        <v>1252</v>
      </c>
      <c r="H2258" s="117" t="s">
        <v>709</v>
      </c>
      <c r="I2258" s="141">
        <v>24</v>
      </c>
      <c r="J2258" s="141">
        <v>16916</v>
      </c>
      <c r="K2258" s="238">
        <v>405984</v>
      </c>
      <c r="L2258" s="118" t="s">
        <v>237</v>
      </c>
      <c r="M2258" s="118" t="s">
        <v>163</v>
      </c>
      <c r="N2258" s="25" t="str">
        <f>IF(AND('331-CT'!$E$7=TH!H2258,OR(L2258="331",M2258="331")),"331",IF(AND(OR(L2258="131",M2258="131"),H2258='131-CT'!$E$7),"131",""))</f>
        <v>131</v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21"/>
    </row>
    <row r="2259" spans="1:26" ht="15.75" customHeight="1">
      <c r="A2259" s="125" t="str">
        <f>IF(B2259&lt;&gt;"",IF(AND(B2259&gt;=_TM1,B2259&lt;=_TM2,OR(TH!L2259="1111",TH!M2259="1111")),TH!D2259,""),"")</f>
        <v/>
      </c>
      <c r="B2259" s="11">
        <f t="shared" si="175"/>
        <v>11</v>
      </c>
      <c r="C2259" s="115">
        <v>40866</v>
      </c>
      <c r="D2259" s="115" t="s">
        <v>918</v>
      </c>
      <c r="E2259" s="345">
        <v>40866</v>
      </c>
      <c r="F2259" s="116" t="s">
        <v>1256</v>
      </c>
      <c r="G2259" s="224" t="s">
        <v>1252</v>
      </c>
      <c r="H2259" s="117" t="s">
        <v>709</v>
      </c>
      <c r="I2259" s="141">
        <v>2</v>
      </c>
      <c r="J2259" s="141">
        <v>8709</v>
      </c>
      <c r="K2259" s="238">
        <v>17418</v>
      </c>
      <c r="L2259" s="118" t="s">
        <v>237</v>
      </c>
      <c r="M2259" s="118" t="s">
        <v>163</v>
      </c>
      <c r="N2259" s="25" t="str">
        <f>IF(AND('331-CT'!$E$7=TH!H2259,OR(L2259="331",M2259="331")),"331",IF(AND(OR(L2259="131",M2259="131"),H2259='131-CT'!$E$7),"131",""))</f>
        <v>131</v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21"/>
    </row>
    <row r="2260" spans="1:26" ht="15.75" customHeight="1">
      <c r="A2260" s="125" t="str">
        <f>IF(B2260&lt;&gt;"",IF(AND(B2260&gt;=_TM1,B2260&lt;=_TM2,OR(TH!L2260="1111",TH!M2260="1111")),TH!D2260,""),"")</f>
        <v/>
      </c>
      <c r="B2260" s="11">
        <f t="shared" si="175"/>
        <v>11</v>
      </c>
      <c r="C2260" s="115">
        <v>40866</v>
      </c>
      <c r="D2260" s="115" t="s">
        <v>918</v>
      </c>
      <c r="E2260" s="345">
        <v>40866</v>
      </c>
      <c r="F2260" s="116" t="s">
        <v>1257</v>
      </c>
      <c r="G2260" s="224" t="s">
        <v>1252</v>
      </c>
      <c r="H2260" s="117" t="s">
        <v>709</v>
      </c>
      <c r="I2260" s="141">
        <v>25</v>
      </c>
      <c r="J2260" s="141">
        <v>14798</v>
      </c>
      <c r="K2260" s="238">
        <v>369950</v>
      </c>
      <c r="L2260" s="118" t="s">
        <v>237</v>
      </c>
      <c r="M2260" s="118" t="s">
        <v>163</v>
      </c>
      <c r="N2260" s="25" t="str">
        <f>IF(AND('331-CT'!$E$7=TH!H2260,OR(L2260="331",M2260="331")),"331",IF(AND(OR(L2260="131",M2260="131"),H2260='131-CT'!$E$7),"131",""))</f>
        <v>131</v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21"/>
    </row>
    <row r="2261" spans="1:26" ht="15.75" customHeight="1">
      <c r="A2261" s="125" t="str">
        <f>IF(B2261&lt;&gt;"",IF(AND(B2261&gt;=_TM1,B2261&lt;=_TM2,OR(TH!L2261="1111",TH!M2261="1111")),TH!D2261,""),"")</f>
        <v/>
      </c>
      <c r="B2261" s="11">
        <f t="shared" si="175"/>
        <v>11</v>
      </c>
      <c r="C2261" s="115">
        <v>40866</v>
      </c>
      <c r="D2261" s="115" t="s">
        <v>918</v>
      </c>
      <c r="E2261" s="345">
        <v>40866</v>
      </c>
      <c r="F2261" s="116" t="s">
        <v>1258</v>
      </c>
      <c r="G2261" s="224" t="s">
        <v>1252</v>
      </c>
      <c r="H2261" s="117" t="s">
        <v>709</v>
      </c>
      <c r="I2261" s="141">
        <v>274</v>
      </c>
      <c r="J2261" s="141">
        <v>11849</v>
      </c>
      <c r="K2261" s="238">
        <v>3246626</v>
      </c>
      <c r="L2261" s="118" t="s">
        <v>237</v>
      </c>
      <c r="M2261" s="118" t="s">
        <v>163</v>
      </c>
      <c r="N2261" s="25" t="str">
        <f>IF(AND('331-CT'!$E$7=TH!H2261,OR(L2261="331",M2261="331")),"331",IF(AND(OR(L2261="131",M2261="131"),H2261='131-CT'!$E$7),"131",""))</f>
        <v>131</v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21"/>
    </row>
    <row r="2262" spans="1:26" ht="15.75" customHeight="1">
      <c r="A2262" s="125" t="str">
        <f>IF(B2262&lt;&gt;"",IF(AND(B2262&gt;=_TM1,B2262&lt;=_TM2,OR(TH!L2262="1111",TH!M2262="1111")),TH!D2262,""),"")</f>
        <v/>
      </c>
      <c r="B2262" s="11">
        <f t="shared" ref="B2262:B2325" si="180">IF(C2262&lt;&gt;"",MONTH(C2262),"")</f>
        <v>11</v>
      </c>
      <c r="C2262" s="115">
        <v>40866</v>
      </c>
      <c r="D2262" s="115" t="s">
        <v>918</v>
      </c>
      <c r="E2262" s="345">
        <v>40866</v>
      </c>
      <c r="F2262" s="116" t="s">
        <v>1259</v>
      </c>
      <c r="G2262" s="224" t="s">
        <v>1252</v>
      </c>
      <c r="H2262" s="117" t="s">
        <v>709</v>
      </c>
      <c r="I2262" s="141">
        <v>123</v>
      </c>
      <c r="J2262" s="141">
        <v>11205</v>
      </c>
      <c r="K2262" s="238">
        <v>1378215</v>
      </c>
      <c r="L2262" s="118" t="s">
        <v>237</v>
      </c>
      <c r="M2262" s="118" t="s">
        <v>163</v>
      </c>
      <c r="N2262" s="25" t="str">
        <f>IF(AND('331-CT'!$E$7=TH!H2262,OR(L2262="331",M2262="331")),"331",IF(AND(OR(L2262="131",M2262="131"),H2262='131-CT'!$E$7),"131",""))</f>
        <v>131</v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21"/>
    </row>
    <row r="2263" spans="1:26" ht="15.75" customHeight="1">
      <c r="A2263" s="125" t="str">
        <f>IF(B2263&lt;&gt;"",IF(AND(B2263&gt;=_TM1,B2263&lt;=_TM2,OR(TH!L2263="1111",TH!M2263="1111")),TH!D2263,""),"")</f>
        <v/>
      </c>
      <c r="B2263" s="11">
        <f t="shared" si="180"/>
        <v>11</v>
      </c>
      <c r="C2263" s="115">
        <v>40866</v>
      </c>
      <c r="D2263" s="115" t="s">
        <v>918</v>
      </c>
      <c r="E2263" s="345">
        <v>40866</v>
      </c>
      <c r="F2263" s="116" t="s">
        <v>1260</v>
      </c>
      <c r="G2263" s="224" t="s">
        <v>1252</v>
      </c>
      <c r="H2263" s="117" t="s">
        <v>709</v>
      </c>
      <c r="I2263" s="141">
        <v>118</v>
      </c>
      <c r="J2263" s="141">
        <v>1087</v>
      </c>
      <c r="K2263" s="238">
        <v>128266</v>
      </c>
      <c r="L2263" s="118" t="s">
        <v>237</v>
      </c>
      <c r="M2263" s="118" t="s">
        <v>163</v>
      </c>
      <c r="N2263" s="25" t="str">
        <f>IF(AND('331-CT'!$E$7=TH!H2263,OR(L2263="331",M2263="331")),"331",IF(AND(OR(L2263="131",M2263="131"),H2263='131-CT'!$E$7),"131",""))</f>
        <v>131</v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121"/>
    </row>
    <row r="2264" spans="1:26" ht="15.75" customHeight="1">
      <c r="A2264" s="125" t="str">
        <f>IF(B2264&lt;&gt;"",IF(AND(B2264&gt;=_TM1,B2264&lt;=_TM2,OR(TH!L2264="1111",TH!M2264="1111")),TH!D2264,""),"")</f>
        <v/>
      </c>
      <c r="B2264" s="11">
        <f t="shared" si="180"/>
        <v>11</v>
      </c>
      <c r="C2264" s="115">
        <v>40866</v>
      </c>
      <c r="D2264" s="115" t="s">
        <v>918</v>
      </c>
      <c r="E2264" s="345">
        <v>40866</v>
      </c>
      <c r="F2264" s="116" t="s">
        <v>1261</v>
      </c>
      <c r="G2264" s="224" t="s">
        <v>1252</v>
      </c>
      <c r="H2264" s="117" t="s">
        <v>709</v>
      </c>
      <c r="I2264" s="141">
        <v>236</v>
      </c>
      <c r="J2264" s="141">
        <v>1025</v>
      </c>
      <c r="K2264" s="238">
        <v>241900</v>
      </c>
      <c r="L2264" s="118" t="s">
        <v>237</v>
      </c>
      <c r="M2264" s="118" t="s">
        <v>163</v>
      </c>
      <c r="N2264" s="25" t="str">
        <f>IF(AND('331-CT'!$E$7=TH!H2264,OR(L2264="331",M2264="331")),"331",IF(AND(OR(L2264="131",M2264="131"),H2264='131-CT'!$E$7),"131",""))</f>
        <v>131</v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121"/>
    </row>
    <row r="2265" spans="1:26" ht="15.75" customHeight="1">
      <c r="A2265" s="125" t="str">
        <f>IF(B2265&lt;&gt;"",IF(AND(B2265&gt;=_TM1,B2265&lt;=_TM2,OR(TH!L2265="1111",TH!M2265="1111")),TH!D2265,""),"")</f>
        <v/>
      </c>
      <c r="B2265" s="11">
        <f t="shared" si="180"/>
        <v>11</v>
      </c>
      <c r="C2265" s="115">
        <v>40866</v>
      </c>
      <c r="D2265" s="115" t="s">
        <v>918</v>
      </c>
      <c r="E2265" s="345">
        <v>40866</v>
      </c>
      <c r="F2265" s="116" t="s">
        <v>1262</v>
      </c>
      <c r="G2265" s="224" t="s">
        <v>1252</v>
      </c>
      <c r="H2265" s="117" t="s">
        <v>709</v>
      </c>
      <c r="I2265" s="141">
        <v>60</v>
      </c>
      <c r="J2265" s="141">
        <v>1220</v>
      </c>
      <c r="K2265" s="238">
        <v>73200</v>
      </c>
      <c r="L2265" s="118" t="s">
        <v>237</v>
      </c>
      <c r="M2265" s="118" t="s">
        <v>163</v>
      </c>
      <c r="N2265" s="25" t="str">
        <f>IF(AND('331-CT'!$E$7=TH!H2265,OR(L2265="331",M2265="331")),"331",IF(AND(OR(L2265="131",M2265="131"),H2265='131-CT'!$E$7),"131",""))</f>
        <v>131</v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121"/>
    </row>
    <row r="2266" spans="1:26" ht="15.75" customHeight="1">
      <c r="A2266" s="125" t="str">
        <f>IF(B2266&lt;&gt;"",IF(AND(B2266&gt;=_TM1,B2266&lt;=_TM2,OR(TH!L2266="1111",TH!M2266="1111")),TH!D2266,""),"")</f>
        <v/>
      </c>
      <c r="B2266" s="11">
        <f t="shared" si="180"/>
        <v>11</v>
      </c>
      <c r="C2266" s="115">
        <v>40866</v>
      </c>
      <c r="D2266" s="115" t="s">
        <v>918</v>
      </c>
      <c r="E2266" s="345">
        <v>40866</v>
      </c>
      <c r="F2266" s="116" t="s">
        <v>1263</v>
      </c>
      <c r="G2266" s="224" t="s">
        <v>1252</v>
      </c>
      <c r="H2266" s="117" t="s">
        <v>709</v>
      </c>
      <c r="I2266" s="141">
        <v>120</v>
      </c>
      <c r="J2266" s="141">
        <v>1152</v>
      </c>
      <c r="K2266" s="238">
        <v>138240</v>
      </c>
      <c r="L2266" s="118" t="s">
        <v>237</v>
      </c>
      <c r="M2266" s="118" t="s">
        <v>163</v>
      </c>
      <c r="N2266" s="25" t="str">
        <f>IF(AND('331-CT'!$E$7=TH!H2266,OR(L2266="331",M2266="331")),"331",IF(AND(OR(L2266="131",M2266="131"),H2266='131-CT'!$E$7),"131",""))</f>
        <v>131</v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121"/>
    </row>
    <row r="2267" spans="1:26" ht="15.75" customHeight="1">
      <c r="A2267" s="125" t="str">
        <f>IF(B2267&lt;&gt;"",IF(AND(B2267&gt;=_TM1,B2267&lt;=_TM2,OR(TH!L2267="1111",TH!M2267="1111")),TH!D2267,""),"")</f>
        <v/>
      </c>
      <c r="B2267" s="11">
        <f t="shared" si="180"/>
        <v>11</v>
      </c>
      <c r="C2267" s="115">
        <v>40866</v>
      </c>
      <c r="D2267" s="115" t="s">
        <v>918</v>
      </c>
      <c r="E2267" s="345">
        <v>40866</v>
      </c>
      <c r="F2267" s="116" t="s">
        <v>1264</v>
      </c>
      <c r="G2267" s="224" t="s">
        <v>1252</v>
      </c>
      <c r="H2267" s="117" t="s">
        <v>709</v>
      </c>
      <c r="I2267" s="141">
        <v>74</v>
      </c>
      <c r="J2267" s="141">
        <v>1660</v>
      </c>
      <c r="K2267" s="238">
        <v>122840</v>
      </c>
      <c r="L2267" s="118" t="s">
        <v>237</v>
      </c>
      <c r="M2267" s="118" t="s">
        <v>163</v>
      </c>
      <c r="N2267" s="25" t="str">
        <f>IF(AND('331-CT'!$E$7=TH!H2267,OR(L2267="331",M2267="331")),"331",IF(AND(OR(L2267="131",M2267="131"),H2267='131-CT'!$E$7),"131",""))</f>
        <v>131</v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121"/>
    </row>
    <row r="2268" spans="1:26" ht="15.75" customHeight="1">
      <c r="A2268" s="125" t="str">
        <f>IF(B2268&lt;&gt;"",IF(AND(B2268&gt;=_TM1,B2268&lt;=_TM2,OR(TH!L2268="1111",TH!M2268="1111")),TH!D2268,""),"")</f>
        <v/>
      </c>
      <c r="B2268" s="11">
        <f t="shared" si="180"/>
        <v>11</v>
      </c>
      <c r="C2268" s="115">
        <v>40866</v>
      </c>
      <c r="D2268" s="115" t="s">
        <v>918</v>
      </c>
      <c r="E2268" s="345">
        <v>40866</v>
      </c>
      <c r="F2268" s="116" t="s">
        <v>1265</v>
      </c>
      <c r="G2268" s="224" t="s">
        <v>1252</v>
      </c>
      <c r="H2268" s="117" t="s">
        <v>709</v>
      </c>
      <c r="I2268" s="141">
        <v>148</v>
      </c>
      <c r="J2268" s="141">
        <v>1463</v>
      </c>
      <c r="K2268" s="238">
        <v>216524</v>
      </c>
      <c r="L2268" s="118" t="s">
        <v>237</v>
      </c>
      <c r="M2268" s="118" t="s">
        <v>163</v>
      </c>
      <c r="N2268" s="25" t="str">
        <f>IF(AND('331-CT'!$E$7=TH!H2268,OR(L2268="331",M2268="331")),"331",IF(AND(OR(L2268="131",M2268="131"),H2268='131-CT'!$E$7),"131",""))</f>
        <v>131</v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121"/>
    </row>
    <row r="2269" spans="1:26" ht="15.75" customHeight="1">
      <c r="A2269" s="125" t="str">
        <f>IF(B2269&lt;&gt;"",IF(AND(B2269&gt;=_TM1,B2269&lt;=_TM2,OR(TH!L2269="1111",TH!M2269="1111")),TH!D2269,""),"")</f>
        <v/>
      </c>
      <c r="B2269" s="11">
        <f t="shared" si="180"/>
        <v>11</v>
      </c>
      <c r="C2269" s="115">
        <v>40866</v>
      </c>
      <c r="D2269" s="115" t="s">
        <v>918</v>
      </c>
      <c r="E2269" s="345">
        <v>40866</v>
      </c>
      <c r="F2269" s="116" t="s">
        <v>1266</v>
      </c>
      <c r="G2269" s="224" t="s">
        <v>1252</v>
      </c>
      <c r="H2269" s="117" t="s">
        <v>709</v>
      </c>
      <c r="I2269" s="141">
        <v>136</v>
      </c>
      <c r="J2269" s="141">
        <v>1288</v>
      </c>
      <c r="K2269" s="238">
        <v>175168</v>
      </c>
      <c r="L2269" s="118" t="s">
        <v>237</v>
      </c>
      <c r="M2269" s="118" t="s">
        <v>163</v>
      </c>
      <c r="N2269" s="25" t="str">
        <f>IF(AND('331-CT'!$E$7=TH!H2269,OR(L2269="331",M2269="331")),"331",IF(AND(OR(L2269="131",M2269="131"),H2269='131-CT'!$E$7),"131",""))</f>
        <v>131</v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121"/>
    </row>
    <row r="2270" spans="1:26" ht="15.75" customHeight="1">
      <c r="A2270" s="125" t="str">
        <f>IF(B2270&lt;&gt;"",IF(AND(B2270&gt;=_TM1,B2270&lt;=_TM2,OR(TH!L2270="1111",TH!M2270="1111")),TH!D2270,""),"")</f>
        <v/>
      </c>
      <c r="B2270" s="11">
        <f t="shared" si="180"/>
        <v>11</v>
      </c>
      <c r="C2270" s="115">
        <v>40866</v>
      </c>
      <c r="D2270" s="115" t="s">
        <v>918</v>
      </c>
      <c r="E2270" s="345">
        <v>40866</v>
      </c>
      <c r="F2270" s="116" t="s">
        <v>1267</v>
      </c>
      <c r="G2270" s="224" t="s">
        <v>1252</v>
      </c>
      <c r="H2270" s="117" t="s">
        <v>709</v>
      </c>
      <c r="I2270" s="141">
        <v>272</v>
      </c>
      <c r="J2270" s="141">
        <v>1254</v>
      </c>
      <c r="K2270" s="238">
        <v>341088</v>
      </c>
      <c r="L2270" s="118" t="s">
        <v>237</v>
      </c>
      <c r="M2270" s="118" t="s">
        <v>163</v>
      </c>
      <c r="N2270" s="25" t="str">
        <f>IF(AND('331-CT'!$E$7=TH!H2270,OR(L2270="331",M2270="331")),"331",IF(AND(OR(L2270="131",M2270="131"),H2270='131-CT'!$E$7),"131",""))</f>
        <v>131</v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121"/>
    </row>
    <row r="2271" spans="1:26" ht="15.75" customHeight="1">
      <c r="A2271" s="125" t="str">
        <f>IF(B2271&lt;&gt;"",IF(AND(B2271&gt;=_TM1,B2271&lt;=_TM2,OR(TH!L2271="1111",TH!M2271="1111")),TH!D2271,""),"")</f>
        <v/>
      </c>
      <c r="B2271" s="11">
        <f t="shared" si="180"/>
        <v>11</v>
      </c>
      <c r="C2271" s="115">
        <v>40866</v>
      </c>
      <c r="D2271" s="115" t="s">
        <v>918</v>
      </c>
      <c r="E2271" s="345">
        <v>40866</v>
      </c>
      <c r="F2271" s="116" t="s">
        <v>1268</v>
      </c>
      <c r="G2271" s="224" t="s">
        <v>1252</v>
      </c>
      <c r="H2271" s="117" t="s">
        <v>709</v>
      </c>
      <c r="I2271" s="141">
        <v>18</v>
      </c>
      <c r="J2271" s="141">
        <v>1581</v>
      </c>
      <c r="K2271" s="238">
        <v>28458</v>
      </c>
      <c r="L2271" s="118" t="s">
        <v>237</v>
      </c>
      <c r="M2271" s="118" t="s">
        <v>163</v>
      </c>
      <c r="N2271" s="25" t="str">
        <f>IF(AND('331-CT'!$E$7=TH!H2271,OR(L2271="331",M2271="331")),"331",IF(AND(OR(L2271="131",M2271="131"),H2271='131-CT'!$E$7),"131",""))</f>
        <v>131</v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121"/>
    </row>
    <row r="2272" spans="1:26" ht="15.75" customHeight="1">
      <c r="A2272" s="125" t="str">
        <f>IF(B2272&lt;&gt;"",IF(AND(B2272&gt;=_TM1,B2272&lt;=_TM2,OR(TH!L2272="1111",TH!M2272="1111")),TH!D2272,""),"")</f>
        <v/>
      </c>
      <c r="B2272" s="11">
        <f t="shared" si="180"/>
        <v>11</v>
      </c>
      <c r="C2272" s="115">
        <v>40866</v>
      </c>
      <c r="D2272" s="115" t="s">
        <v>918</v>
      </c>
      <c r="E2272" s="345">
        <v>40866</v>
      </c>
      <c r="F2272" s="116" t="s">
        <v>1269</v>
      </c>
      <c r="G2272" s="224" t="s">
        <v>1252</v>
      </c>
      <c r="H2272" s="117" t="s">
        <v>709</v>
      </c>
      <c r="I2272" s="141">
        <v>36</v>
      </c>
      <c r="J2272" s="141">
        <v>1384</v>
      </c>
      <c r="K2272" s="238">
        <v>49824</v>
      </c>
      <c r="L2272" s="118" t="s">
        <v>237</v>
      </c>
      <c r="M2272" s="118" t="s">
        <v>163</v>
      </c>
      <c r="N2272" s="25" t="str">
        <f>IF(AND('331-CT'!$E$7=TH!H2272,OR(L2272="331",M2272="331")),"331",IF(AND(OR(L2272="131",M2272="131"),H2272='131-CT'!$E$7),"131",""))</f>
        <v>131</v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121"/>
    </row>
    <row r="2273" spans="1:26" ht="15.75" customHeight="1">
      <c r="A2273" s="125" t="str">
        <f>IF(B2273&lt;&gt;"",IF(AND(B2273&gt;=_TM1,B2273&lt;=_TM2,OR(TH!L2273="1111",TH!M2273="1111")),TH!D2273,""),"")</f>
        <v/>
      </c>
      <c r="B2273" s="11">
        <f t="shared" si="180"/>
        <v>11</v>
      </c>
      <c r="C2273" s="115">
        <v>40866</v>
      </c>
      <c r="D2273" s="115" t="s">
        <v>918</v>
      </c>
      <c r="E2273" s="345">
        <v>40866</v>
      </c>
      <c r="F2273" s="116" t="s">
        <v>1261</v>
      </c>
      <c r="G2273" s="224" t="s">
        <v>1252</v>
      </c>
      <c r="H2273" s="117" t="s">
        <v>709</v>
      </c>
      <c r="I2273" s="141">
        <v>79</v>
      </c>
      <c r="J2273" s="141">
        <v>1025</v>
      </c>
      <c r="K2273" s="238">
        <v>80975</v>
      </c>
      <c r="L2273" s="118" t="s">
        <v>237</v>
      </c>
      <c r="M2273" s="118" t="s">
        <v>163</v>
      </c>
      <c r="N2273" s="25" t="str">
        <f>IF(AND('331-CT'!$E$7=TH!H2273,OR(L2273="331",M2273="331")),"331",IF(AND(OR(L2273="131",M2273="131"),H2273='131-CT'!$E$7),"131",""))</f>
        <v>131</v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121"/>
    </row>
    <row r="2274" spans="1:26" ht="15.75" customHeight="1">
      <c r="A2274" s="125" t="str">
        <f>IF(B2274&lt;&gt;"",IF(AND(B2274&gt;=_TM1,B2274&lt;=_TM2,OR(TH!L2274="1111",TH!M2274="1111")),TH!D2274,""),"")</f>
        <v/>
      </c>
      <c r="B2274" s="11">
        <f t="shared" si="180"/>
        <v>11</v>
      </c>
      <c r="C2274" s="115">
        <v>40866</v>
      </c>
      <c r="D2274" s="115" t="s">
        <v>918</v>
      </c>
      <c r="E2274" s="345">
        <v>40866</v>
      </c>
      <c r="F2274" s="116" t="s">
        <v>1270</v>
      </c>
      <c r="G2274" s="224" t="s">
        <v>1252</v>
      </c>
      <c r="H2274" s="117" t="s">
        <v>709</v>
      </c>
      <c r="I2274" s="141">
        <v>158</v>
      </c>
      <c r="J2274" s="141">
        <v>963</v>
      </c>
      <c r="K2274" s="238">
        <v>152154</v>
      </c>
      <c r="L2274" s="118" t="s">
        <v>237</v>
      </c>
      <c r="M2274" s="118" t="s">
        <v>163</v>
      </c>
      <c r="N2274" s="25" t="str">
        <f>IF(AND('331-CT'!$E$7=TH!H2274,OR(L2274="331",M2274="331")),"331",IF(AND(OR(L2274="131",M2274="131"),H2274='131-CT'!$E$7),"131",""))</f>
        <v>131</v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121"/>
    </row>
    <row r="2275" spans="1:26" ht="15.75" customHeight="1">
      <c r="A2275" s="125" t="str">
        <f>IF(B2275&lt;&gt;"",IF(AND(B2275&gt;=_TM1,B2275&lt;=_TM2,OR(TH!L2275="1111",TH!M2275="1111")),TH!D2275,""),"")</f>
        <v/>
      </c>
      <c r="B2275" s="11">
        <f t="shared" si="180"/>
        <v>11</v>
      </c>
      <c r="C2275" s="115">
        <v>40866</v>
      </c>
      <c r="D2275" s="115" t="s">
        <v>918</v>
      </c>
      <c r="E2275" s="345">
        <v>40866</v>
      </c>
      <c r="F2275" s="116" t="s">
        <v>1271</v>
      </c>
      <c r="G2275" s="224" t="s">
        <v>1252</v>
      </c>
      <c r="H2275" s="117" t="s">
        <v>709</v>
      </c>
      <c r="I2275" s="141">
        <v>82</v>
      </c>
      <c r="J2275" s="141">
        <v>1228</v>
      </c>
      <c r="K2275" s="238">
        <v>100696</v>
      </c>
      <c r="L2275" s="118" t="s">
        <v>237</v>
      </c>
      <c r="M2275" s="118" t="s">
        <v>163</v>
      </c>
      <c r="N2275" s="25" t="str">
        <f>IF(AND('331-CT'!$E$7=TH!H2275,OR(L2275="331",M2275="331")),"331",IF(AND(OR(L2275="131",M2275="131"),H2275='131-CT'!$E$7),"131",""))</f>
        <v>131</v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121"/>
    </row>
    <row r="2276" spans="1:26" ht="15.75" customHeight="1">
      <c r="A2276" s="125" t="str">
        <f>IF(B2276&lt;&gt;"",IF(AND(B2276&gt;=_TM1,B2276&lt;=_TM2,OR(TH!L2276="1111",TH!M2276="1111")),TH!D2276,""),"")</f>
        <v/>
      </c>
      <c r="B2276" s="11">
        <f t="shared" si="180"/>
        <v>11</v>
      </c>
      <c r="C2276" s="115">
        <v>40866</v>
      </c>
      <c r="D2276" s="115" t="s">
        <v>918</v>
      </c>
      <c r="E2276" s="345">
        <v>40866</v>
      </c>
      <c r="F2276" s="116" t="s">
        <v>1272</v>
      </c>
      <c r="G2276" s="224" t="s">
        <v>1252</v>
      </c>
      <c r="H2276" s="117" t="s">
        <v>709</v>
      </c>
      <c r="I2276" s="141">
        <v>41</v>
      </c>
      <c r="J2276" s="141">
        <v>2499</v>
      </c>
      <c r="K2276" s="238">
        <v>102459</v>
      </c>
      <c r="L2276" s="118" t="s">
        <v>237</v>
      </c>
      <c r="M2276" s="118" t="s">
        <v>163</v>
      </c>
      <c r="N2276" s="25" t="str">
        <f>IF(AND('331-CT'!$E$7=TH!H2276,OR(L2276="331",M2276="331")),"331",IF(AND(OR(L2276="131",M2276="131"),H2276='131-CT'!$E$7),"131",""))</f>
        <v>131</v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121"/>
    </row>
    <row r="2277" spans="1:26" ht="15.75" customHeight="1">
      <c r="A2277" s="125" t="str">
        <f>IF(B2277&lt;&gt;"",IF(AND(B2277&gt;=_TM1,B2277&lt;=_TM2,OR(TH!L2277="1111",TH!M2277="1111")),TH!D2277,""),"")</f>
        <v/>
      </c>
      <c r="B2277" s="11">
        <f t="shared" si="180"/>
        <v>11</v>
      </c>
      <c r="C2277" s="115">
        <v>40866</v>
      </c>
      <c r="D2277" s="115" t="s">
        <v>918</v>
      </c>
      <c r="E2277" s="345">
        <v>40866</v>
      </c>
      <c r="F2277" s="116" t="s">
        <v>735</v>
      </c>
      <c r="G2277" s="224" t="s">
        <v>1252</v>
      </c>
      <c r="H2277" s="117" t="s">
        <v>709</v>
      </c>
      <c r="I2277" s="141">
        <v>1</v>
      </c>
      <c r="J2277" s="141">
        <v>15136</v>
      </c>
      <c r="K2277" s="238">
        <v>15136</v>
      </c>
      <c r="L2277" s="118" t="s">
        <v>237</v>
      </c>
      <c r="M2277" s="118" t="s">
        <v>163</v>
      </c>
      <c r="N2277" s="25" t="str">
        <f>IF(AND('331-CT'!$E$7=TH!H2277,OR(L2277="331",M2277="331")),"331",IF(AND(OR(L2277="131",M2277="131"),H2277='131-CT'!$E$7),"131",""))</f>
        <v>131</v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121"/>
    </row>
    <row r="2278" spans="1:26" ht="15.75" customHeight="1">
      <c r="A2278" s="125" t="str">
        <f>IF(B2278&lt;&gt;"",IF(AND(B2278&gt;=_TM1,B2278&lt;=_TM2,OR(TH!L2278="1111",TH!M2278="1111")),TH!D2278,""),"")</f>
        <v/>
      </c>
      <c r="B2278" s="11">
        <f t="shared" si="180"/>
        <v>11</v>
      </c>
      <c r="C2278" s="115">
        <v>40866</v>
      </c>
      <c r="D2278" s="115" t="s">
        <v>918</v>
      </c>
      <c r="E2278" s="345">
        <v>40866</v>
      </c>
      <c r="F2278" s="116" t="s">
        <v>728</v>
      </c>
      <c r="G2278" s="224" t="s">
        <v>1252</v>
      </c>
      <c r="H2278" s="117" t="s">
        <v>709</v>
      </c>
      <c r="I2278" s="141">
        <v>2</v>
      </c>
      <c r="J2278" s="141">
        <v>16284</v>
      </c>
      <c r="K2278" s="238">
        <v>32568</v>
      </c>
      <c r="L2278" s="118" t="s">
        <v>237</v>
      </c>
      <c r="M2278" s="118" t="s">
        <v>163</v>
      </c>
      <c r="N2278" s="25" t="str">
        <f>IF(AND('331-CT'!$E$7=TH!H2278,OR(L2278="331",M2278="331")),"331",IF(AND(OR(L2278="131",M2278="131"),H2278='131-CT'!$E$7),"131",""))</f>
        <v>131</v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121"/>
    </row>
    <row r="2279" spans="1:26" ht="15.75" customHeight="1">
      <c r="A2279" s="125" t="str">
        <f>IF(B2279&lt;&gt;"",IF(AND(B2279&gt;=_TM1,B2279&lt;=_TM2,OR(TH!L2279="1111",TH!M2279="1111")),TH!D2279,""),"")</f>
        <v/>
      </c>
      <c r="B2279" s="11">
        <f t="shared" si="180"/>
        <v>11</v>
      </c>
      <c r="C2279" s="115">
        <v>40866</v>
      </c>
      <c r="D2279" s="115" t="s">
        <v>918</v>
      </c>
      <c r="E2279" s="345">
        <v>40866</v>
      </c>
      <c r="F2279" s="116" t="s">
        <v>1212</v>
      </c>
      <c r="G2279" s="224" t="s">
        <v>1252</v>
      </c>
      <c r="H2279" s="117" t="s">
        <v>709</v>
      </c>
      <c r="I2279" s="141">
        <v>21</v>
      </c>
      <c r="J2279" s="141">
        <v>16832</v>
      </c>
      <c r="K2279" s="238">
        <v>353472</v>
      </c>
      <c r="L2279" s="118" t="s">
        <v>237</v>
      </c>
      <c r="M2279" s="118" t="s">
        <v>163</v>
      </c>
      <c r="N2279" s="25" t="str">
        <f>IF(AND('331-CT'!$E$7=TH!H2279,OR(L2279="331",M2279="331")),"331",IF(AND(OR(L2279="131",M2279="131"),H2279='131-CT'!$E$7),"131",""))</f>
        <v>131</v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121"/>
    </row>
    <row r="2280" spans="1:26" ht="15.75" customHeight="1">
      <c r="A2280" s="125" t="str">
        <f>IF(B2280&lt;&gt;"",IF(AND(B2280&gt;=_TM1,B2280&lt;=_TM2,OR(TH!L2280="1111",TH!M2280="1111")),TH!D2280,""),"")</f>
        <v/>
      </c>
      <c r="B2280" s="11">
        <f t="shared" si="180"/>
        <v>11</v>
      </c>
      <c r="C2280" s="115">
        <v>40866</v>
      </c>
      <c r="D2280" s="115" t="s">
        <v>918</v>
      </c>
      <c r="E2280" s="345">
        <v>40866</v>
      </c>
      <c r="F2280" s="116" t="s">
        <v>722</v>
      </c>
      <c r="G2280" s="224" t="s">
        <v>1252</v>
      </c>
      <c r="H2280" s="117" t="s">
        <v>709</v>
      </c>
      <c r="I2280" s="141">
        <v>53</v>
      </c>
      <c r="J2280" s="141">
        <v>10595</v>
      </c>
      <c r="K2280" s="238">
        <v>561535</v>
      </c>
      <c r="L2280" s="118" t="s">
        <v>237</v>
      </c>
      <c r="M2280" s="118" t="s">
        <v>163</v>
      </c>
      <c r="N2280" s="25" t="str">
        <f>IF(AND('331-CT'!$E$7=TH!H2280,OR(L2280="331",M2280="331")),"331",IF(AND(OR(L2280="131",M2280="131"),H2280='131-CT'!$E$7),"131",""))</f>
        <v>131</v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121"/>
    </row>
    <row r="2281" spans="1:26" ht="15.75" customHeight="1">
      <c r="A2281" s="125" t="str">
        <f>IF(B2281&lt;&gt;"",IF(AND(B2281&gt;=_TM1,B2281&lt;=_TM2,OR(TH!L2281="1111",TH!M2281="1111")),TH!D2281,""),"")</f>
        <v/>
      </c>
      <c r="B2281" s="11">
        <f t="shared" si="180"/>
        <v>11</v>
      </c>
      <c r="C2281" s="115">
        <v>40866</v>
      </c>
      <c r="D2281" s="115" t="s">
        <v>918</v>
      </c>
      <c r="E2281" s="345">
        <v>40866</v>
      </c>
      <c r="F2281" s="116" t="s">
        <v>1237</v>
      </c>
      <c r="G2281" s="224" t="s">
        <v>1252</v>
      </c>
      <c r="H2281" s="117" t="s">
        <v>709</v>
      </c>
      <c r="I2281" s="141">
        <v>6</v>
      </c>
      <c r="J2281" s="141">
        <v>13869</v>
      </c>
      <c r="K2281" s="238">
        <v>83214</v>
      </c>
      <c r="L2281" s="118" t="s">
        <v>237</v>
      </c>
      <c r="M2281" s="118" t="s">
        <v>163</v>
      </c>
      <c r="N2281" s="25" t="str">
        <f>IF(AND('331-CT'!$E$7=TH!H2281,OR(L2281="331",M2281="331")),"331",IF(AND(OR(L2281="131",M2281="131"),H2281='131-CT'!$E$7),"131",""))</f>
        <v>131</v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121"/>
    </row>
    <row r="2282" spans="1:26" ht="15.75" customHeight="1">
      <c r="A2282" s="125" t="str">
        <f>IF(B2282&lt;&gt;"",IF(AND(B2282&gt;=_TM1,B2282&lt;=_TM2,OR(TH!L2282="1111",TH!M2282="1111")),TH!D2282,""),"")</f>
        <v/>
      </c>
      <c r="B2282" s="11">
        <f t="shared" si="180"/>
        <v>11</v>
      </c>
      <c r="C2282" s="115">
        <v>40866</v>
      </c>
      <c r="D2282" s="115" t="s">
        <v>918</v>
      </c>
      <c r="E2282" s="345">
        <v>40866</v>
      </c>
      <c r="F2282" s="116" t="s">
        <v>726</v>
      </c>
      <c r="G2282" s="224" t="s">
        <v>1252</v>
      </c>
      <c r="H2282" s="117" t="s">
        <v>709</v>
      </c>
      <c r="I2282" s="141">
        <v>1</v>
      </c>
      <c r="J2282" s="141">
        <v>15618</v>
      </c>
      <c r="K2282" s="238">
        <v>15618</v>
      </c>
      <c r="L2282" s="118" t="s">
        <v>237</v>
      </c>
      <c r="M2282" s="118" t="s">
        <v>163</v>
      </c>
      <c r="N2282" s="25" t="str">
        <f>IF(AND('331-CT'!$E$7=TH!H2282,OR(L2282="331",M2282="331")),"331",IF(AND(OR(L2282="131",M2282="131"),H2282='131-CT'!$E$7),"131",""))</f>
        <v>131</v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121"/>
    </row>
    <row r="2283" spans="1:26" ht="15.75" customHeight="1">
      <c r="A2283" s="125" t="str">
        <f>IF(B2283&lt;&gt;"",IF(AND(B2283&gt;=_TM1,B2283&lt;=_TM2,OR(TH!L2283="1111",TH!M2283="1111")),TH!D2283,""),"")</f>
        <v/>
      </c>
      <c r="B2283" s="11">
        <f t="shared" si="180"/>
        <v>11</v>
      </c>
      <c r="C2283" s="115">
        <v>40866</v>
      </c>
      <c r="D2283" s="115" t="s">
        <v>918</v>
      </c>
      <c r="E2283" s="345">
        <v>40866</v>
      </c>
      <c r="F2283" s="116" t="s">
        <v>735</v>
      </c>
      <c r="G2283" s="224" t="s">
        <v>1252</v>
      </c>
      <c r="H2283" s="117" t="s">
        <v>709</v>
      </c>
      <c r="I2283" s="141">
        <v>1</v>
      </c>
      <c r="J2283" s="141">
        <v>15136</v>
      </c>
      <c r="K2283" s="238">
        <v>15136</v>
      </c>
      <c r="L2283" s="118" t="s">
        <v>237</v>
      </c>
      <c r="M2283" s="118" t="s">
        <v>163</v>
      </c>
      <c r="N2283" s="25" t="str">
        <f>IF(AND('331-CT'!$E$7=TH!H2283,OR(L2283="331",M2283="331")),"331",IF(AND(OR(L2283="131",M2283="131"),H2283='131-CT'!$E$7),"131",""))</f>
        <v>131</v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121"/>
    </row>
    <row r="2284" spans="1:26" ht="15.75" customHeight="1">
      <c r="A2284" s="125" t="str">
        <f>IF(B2284&lt;&gt;"",IF(AND(B2284&gt;=_TM1,B2284&lt;=_TM2,OR(TH!L2284="1111",TH!M2284="1111")),TH!D2284,""),"")</f>
        <v/>
      </c>
      <c r="B2284" s="11">
        <f t="shared" si="180"/>
        <v>11</v>
      </c>
      <c r="C2284" s="115">
        <v>40866</v>
      </c>
      <c r="D2284" s="115" t="s">
        <v>918</v>
      </c>
      <c r="E2284" s="345">
        <v>40866</v>
      </c>
      <c r="F2284" s="116" t="s">
        <v>1238</v>
      </c>
      <c r="G2284" s="224" t="s">
        <v>1252</v>
      </c>
      <c r="H2284" s="117" t="s">
        <v>709</v>
      </c>
      <c r="I2284" s="141">
        <v>12</v>
      </c>
      <c r="J2284" s="141">
        <v>14230</v>
      </c>
      <c r="K2284" s="238">
        <v>170760</v>
      </c>
      <c r="L2284" s="118" t="s">
        <v>237</v>
      </c>
      <c r="M2284" s="118" t="s">
        <v>163</v>
      </c>
      <c r="N2284" s="25" t="str">
        <f>IF(AND('331-CT'!$E$7=TH!H2284,OR(L2284="331",M2284="331")),"331",IF(AND(OR(L2284="131",M2284="131"),H2284='131-CT'!$E$7),"131",""))</f>
        <v>131</v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121"/>
    </row>
    <row r="2285" spans="1:26" ht="15.75" customHeight="1">
      <c r="A2285" s="125" t="str">
        <f>IF(B2285&lt;&gt;"",IF(AND(B2285&gt;=_TM1,B2285&lt;=_TM2,OR(TH!L2285="1111",TH!M2285="1111")),TH!D2285,""),"")</f>
        <v/>
      </c>
      <c r="B2285" s="11">
        <f t="shared" si="180"/>
        <v>11</v>
      </c>
      <c r="C2285" s="115">
        <v>40866</v>
      </c>
      <c r="D2285" s="115" t="s">
        <v>918</v>
      </c>
      <c r="E2285" s="345">
        <v>40866</v>
      </c>
      <c r="F2285" s="116" t="s">
        <v>1121</v>
      </c>
      <c r="G2285" s="224" t="s">
        <v>1252</v>
      </c>
      <c r="H2285" s="117" t="s">
        <v>709</v>
      </c>
      <c r="I2285" s="141"/>
      <c r="J2285" s="141"/>
      <c r="K2285" s="238">
        <v>1003169</v>
      </c>
      <c r="L2285" s="118" t="s">
        <v>237</v>
      </c>
      <c r="M2285" s="118" t="s">
        <v>707</v>
      </c>
      <c r="N2285" s="25" t="str">
        <f>IF(AND('331-CT'!$E$7=TH!H2285,OR(L2285="331",M2285="331")),"331",IF(AND(OR(L2285="131",M2285="131"),H2285='131-CT'!$E$7),"131",""))</f>
        <v>131</v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121"/>
    </row>
    <row r="2286" spans="1:26" ht="15.75" customHeight="1">
      <c r="A2286" s="125" t="str">
        <f>IF(B2286&lt;&gt;"",IF(AND(B2286&gt;=_TM1,B2286&lt;=_TM2,OR(TH!L2286="1111",TH!M2286="1111")),TH!D2286,""),"")</f>
        <v/>
      </c>
      <c r="B2286" s="281">
        <f t="shared" si="180"/>
        <v>11</v>
      </c>
      <c r="C2286" s="324">
        <f t="shared" ref="C2286:C2317" si="181">E2286</f>
        <v>40866</v>
      </c>
      <c r="D2286" s="21" t="s">
        <v>1075</v>
      </c>
      <c r="E2286" s="333">
        <v>40866</v>
      </c>
      <c r="F2286" s="22" t="s">
        <v>1251</v>
      </c>
      <c r="G2286" s="22"/>
      <c r="H2286" s="332" t="s">
        <v>1037</v>
      </c>
      <c r="I2286" s="139">
        <v>38</v>
      </c>
      <c r="J2286" s="139">
        <v>18624.981870055966</v>
      </c>
      <c r="K2286" s="285">
        <f t="shared" ref="K2286:K2317" si="182">ROUND(I2286*J2286,0)</f>
        <v>707749</v>
      </c>
      <c r="L2286" s="25" t="s">
        <v>155</v>
      </c>
      <c r="M2286" s="25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308"/>
    </row>
    <row r="2287" spans="1:26" ht="15.75" customHeight="1">
      <c r="A2287" s="125" t="str">
        <f>IF(B2287&lt;&gt;"",IF(AND(B2287&gt;=_TM1,B2287&lt;=_TM2,OR(TH!L2287="1111",TH!M2287="1111")),TH!D2287,""),"")</f>
        <v/>
      </c>
      <c r="B2287" s="281">
        <f t="shared" si="180"/>
        <v>11</v>
      </c>
      <c r="C2287" s="324">
        <f t="shared" si="181"/>
        <v>40866</v>
      </c>
      <c r="D2287" s="21" t="s">
        <v>1075</v>
      </c>
      <c r="E2287" s="333">
        <v>40866</v>
      </c>
      <c r="F2287" s="22" t="s">
        <v>1253</v>
      </c>
      <c r="G2287" s="22"/>
      <c r="H2287" s="332" t="s">
        <v>1037</v>
      </c>
      <c r="I2287" s="139">
        <v>8</v>
      </c>
      <c r="J2287" s="139">
        <v>15403.383185845443</v>
      </c>
      <c r="K2287" s="285">
        <f t="shared" si="182"/>
        <v>123227</v>
      </c>
      <c r="L2287" s="25" t="s">
        <v>155</v>
      </c>
      <c r="M2287" s="25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308"/>
    </row>
    <row r="2288" spans="1:26" ht="15.75" customHeight="1">
      <c r="A2288" s="125" t="str">
        <f>IF(B2288&lt;&gt;"",IF(AND(B2288&gt;=_TM1,B2288&lt;=_TM2,OR(TH!L2288="1111",TH!M2288="1111")),TH!D2288,""),"")</f>
        <v/>
      </c>
      <c r="B2288" s="281">
        <f t="shared" si="180"/>
        <v>11</v>
      </c>
      <c r="C2288" s="324">
        <f t="shared" si="181"/>
        <v>40866</v>
      </c>
      <c r="D2288" s="21" t="s">
        <v>1075</v>
      </c>
      <c r="E2288" s="333">
        <v>40866</v>
      </c>
      <c r="F2288" s="22" t="s">
        <v>1254</v>
      </c>
      <c r="G2288" s="22"/>
      <c r="H2288" s="332" t="s">
        <v>1037</v>
      </c>
      <c r="I2288" s="139">
        <v>24</v>
      </c>
      <c r="J2288" s="139">
        <v>9918.4665191787753</v>
      </c>
      <c r="K2288" s="285">
        <f t="shared" si="182"/>
        <v>238043</v>
      </c>
      <c r="L2288" s="25" t="s">
        <v>155</v>
      </c>
      <c r="M2288" s="25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308"/>
    </row>
    <row r="2289" spans="1:26" ht="15.75" customHeight="1">
      <c r="A2289" s="125" t="str">
        <f>IF(B2289&lt;&gt;"",IF(AND(B2289&gt;=_TM1,B2289&lt;=_TM2,OR(TH!L2289="1111",TH!M2289="1111")),TH!D2289,""),"")</f>
        <v/>
      </c>
      <c r="B2289" s="281">
        <f t="shared" si="180"/>
        <v>11</v>
      </c>
      <c r="C2289" s="324">
        <f t="shared" si="181"/>
        <v>40866</v>
      </c>
      <c r="D2289" s="21" t="s">
        <v>1075</v>
      </c>
      <c r="E2289" s="333">
        <v>40866</v>
      </c>
      <c r="F2289" s="22" t="s">
        <v>1255</v>
      </c>
      <c r="G2289" s="22"/>
      <c r="H2289" s="332" t="s">
        <v>1037</v>
      </c>
      <c r="I2289" s="139">
        <v>24</v>
      </c>
      <c r="J2289" s="139">
        <v>8350.9665191787753</v>
      </c>
      <c r="K2289" s="285">
        <f t="shared" si="182"/>
        <v>200423</v>
      </c>
      <c r="L2289" s="25" t="s">
        <v>155</v>
      </c>
      <c r="M2289" s="25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308"/>
    </row>
    <row r="2290" spans="1:26" ht="15.75" customHeight="1">
      <c r="A2290" s="125" t="str">
        <f>IF(B2290&lt;&gt;"",IF(AND(B2290&gt;=_TM1,B2290&lt;=_TM2,OR(TH!L2290="1111",TH!M2290="1111")),TH!D2290,""),"")</f>
        <v/>
      </c>
      <c r="B2290" s="281">
        <f t="shared" si="180"/>
        <v>11</v>
      </c>
      <c r="C2290" s="324">
        <f t="shared" si="181"/>
        <v>40866</v>
      </c>
      <c r="D2290" s="21" t="s">
        <v>1075</v>
      </c>
      <c r="E2290" s="333">
        <v>40866</v>
      </c>
      <c r="F2290" s="22" t="s">
        <v>1256</v>
      </c>
      <c r="G2290" s="22"/>
      <c r="H2290" s="332" t="s">
        <v>1037</v>
      </c>
      <c r="I2290" s="139">
        <v>2</v>
      </c>
      <c r="J2290" s="139">
        <v>8275.0081858454432</v>
      </c>
      <c r="K2290" s="285">
        <f t="shared" si="182"/>
        <v>16550</v>
      </c>
      <c r="L2290" s="25" t="s">
        <v>155</v>
      </c>
      <c r="M2290" s="25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308"/>
    </row>
    <row r="2291" spans="1:26" ht="15.75" customHeight="1">
      <c r="A2291" s="125" t="str">
        <f>IF(B2291&lt;&gt;"",IF(AND(B2291&gt;=_TM1,B2291&lt;=_TM2,OR(TH!L2291="1111",TH!M2291="1111")),TH!D2291,""),"")</f>
        <v/>
      </c>
      <c r="B2291" s="281">
        <f t="shared" si="180"/>
        <v>11</v>
      </c>
      <c r="C2291" s="324">
        <f t="shared" si="181"/>
        <v>40866</v>
      </c>
      <c r="D2291" s="21" t="s">
        <v>1075</v>
      </c>
      <c r="E2291" s="333">
        <v>40866</v>
      </c>
      <c r="F2291" s="22" t="s">
        <v>1257</v>
      </c>
      <c r="G2291" s="22"/>
      <c r="H2291" s="332" t="s">
        <v>1037</v>
      </c>
      <c r="I2291" s="139">
        <v>25</v>
      </c>
      <c r="J2291" s="139">
        <v>13595.988185845443</v>
      </c>
      <c r="K2291" s="285">
        <f t="shared" si="182"/>
        <v>339900</v>
      </c>
      <c r="L2291" s="25" t="s">
        <v>155</v>
      </c>
      <c r="M2291" s="25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308"/>
    </row>
    <row r="2292" spans="1:26" ht="15.75" customHeight="1">
      <c r="A2292" s="125" t="str">
        <f>IF(B2292&lt;&gt;"",IF(AND(B2292&gt;=_TM1,B2292&lt;=_TM2,OR(TH!L2292="1111",TH!M2292="1111")),TH!D2292,""),"")</f>
        <v/>
      </c>
      <c r="B2292" s="281">
        <f t="shared" si="180"/>
        <v>11</v>
      </c>
      <c r="C2292" s="324">
        <f t="shared" si="181"/>
        <v>40866</v>
      </c>
      <c r="D2292" s="21" t="s">
        <v>1075</v>
      </c>
      <c r="E2292" s="333">
        <v>40866</v>
      </c>
      <c r="F2292" s="22" t="s">
        <v>1258</v>
      </c>
      <c r="G2292" s="22"/>
      <c r="H2292" s="332" t="s">
        <v>1037</v>
      </c>
      <c r="I2292" s="139">
        <v>274</v>
      </c>
      <c r="J2292" s="139">
        <v>9918.5045362104065</v>
      </c>
      <c r="K2292" s="285">
        <f t="shared" si="182"/>
        <v>2717670</v>
      </c>
      <c r="L2292" s="25" t="s">
        <v>155</v>
      </c>
      <c r="M2292" s="25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308"/>
    </row>
    <row r="2293" spans="1:26" ht="15.75" customHeight="1">
      <c r="A2293" s="125" t="str">
        <f>IF(B2293&lt;&gt;"",IF(AND(B2293&gt;=_TM1,B2293&lt;=_TM2,OR(TH!L2293="1111",TH!M2293="1111")),TH!D2293,""),"")</f>
        <v/>
      </c>
      <c r="B2293" s="281">
        <f t="shared" si="180"/>
        <v>11</v>
      </c>
      <c r="C2293" s="324">
        <f t="shared" si="181"/>
        <v>40866</v>
      </c>
      <c r="D2293" s="21" t="s">
        <v>1075</v>
      </c>
      <c r="E2293" s="333">
        <v>40866</v>
      </c>
      <c r="F2293" s="22" t="s">
        <v>1259</v>
      </c>
      <c r="G2293" s="22"/>
      <c r="H2293" s="332" t="s">
        <v>1037</v>
      </c>
      <c r="I2293" s="139">
        <v>123</v>
      </c>
      <c r="J2293" s="139">
        <v>9918.5000557641433</v>
      </c>
      <c r="K2293" s="285">
        <f t="shared" si="182"/>
        <v>1219976</v>
      </c>
      <c r="L2293" s="25" t="s">
        <v>155</v>
      </c>
      <c r="M2293" s="25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308"/>
    </row>
    <row r="2294" spans="1:26" ht="15.75" customHeight="1">
      <c r="A2294" s="125" t="str">
        <f>IF(B2294&lt;&gt;"",IF(AND(B2294&gt;=_TM1,B2294&lt;=_TM2,OR(TH!L2294="1111",TH!M2294="1111")),TH!D2294,""),"")</f>
        <v/>
      </c>
      <c r="B2294" s="281">
        <f t="shared" si="180"/>
        <v>11</v>
      </c>
      <c r="C2294" s="324">
        <f t="shared" si="181"/>
        <v>40866</v>
      </c>
      <c r="D2294" s="21" t="s">
        <v>1076</v>
      </c>
      <c r="E2294" s="333">
        <v>40866</v>
      </c>
      <c r="F2294" s="22" t="s">
        <v>1260</v>
      </c>
      <c r="G2294" s="22"/>
      <c r="H2294" s="332" t="s">
        <v>1037</v>
      </c>
      <c r="I2294" s="139">
        <v>118</v>
      </c>
      <c r="J2294" s="139">
        <v>1449.3132705912053</v>
      </c>
      <c r="K2294" s="285">
        <f t="shared" si="182"/>
        <v>171019</v>
      </c>
      <c r="L2294" s="25" t="s">
        <v>155</v>
      </c>
      <c r="M2294" s="25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308"/>
    </row>
    <row r="2295" spans="1:26" ht="15.75" customHeight="1">
      <c r="A2295" s="125" t="str">
        <f>IF(B2295&lt;&gt;"",IF(AND(B2295&gt;=_TM1,B2295&lt;=_TM2,OR(TH!L2295="1111",TH!M2295="1111")),TH!D2295,""),"")</f>
        <v/>
      </c>
      <c r="B2295" s="281">
        <f t="shared" si="180"/>
        <v>11</v>
      </c>
      <c r="C2295" s="324">
        <f t="shared" si="181"/>
        <v>40866</v>
      </c>
      <c r="D2295" s="21" t="s">
        <v>1076</v>
      </c>
      <c r="E2295" s="333">
        <v>40866</v>
      </c>
      <c r="F2295" s="22" t="s">
        <v>1261</v>
      </c>
      <c r="G2295" s="22"/>
      <c r="H2295" s="332" t="s">
        <v>1037</v>
      </c>
      <c r="I2295" s="139">
        <v>236</v>
      </c>
      <c r="J2295" s="139">
        <v>1449.3175078793408</v>
      </c>
      <c r="K2295" s="285">
        <f t="shared" si="182"/>
        <v>342039</v>
      </c>
      <c r="L2295" s="25" t="s">
        <v>155</v>
      </c>
      <c r="M2295" s="25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308"/>
    </row>
    <row r="2296" spans="1:26" ht="15.75" customHeight="1">
      <c r="A2296" s="125" t="str">
        <f>IF(B2296&lt;&gt;"",IF(AND(B2296&gt;=_TM1,B2296&lt;=_TM2,OR(TH!L2296="1111",TH!M2296="1111")),TH!D2296,""),"")</f>
        <v/>
      </c>
      <c r="B2296" s="281">
        <f t="shared" si="180"/>
        <v>11</v>
      </c>
      <c r="C2296" s="324">
        <f t="shared" si="181"/>
        <v>40866</v>
      </c>
      <c r="D2296" s="21" t="s">
        <v>1076</v>
      </c>
      <c r="E2296" s="333">
        <v>40866</v>
      </c>
      <c r="F2296" s="22" t="s">
        <v>1262</v>
      </c>
      <c r="G2296" s="22"/>
      <c r="H2296" s="332" t="s">
        <v>1037</v>
      </c>
      <c r="I2296" s="139">
        <v>60</v>
      </c>
      <c r="J2296" s="139">
        <v>1520.9415191787762</v>
      </c>
      <c r="K2296" s="285">
        <f t="shared" si="182"/>
        <v>91256</v>
      </c>
      <c r="L2296" s="25" t="s">
        <v>155</v>
      </c>
      <c r="M2296" s="25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308"/>
    </row>
    <row r="2297" spans="1:26" ht="15.75" customHeight="1">
      <c r="A2297" s="125" t="str">
        <f>IF(B2297&lt;&gt;"",IF(AND(B2297&gt;=_TM1,B2297&lt;=_TM2,OR(TH!L2297="1111",TH!M2297="1111")),TH!D2297,""),"")</f>
        <v/>
      </c>
      <c r="B2297" s="281">
        <f t="shared" si="180"/>
        <v>11</v>
      </c>
      <c r="C2297" s="324">
        <f t="shared" si="181"/>
        <v>40866</v>
      </c>
      <c r="D2297" s="21" t="s">
        <v>1076</v>
      </c>
      <c r="E2297" s="333">
        <v>40866</v>
      </c>
      <c r="F2297" s="22" t="s">
        <v>1263</v>
      </c>
      <c r="G2297" s="22"/>
      <c r="H2297" s="332" t="s">
        <v>1037</v>
      </c>
      <c r="I2297" s="139">
        <v>120</v>
      </c>
      <c r="J2297" s="139">
        <v>1520.9498525121094</v>
      </c>
      <c r="K2297" s="285">
        <f t="shared" si="182"/>
        <v>182514</v>
      </c>
      <c r="L2297" s="25" t="s">
        <v>155</v>
      </c>
      <c r="M2297" s="25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308"/>
    </row>
    <row r="2298" spans="1:26" ht="15.75" customHeight="1">
      <c r="A2298" s="125" t="str">
        <f>IF(B2298&lt;&gt;"",IF(AND(B2298&gt;=_TM1,B2298&lt;=_TM2,OR(TH!L2298="1111",TH!M2298="1111")),TH!D2298,""),"")</f>
        <v/>
      </c>
      <c r="B2298" s="281">
        <f t="shared" si="180"/>
        <v>11</v>
      </c>
      <c r="C2298" s="324">
        <f t="shared" si="181"/>
        <v>40866</v>
      </c>
      <c r="D2298" s="21" t="s">
        <v>1076</v>
      </c>
      <c r="E2298" s="333">
        <v>40866</v>
      </c>
      <c r="F2298" s="22" t="s">
        <v>1264</v>
      </c>
      <c r="G2298" s="22"/>
      <c r="H2298" s="332" t="s">
        <v>1037</v>
      </c>
      <c r="I2298" s="139">
        <v>74</v>
      </c>
      <c r="J2298" s="139">
        <v>1719.3460236832809</v>
      </c>
      <c r="K2298" s="285">
        <f t="shared" si="182"/>
        <v>127232</v>
      </c>
      <c r="L2298" s="25" t="s">
        <v>155</v>
      </c>
      <c r="M2298" s="25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308"/>
    </row>
    <row r="2299" spans="1:26" ht="15.75" customHeight="1">
      <c r="A2299" s="125" t="str">
        <f>IF(B2299&lt;&gt;"",IF(AND(B2299&gt;=_TM1,B2299&lt;=_TM2,OR(TH!L2299="1111",TH!M2299="1111")),TH!D2299,""),"")</f>
        <v/>
      </c>
      <c r="B2299" s="281">
        <f t="shared" si="180"/>
        <v>11</v>
      </c>
      <c r="C2299" s="324">
        <f t="shared" si="181"/>
        <v>40866</v>
      </c>
      <c r="D2299" s="21" t="s">
        <v>1076</v>
      </c>
      <c r="E2299" s="333">
        <v>40866</v>
      </c>
      <c r="F2299" s="22" t="s">
        <v>1265</v>
      </c>
      <c r="G2299" s="22"/>
      <c r="H2299" s="332" t="s">
        <v>1037</v>
      </c>
      <c r="I2299" s="139">
        <v>148</v>
      </c>
      <c r="J2299" s="139">
        <v>1749.4135912508484</v>
      </c>
      <c r="K2299" s="285">
        <f t="shared" si="182"/>
        <v>258913</v>
      </c>
      <c r="L2299" s="25" t="s">
        <v>155</v>
      </c>
      <c r="M2299" s="25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308"/>
    </row>
    <row r="2300" spans="1:26" ht="15.75" customHeight="1">
      <c r="A2300" s="125" t="str">
        <f>IF(B2300&lt;&gt;"",IF(AND(B2300&gt;=_TM1,B2300&lt;=_TM2,OR(TH!L2300="1111",TH!M2300="1111")),TH!D2300,""),"")</f>
        <v/>
      </c>
      <c r="B2300" s="281">
        <f t="shared" si="180"/>
        <v>11</v>
      </c>
      <c r="C2300" s="324">
        <f t="shared" si="181"/>
        <v>40866</v>
      </c>
      <c r="D2300" s="21" t="s">
        <v>1076</v>
      </c>
      <c r="E2300" s="333">
        <v>40866</v>
      </c>
      <c r="F2300" s="22" t="s">
        <v>1266</v>
      </c>
      <c r="G2300" s="22"/>
      <c r="H2300" s="332" t="s">
        <v>1037</v>
      </c>
      <c r="I2300" s="139">
        <v>136</v>
      </c>
      <c r="J2300" s="139">
        <v>2074.9861270219135</v>
      </c>
      <c r="K2300" s="285">
        <f t="shared" si="182"/>
        <v>282198</v>
      </c>
      <c r="L2300" s="25" t="s">
        <v>155</v>
      </c>
      <c r="M2300" s="25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308"/>
    </row>
    <row r="2301" spans="1:26" ht="15.75" customHeight="1">
      <c r="A2301" s="125" t="str">
        <f>IF(B2301&lt;&gt;"",IF(AND(B2301&gt;=_TM1,B2301&lt;=_TM2,OR(TH!L2301="1111",TH!M2301="1111")),TH!D2301,""),"")</f>
        <v/>
      </c>
      <c r="B2301" s="281">
        <f t="shared" si="180"/>
        <v>11</v>
      </c>
      <c r="C2301" s="324">
        <f t="shared" si="181"/>
        <v>40866</v>
      </c>
      <c r="D2301" s="21" t="s">
        <v>1076</v>
      </c>
      <c r="E2301" s="333">
        <v>40866</v>
      </c>
      <c r="F2301" s="22" t="s">
        <v>1267</v>
      </c>
      <c r="G2301" s="22"/>
      <c r="H2301" s="332" t="s">
        <v>1037</v>
      </c>
      <c r="I2301" s="139">
        <v>272</v>
      </c>
      <c r="J2301" s="139">
        <v>1527.4971564336781</v>
      </c>
      <c r="K2301" s="285">
        <f t="shared" si="182"/>
        <v>415479</v>
      </c>
      <c r="L2301" s="25" t="s">
        <v>155</v>
      </c>
      <c r="M2301" s="25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308"/>
    </row>
    <row r="2302" spans="1:26" ht="15.75" customHeight="1">
      <c r="A2302" s="125" t="str">
        <f>IF(B2302&lt;&gt;"",IF(AND(B2302&gt;=_TM1,B2302&lt;=_TM2,OR(TH!L2302="1111",TH!M2302="1111")),TH!D2302,""),"")</f>
        <v/>
      </c>
      <c r="B2302" s="281">
        <f t="shared" si="180"/>
        <v>11</v>
      </c>
      <c r="C2302" s="324">
        <f t="shared" si="181"/>
        <v>40866</v>
      </c>
      <c r="D2302" s="21" t="s">
        <v>1076</v>
      </c>
      <c r="E2302" s="333">
        <v>40866</v>
      </c>
      <c r="F2302" s="22" t="s">
        <v>1268</v>
      </c>
      <c r="G2302" s="22"/>
      <c r="H2302" s="332" t="s">
        <v>1037</v>
      </c>
      <c r="I2302" s="139">
        <v>18</v>
      </c>
      <c r="J2302" s="139">
        <v>1792.7859636232206</v>
      </c>
      <c r="K2302" s="285">
        <f t="shared" si="182"/>
        <v>32270</v>
      </c>
      <c r="L2302" s="25" t="s">
        <v>155</v>
      </c>
      <c r="M2302" s="25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308"/>
    </row>
    <row r="2303" spans="1:26" ht="15.75" customHeight="1">
      <c r="A2303" s="125" t="str">
        <f>IF(B2303&lt;&gt;"",IF(AND(B2303&gt;=_TM1,B2303&lt;=_TM2,OR(TH!L2303="1111",TH!M2303="1111")),TH!D2303,""),"")</f>
        <v/>
      </c>
      <c r="B2303" s="281">
        <f t="shared" si="180"/>
        <v>11</v>
      </c>
      <c r="C2303" s="324">
        <f t="shared" si="181"/>
        <v>40866</v>
      </c>
      <c r="D2303" s="21" t="s">
        <v>1077</v>
      </c>
      <c r="E2303" s="333">
        <v>40866</v>
      </c>
      <c r="F2303" s="22" t="s">
        <v>1269</v>
      </c>
      <c r="G2303" s="22"/>
      <c r="H2303" s="332" t="s">
        <v>1037</v>
      </c>
      <c r="I2303" s="139">
        <v>36</v>
      </c>
      <c r="J2303" s="139">
        <v>1545.6470747343315</v>
      </c>
      <c r="K2303" s="285">
        <f t="shared" si="182"/>
        <v>55643</v>
      </c>
      <c r="L2303" s="25" t="s">
        <v>155</v>
      </c>
      <c r="M2303" s="25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308"/>
    </row>
    <row r="2304" spans="1:26" ht="15.75" customHeight="1">
      <c r="A2304" s="125" t="str">
        <f>IF(B2304&lt;&gt;"",IF(AND(B2304&gt;=_TM1,B2304&lt;=_TM2,OR(TH!L2304="1111",TH!M2304="1111")),TH!D2304,""),"")</f>
        <v/>
      </c>
      <c r="B2304" s="281">
        <f t="shared" si="180"/>
        <v>11</v>
      </c>
      <c r="C2304" s="324">
        <f t="shared" si="181"/>
        <v>40866</v>
      </c>
      <c r="D2304" s="21" t="s">
        <v>1077</v>
      </c>
      <c r="E2304" s="333">
        <v>40866</v>
      </c>
      <c r="F2304" s="22" t="s">
        <v>1261</v>
      </c>
      <c r="G2304" s="22"/>
      <c r="H2304" s="332" t="s">
        <v>1037</v>
      </c>
      <c r="I2304" s="139">
        <v>79</v>
      </c>
      <c r="J2304" s="139">
        <v>1467.4448947062021</v>
      </c>
      <c r="K2304" s="285">
        <f t="shared" si="182"/>
        <v>115928</v>
      </c>
      <c r="L2304" s="25" t="s">
        <v>155</v>
      </c>
      <c r="M2304" s="25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308"/>
    </row>
    <row r="2305" spans="1:26" ht="15.75" customHeight="1">
      <c r="A2305" s="125" t="str">
        <f>IF(B2305&lt;&gt;"",IF(AND(B2305&gt;=_TM1,B2305&lt;=_TM2,OR(TH!L2305="1111",TH!M2305="1111")),TH!D2305,""),"")</f>
        <v/>
      </c>
      <c r="B2305" s="281">
        <f t="shared" si="180"/>
        <v>11</v>
      </c>
      <c r="C2305" s="324">
        <f t="shared" si="181"/>
        <v>40866</v>
      </c>
      <c r="D2305" s="21" t="s">
        <v>1077</v>
      </c>
      <c r="E2305" s="333">
        <v>40866</v>
      </c>
      <c r="F2305" s="22" t="s">
        <v>1270</v>
      </c>
      <c r="G2305" s="22"/>
      <c r="H2305" s="332" t="s">
        <v>1037</v>
      </c>
      <c r="I2305" s="139">
        <v>158</v>
      </c>
      <c r="J2305" s="139">
        <v>1523.7676795163288</v>
      </c>
      <c r="K2305" s="285">
        <f t="shared" si="182"/>
        <v>240755</v>
      </c>
      <c r="L2305" s="25" t="s">
        <v>155</v>
      </c>
      <c r="M2305" s="25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308"/>
    </row>
    <row r="2306" spans="1:26" ht="15.75" customHeight="1">
      <c r="A2306" s="125" t="str">
        <f>IF(B2306&lt;&gt;"",IF(AND(B2306&gt;=_TM1,B2306&lt;=_TM2,OR(TH!L2306="1111",TH!M2306="1111")),TH!D2306,""),"")</f>
        <v/>
      </c>
      <c r="B2306" s="281">
        <f t="shared" si="180"/>
        <v>11</v>
      </c>
      <c r="C2306" s="324">
        <f t="shared" si="181"/>
        <v>40866</v>
      </c>
      <c r="D2306" s="21" t="s">
        <v>1077</v>
      </c>
      <c r="E2306" s="333">
        <v>40866</v>
      </c>
      <c r="F2306" s="22" t="s">
        <v>1271</v>
      </c>
      <c r="G2306" s="22"/>
      <c r="H2306" s="332" t="s">
        <v>1037</v>
      </c>
      <c r="I2306" s="139">
        <v>82</v>
      </c>
      <c r="J2306" s="139">
        <v>1569.7764785283696</v>
      </c>
      <c r="K2306" s="285">
        <f t="shared" si="182"/>
        <v>128722</v>
      </c>
      <c r="L2306" s="25" t="s">
        <v>155</v>
      </c>
      <c r="M2306" s="25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308"/>
    </row>
    <row r="2307" spans="1:26" ht="15.75" customHeight="1">
      <c r="A2307" s="125" t="str">
        <f>IF(B2307&lt;&gt;"",IF(AND(B2307&gt;=_TM1,B2307&lt;=_TM2,OR(TH!L2307="1111",TH!M2307="1111")),TH!D2307,""),"")</f>
        <v/>
      </c>
      <c r="B2307" s="281">
        <f t="shared" si="180"/>
        <v>11</v>
      </c>
      <c r="C2307" s="324">
        <f t="shared" si="181"/>
        <v>40866</v>
      </c>
      <c r="D2307" s="21" t="s">
        <v>1077</v>
      </c>
      <c r="E2307" s="333">
        <v>40866</v>
      </c>
      <c r="F2307" s="22" t="s">
        <v>1272</v>
      </c>
      <c r="G2307" s="22"/>
      <c r="H2307" s="332" t="s">
        <v>1037</v>
      </c>
      <c r="I2307" s="139">
        <v>41</v>
      </c>
      <c r="J2307" s="139">
        <v>2492.1179419430036</v>
      </c>
      <c r="K2307" s="285">
        <f t="shared" si="182"/>
        <v>102177</v>
      </c>
      <c r="L2307" s="25" t="s">
        <v>155</v>
      </c>
      <c r="M2307" s="25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308"/>
    </row>
    <row r="2308" spans="1:26" ht="15.75" customHeight="1">
      <c r="A2308" s="125" t="str">
        <f>IF(B2308&lt;&gt;"",IF(AND(B2308&gt;=_TM1,B2308&lt;=_TM2,OR(TH!L2308="1111",TH!M2308="1111")),TH!D2308,""),"")</f>
        <v/>
      </c>
      <c r="B2308" s="281">
        <f t="shared" si="180"/>
        <v>11</v>
      </c>
      <c r="C2308" s="324">
        <f t="shared" si="181"/>
        <v>40866</v>
      </c>
      <c r="D2308" s="21" t="s">
        <v>1155</v>
      </c>
      <c r="E2308" s="333">
        <v>40866</v>
      </c>
      <c r="F2308" s="22" t="s">
        <v>735</v>
      </c>
      <c r="G2308" s="22"/>
      <c r="H2308" s="332" t="s">
        <v>1037</v>
      </c>
      <c r="I2308" s="139">
        <v>1</v>
      </c>
      <c r="J2308" s="139">
        <v>13141.508185845443</v>
      </c>
      <c r="K2308" s="285">
        <f t="shared" si="182"/>
        <v>13142</v>
      </c>
      <c r="L2308" s="25" t="s">
        <v>155</v>
      </c>
      <c r="M2308" s="25" t="s">
        <v>153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308"/>
    </row>
    <row r="2309" spans="1:26" ht="15.75" customHeight="1">
      <c r="A2309" s="125" t="str">
        <f>IF(B2309&lt;&gt;"",IF(AND(B2309&gt;=_TM1,B2309&lt;=_TM2,OR(TH!L2309="1111",TH!M2309="1111")),TH!D2309,""),"")</f>
        <v/>
      </c>
      <c r="B2309" s="281">
        <f t="shared" si="180"/>
        <v>11</v>
      </c>
      <c r="C2309" s="324">
        <f t="shared" si="181"/>
        <v>40866</v>
      </c>
      <c r="D2309" s="21" t="s">
        <v>1155</v>
      </c>
      <c r="E2309" s="333">
        <v>40866</v>
      </c>
      <c r="F2309" s="22" t="s">
        <v>728</v>
      </c>
      <c r="G2309" s="22"/>
      <c r="H2309" s="332" t="s">
        <v>1037</v>
      </c>
      <c r="I2309" s="139">
        <v>2</v>
      </c>
      <c r="J2309" s="139">
        <v>11117.008185845443</v>
      </c>
      <c r="K2309" s="285">
        <f t="shared" si="182"/>
        <v>22234</v>
      </c>
      <c r="L2309" s="25" t="s">
        <v>155</v>
      </c>
      <c r="M2309" s="25" t="s">
        <v>153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308"/>
    </row>
    <row r="2310" spans="1:26" ht="15.75" customHeight="1">
      <c r="A2310" s="125" t="str">
        <f>IF(B2310&lt;&gt;"",IF(AND(B2310&gt;=_TM1,B2310&lt;=_TM2,OR(TH!L2310="1111",TH!M2310="1111")),TH!D2310,""),"")</f>
        <v/>
      </c>
      <c r="B2310" s="281">
        <f t="shared" si="180"/>
        <v>11</v>
      </c>
      <c r="C2310" s="324">
        <f t="shared" si="181"/>
        <v>40866</v>
      </c>
      <c r="D2310" s="21" t="s">
        <v>1155</v>
      </c>
      <c r="E2310" s="333">
        <v>40866</v>
      </c>
      <c r="F2310" s="22" t="s">
        <v>1212</v>
      </c>
      <c r="G2310" s="22"/>
      <c r="H2310" s="332" t="s">
        <v>1037</v>
      </c>
      <c r="I2310" s="139">
        <v>21</v>
      </c>
      <c r="J2310" s="139">
        <v>15252.460566797827</v>
      </c>
      <c r="K2310" s="285">
        <f t="shared" si="182"/>
        <v>320302</v>
      </c>
      <c r="L2310" s="25" t="s">
        <v>155</v>
      </c>
      <c r="M2310" s="25" t="s">
        <v>153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308"/>
    </row>
    <row r="2311" spans="1:26" ht="15.75" customHeight="1">
      <c r="A2311" s="125" t="str">
        <f>IF(B2311&lt;&gt;"",IF(AND(B2311&gt;=_TM1,B2311&lt;=_TM2,OR(TH!L2311="1111",TH!M2311="1111")),TH!D2311,""),"")</f>
        <v/>
      </c>
      <c r="B2311" s="281">
        <f t="shared" si="180"/>
        <v>11</v>
      </c>
      <c r="C2311" s="324">
        <f t="shared" si="181"/>
        <v>40866</v>
      </c>
      <c r="D2311" s="21" t="s">
        <v>1155</v>
      </c>
      <c r="E2311" s="333">
        <v>40866</v>
      </c>
      <c r="F2311" s="22" t="s">
        <v>722</v>
      </c>
      <c r="G2311" s="22"/>
      <c r="H2311" s="332" t="s">
        <v>1037</v>
      </c>
      <c r="I2311" s="139">
        <v>53</v>
      </c>
      <c r="J2311" s="139">
        <v>9705.1685632039353</v>
      </c>
      <c r="K2311" s="285">
        <f t="shared" si="182"/>
        <v>514374</v>
      </c>
      <c r="L2311" s="25" t="s">
        <v>155</v>
      </c>
      <c r="M2311" s="25" t="s">
        <v>153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308"/>
    </row>
    <row r="2312" spans="1:26" ht="15.75" customHeight="1">
      <c r="A2312" s="125" t="str">
        <f>IF(B2312&lt;&gt;"",IF(AND(B2312&gt;=_TM1,B2312&lt;=_TM2,OR(TH!L2312="1111",TH!M2312="1111")),TH!D2312,""),"")</f>
        <v/>
      </c>
      <c r="B2312" s="281">
        <f t="shared" si="180"/>
        <v>11</v>
      </c>
      <c r="C2312" s="324">
        <f t="shared" si="181"/>
        <v>40866</v>
      </c>
      <c r="D2312" s="21" t="s">
        <v>1155</v>
      </c>
      <c r="E2312" s="333">
        <v>40866</v>
      </c>
      <c r="F2312" s="22" t="s">
        <v>1237</v>
      </c>
      <c r="G2312" s="22"/>
      <c r="H2312" s="332" t="s">
        <v>1037</v>
      </c>
      <c r="I2312" s="139">
        <v>6</v>
      </c>
      <c r="J2312" s="139">
        <v>11437.341519178777</v>
      </c>
      <c r="K2312" s="285">
        <f t="shared" si="182"/>
        <v>68624</v>
      </c>
      <c r="L2312" s="25" t="s">
        <v>155</v>
      </c>
      <c r="M2312" s="25" t="s">
        <v>153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308"/>
    </row>
    <row r="2313" spans="1:26" ht="15.75" customHeight="1">
      <c r="A2313" s="125" t="str">
        <f>IF(B2313&lt;&gt;"",IF(AND(B2313&gt;=_TM1,B2313&lt;=_TM2,OR(TH!L2313="1111",TH!M2313="1111")),TH!D2313,""),"")</f>
        <v/>
      </c>
      <c r="B2313" s="281">
        <f t="shared" si="180"/>
        <v>11</v>
      </c>
      <c r="C2313" s="324">
        <f t="shared" si="181"/>
        <v>40866</v>
      </c>
      <c r="D2313" s="21" t="s">
        <v>1155</v>
      </c>
      <c r="E2313" s="333">
        <v>40866</v>
      </c>
      <c r="F2313" s="334" t="s">
        <v>726</v>
      </c>
      <c r="G2313" s="22"/>
      <c r="H2313" s="332" t="s">
        <v>1037</v>
      </c>
      <c r="I2313" s="139">
        <v>1</v>
      </c>
      <c r="J2313" s="139">
        <v>13141.508185845443</v>
      </c>
      <c r="K2313" s="285">
        <f t="shared" si="182"/>
        <v>13142</v>
      </c>
      <c r="L2313" s="25" t="s">
        <v>155</v>
      </c>
      <c r="M2313" s="25" t="s">
        <v>153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308"/>
    </row>
    <row r="2314" spans="1:26" ht="15.75" customHeight="1">
      <c r="A2314" s="125" t="str">
        <f>IF(B2314&lt;&gt;"",IF(AND(B2314&gt;=_TM1,B2314&lt;=_TM2,OR(TH!L2314="1111",TH!M2314="1111")),TH!D2314,""),"")</f>
        <v/>
      </c>
      <c r="B2314" s="281">
        <f t="shared" si="180"/>
        <v>11</v>
      </c>
      <c r="C2314" s="324">
        <f t="shared" si="181"/>
        <v>40866</v>
      </c>
      <c r="D2314" s="21" t="s">
        <v>1155</v>
      </c>
      <c r="E2314" s="333">
        <v>40866</v>
      </c>
      <c r="F2314" s="22" t="s">
        <v>735</v>
      </c>
      <c r="G2314" s="22"/>
      <c r="H2314" s="332" t="s">
        <v>1037</v>
      </c>
      <c r="I2314" s="139">
        <v>1</v>
      </c>
      <c r="J2314" s="139">
        <v>15251.508185845443</v>
      </c>
      <c r="K2314" s="285">
        <f t="shared" si="182"/>
        <v>15252</v>
      </c>
      <c r="L2314" s="25" t="s">
        <v>155</v>
      </c>
      <c r="M2314" s="25" t="s">
        <v>153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308"/>
    </row>
    <row r="2315" spans="1:26" ht="15.75" customHeight="1">
      <c r="A2315" s="125" t="str">
        <f>IF(B2315&lt;&gt;"",IF(AND(B2315&gt;=_TM1,B2315&lt;=_TM2,OR(TH!L2315="1111",TH!M2315="1111")),TH!D2315,""),"")</f>
        <v/>
      </c>
      <c r="B2315" s="281">
        <f t="shared" si="180"/>
        <v>11</v>
      </c>
      <c r="C2315" s="324">
        <f t="shared" si="181"/>
        <v>40866</v>
      </c>
      <c r="D2315" s="21" t="s">
        <v>1155</v>
      </c>
      <c r="E2315" s="333">
        <v>40866</v>
      </c>
      <c r="F2315" s="22" t="s">
        <v>1238</v>
      </c>
      <c r="G2315" s="22"/>
      <c r="H2315" s="332" t="s">
        <v>1037</v>
      </c>
      <c r="I2315" s="139">
        <v>12</v>
      </c>
      <c r="J2315" s="139">
        <v>14113.924852512109</v>
      </c>
      <c r="K2315" s="285">
        <f t="shared" si="182"/>
        <v>169367</v>
      </c>
      <c r="L2315" s="25" t="s">
        <v>155</v>
      </c>
      <c r="M2315" s="25" t="s">
        <v>153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308"/>
    </row>
    <row r="2316" spans="1:26" ht="15.75" customHeight="1">
      <c r="A2316" s="125" t="str">
        <f>IF(B2316&lt;&gt;"",IF(AND(B2316&gt;=_TM1,B2316&lt;=_TM2,OR(TH!L2316="1111",TH!M2316="1111")),TH!D2316,""),"")</f>
        <v/>
      </c>
      <c r="B2316" s="11">
        <f t="shared" si="180"/>
        <v>11</v>
      </c>
      <c r="C2316" s="115">
        <f t="shared" si="181"/>
        <v>40866</v>
      </c>
      <c r="D2316" s="12" t="s">
        <v>918</v>
      </c>
      <c r="E2316" s="303">
        <v>40866</v>
      </c>
      <c r="F2316" s="116" t="s">
        <v>1251</v>
      </c>
      <c r="G2316" s="224" t="s">
        <v>1252</v>
      </c>
      <c r="H2316" s="117" t="s">
        <v>709</v>
      </c>
      <c r="I2316" s="141">
        <v>38</v>
      </c>
      <c r="J2316" s="141">
        <v>18624.981870055966</v>
      </c>
      <c r="K2316" s="330">
        <f t="shared" si="182"/>
        <v>707749</v>
      </c>
      <c r="L2316" s="319" t="s">
        <v>161</v>
      </c>
      <c r="M2316" s="319" t="s">
        <v>155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121"/>
    </row>
    <row r="2317" spans="1:26" ht="15.75" customHeight="1">
      <c r="A2317" s="125" t="str">
        <f>IF(B2317&lt;&gt;"",IF(AND(B2317&gt;=_TM1,B2317&lt;=_TM2,OR(TH!L2317="1111",TH!M2317="1111")),TH!D2317,""),"")</f>
        <v/>
      </c>
      <c r="B2317" s="11">
        <f t="shared" si="180"/>
        <v>11</v>
      </c>
      <c r="C2317" s="115">
        <f t="shared" si="181"/>
        <v>40866</v>
      </c>
      <c r="D2317" s="12" t="s">
        <v>918</v>
      </c>
      <c r="E2317" s="303">
        <v>40866</v>
      </c>
      <c r="F2317" s="116" t="s">
        <v>1253</v>
      </c>
      <c r="G2317" s="224" t="s">
        <v>1252</v>
      </c>
      <c r="H2317" s="117" t="s">
        <v>709</v>
      </c>
      <c r="I2317" s="141">
        <v>8</v>
      </c>
      <c r="J2317" s="141">
        <v>15403.383185845443</v>
      </c>
      <c r="K2317" s="330">
        <f t="shared" si="182"/>
        <v>123227</v>
      </c>
      <c r="L2317" s="319" t="s">
        <v>161</v>
      </c>
      <c r="M2317" s="319" t="s">
        <v>155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121"/>
    </row>
    <row r="2318" spans="1:26" ht="15.75" customHeight="1">
      <c r="A2318" s="125" t="str">
        <f>IF(B2318&lt;&gt;"",IF(AND(B2318&gt;=_TM1,B2318&lt;=_TM2,OR(TH!L2318="1111",TH!M2318="1111")),TH!D2318,""),"")</f>
        <v/>
      </c>
      <c r="B2318" s="11">
        <f t="shared" si="180"/>
        <v>11</v>
      </c>
      <c r="C2318" s="115">
        <f t="shared" ref="C2318:C2352" si="183">E2318</f>
        <v>40866</v>
      </c>
      <c r="D2318" s="12" t="s">
        <v>918</v>
      </c>
      <c r="E2318" s="303">
        <v>40866</v>
      </c>
      <c r="F2318" s="116" t="s">
        <v>1254</v>
      </c>
      <c r="G2318" s="224" t="s">
        <v>1252</v>
      </c>
      <c r="H2318" s="117" t="s">
        <v>709</v>
      </c>
      <c r="I2318" s="141">
        <v>24</v>
      </c>
      <c r="J2318" s="141">
        <v>9918.4665191787753</v>
      </c>
      <c r="K2318" s="330">
        <f t="shared" ref="K2318:K2349" si="184">ROUND(I2318*J2318,0)</f>
        <v>238043</v>
      </c>
      <c r="L2318" s="319" t="s">
        <v>161</v>
      </c>
      <c r="M2318" s="319" t="s">
        <v>155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121"/>
    </row>
    <row r="2319" spans="1:26" ht="15.75" customHeight="1">
      <c r="A2319" s="125" t="str">
        <f>IF(B2319&lt;&gt;"",IF(AND(B2319&gt;=_TM1,B2319&lt;=_TM2,OR(TH!L2319="1111",TH!M2319="1111")),TH!D2319,""),"")</f>
        <v/>
      </c>
      <c r="B2319" s="11">
        <f t="shared" si="180"/>
        <v>11</v>
      </c>
      <c r="C2319" s="115">
        <f t="shared" si="183"/>
        <v>40866</v>
      </c>
      <c r="D2319" s="12" t="s">
        <v>918</v>
      </c>
      <c r="E2319" s="303">
        <v>40866</v>
      </c>
      <c r="F2319" s="116" t="s">
        <v>1255</v>
      </c>
      <c r="G2319" s="224" t="s">
        <v>1252</v>
      </c>
      <c r="H2319" s="117" t="s">
        <v>709</v>
      </c>
      <c r="I2319" s="141">
        <v>24</v>
      </c>
      <c r="J2319" s="141">
        <v>8350.9665191787753</v>
      </c>
      <c r="K2319" s="330">
        <f t="shared" si="184"/>
        <v>200423</v>
      </c>
      <c r="L2319" s="319" t="s">
        <v>161</v>
      </c>
      <c r="M2319" s="319" t="s">
        <v>155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121"/>
    </row>
    <row r="2320" spans="1:26" ht="15.75" customHeight="1">
      <c r="A2320" s="125" t="str">
        <f>IF(B2320&lt;&gt;"",IF(AND(B2320&gt;=_TM1,B2320&lt;=_TM2,OR(TH!L2320="1111",TH!M2320="1111")),TH!D2320,""),"")</f>
        <v/>
      </c>
      <c r="B2320" s="11">
        <f t="shared" si="180"/>
        <v>11</v>
      </c>
      <c r="C2320" s="115">
        <f t="shared" si="183"/>
        <v>40866</v>
      </c>
      <c r="D2320" s="12" t="s">
        <v>918</v>
      </c>
      <c r="E2320" s="303">
        <v>40866</v>
      </c>
      <c r="F2320" s="116" t="s">
        <v>1256</v>
      </c>
      <c r="G2320" s="224" t="s">
        <v>1252</v>
      </c>
      <c r="H2320" s="117" t="s">
        <v>709</v>
      </c>
      <c r="I2320" s="141">
        <v>2</v>
      </c>
      <c r="J2320" s="141">
        <v>8275.0081858454432</v>
      </c>
      <c r="K2320" s="330">
        <f t="shared" si="184"/>
        <v>16550</v>
      </c>
      <c r="L2320" s="319" t="s">
        <v>161</v>
      </c>
      <c r="M2320" s="319" t="s">
        <v>155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121"/>
    </row>
    <row r="2321" spans="1:26" ht="15.75" customHeight="1">
      <c r="A2321" s="125" t="str">
        <f>IF(B2321&lt;&gt;"",IF(AND(B2321&gt;=_TM1,B2321&lt;=_TM2,OR(TH!L2321="1111",TH!M2321="1111")),TH!D2321,""),"")</f>
        <v/>
      </c>
      <c r="B2321" s="11">
        <f t="shared" si="180"/>
        <v>11</v>
      </c>
      <c r="C2321" s="115">
        <f t="shared" si="183"/>
        <v>40866</v>
      </c>
      <c r="D2321" s="12" t="s">
        <v>918</v>
      </c>
      <c r="E2321" s="303">
        <v>40866</v>
      </c>
      <c r="F2321" s="116" t="s">
        <v>1257</v>
      </c>
      <c r="G2321" s="224" t="s">
        <v>1252</v>
      </c>
      <c r="H2321" s="117" t="s">
        <v>709</v>
      </c>
      <c r="I2321" s="141">
        <v>25</v>
      </c>
      <c r="J2321" s="141">
        <v>13595.988185845443</v>
      </c>
      <c r="K2321" s="330">
        <f t="shared" si="184"/>
        <v>339900</v>
      </c>
      <c r="L2321" s="319" t="s">
        <v>161</v>
      </c>
      <c r="M2321" s="319" t="s">
        <v>155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121"/>
    </row>
    <row r="2322" spans="1:26" ht="15.75" customHeight="1">
      <c r="A2322" s="125" t="str">
        <f>IF(B2322&lt;&gt;"",IF(AND(B2322&gt;=_TM1,B2322&lt;=_TM2,OR(TH!L2322="1111",TH!M2322="1111")),TH!D2322,""),"")</f>
        <v/>
      </c>
      <c r="B2322" s="11">
        <f t="shared" si="180"/>
        <v>11</v>
      </c>
      <c r="C2322" s="115">
        <f t="shared" si="183"/>
        <v>40866</v>
      </c>
      <c r="D2322" s="12" t="s">
        <v>918</v>
      </c>
      <c r="E2322" s="303">
        <v>40866</v>
      </c>
      <c r="F2322" s="116" t="s">
        <v>1258</v>
      </c>
      <c r="G2322" s="224" t="s">
        <v>1252</v>
      </c>
      <c r="H2322" s="117" t="s">
        <v>709</v>
      </c>
      <c r="I2322" s="141">
        <v>274</v>
      </c>
      <c r="J2322" s="141">
        <v>9918.5045362104065</v>
      </c>
      <c r="K2322" s="330">
        <f t="shared" si="184"/>
        <v>2717670</v>
      </c>
      <c r="L2322" s="319" t="s">
        <v>161</v>
      </c>
      <c r="M2322" s="319" t="s">
        <v>155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121"/>
    </row>
    <row r="2323" spans="1:26" ht="15.75" customHeight="1">
      <c r="A2323" s="125" t="str">
        <f>IF(B2323&lt;&gt;"",IF(AND(B2323&gt;=_TM1,B2323&lt;=_TM2,OR(TH!L2323="1111",TH!M2323="1111")),TH!D2323,""),"")</f>
        <v/>
      </c>
      <c r="B2323" s="11">
        <f t="shared" si="180"/>
        <v>11</v>
      </c>
      <c r="C2323" s="115">
        <f t="shared" si="183"/>
        <v>40866</v>
      </c>
      <c r="D2323" s="12" t="s">
        <v>918</v>
      </c>
      <c r="E2323" s="303">
        <v>40866</v>
      </c>
      <c r="F2323" s="116" t="s">
        <v>1259</v>
      </c>
      <c r="G2323" s="224" t="s">
        <v>1252</v>
      </c>
      <c r="H2323" s="117" t="s">
        <v>709</v>
      </c>
      <c r="I2323" s="141">
        <v>123</v>
      </c>
      <c r="J2323" s="141">
        <v>9918.5000557641433</v>
      </c>
      <c r="K2323" s="330">
        <f t="shared" si="184"/>
        <v>1219976</v>
      </c>
      <c r="L2323" s="319" t="s">
        <v>161</v>
      </c>
      <c r="M2323" s="319" t="s">
        <v>155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121"/>
    </row>
    <row r="2324" spans="1:26" ht="15.75" customHeight="1">
      <c r="A2324" s="125" t="str">
        <f>IF(B2324&lt;&gt;"",IF(AND(B2324&gt;=_TM1,B2324&lt;=_TM2,OR(TH!L2324="1111",TH!M2324="1111")),TH!D2324,""),"")</f>
        <v/>
      </c>
      <c r="B2324" s="11">
        <f t="shared" si="180"/>
        <v>11</v>
      </c>
      <c r="C2324" s="115">
        <f t="shared" si="183"/>
        <v>40866</v>
      </c>
      <c r="D2324" s="12" t="s">
        <v>918</v>
      </c>
      <c r="E2324" s="303">
        <v>40866</v>
      </c>
      <c r="F2324" s="116" t="s">
        <v>1260</v>
      </c>
      <c r="G2324" s="224" t="s">
        <v>1252</v>
      </c>
      <c r="H2324" s="117" t="s">
        <v>709</v>
      </c>
      <c r="I2324" s="141">
        <v>118</v>
      </c>
      <c r="J2324" s="141">
        <v>1449.3132705912053</v>
      </c>
      <c r="K2324" s="330">
        <f t="shared" si="184"/>
        <v>171019</v>
      </c>
      <c r="L2324" s="319" t="s">
        <v>161</v>
      </c>
      <c r="M2324" s="319" t="s">
        <v>155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121"/>
    </row>
    <row r="2325" spans="1:26" ht="15.75" customHeight="1">
      <c r="A2325" s="125" t="str">
        <f>IF(B2325&lt;&gt;"",IF(AND(B2325&gt;=_TM1,B2325&lt;=_TM2,OR(TH!L2325="1111",TH!M2325="1111")),TH!D2325,""),"")</f>
        <v/>
      </c>
      <c r="B2325" s="11">
        <f t="shared" si="180"/>
        <v>11</v>
      </c>
      <c r="C2325" s="115">
        <f t="shared" si="183"/>
        <v>40866</v>
      </c>
      <c r="D2325" s="12" t="s">
        <v>918</v>
      </c>
      <c r="E2325" s="303">
        <v>40866</v>
      </c>
      <c r="F2325" s="116" t="s">
        <v>1261</v>
      </c>
      <c r="G2325" s="224" t="s">
        <v>1252</v>
      </c>
      <c r="H2325" s="117" t="s">
        <v>709</v>
      </c>
      <c r="I2325" s="141">
        <v>236</v>
      </c>
      <c r="J2325" s="141">
        <v>1449.3175078793408</v>
      </c>
      <c r="K2325" s="330">
        <f t="shared" si="184"/>
        <v>342039</v>
      </c>
      <c r="L2325" s="319" t="s">
        <v>161</v>
      </c>
      <c r="M2325" s="319" t="s">
        <v>155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121"/>
    </row>
    <row r="2326" spans="1:26" ht="15.75" customHeight="1">
      <c r="A2326" s="125" t="str">
        <f>IF(B2326&lt;&gt;"",IF(AND(B2326&gt;=_TM1,B2326&lt;=_TM2,OR(TH!L2326="1111",TH!M2326="1111")),TH!D2326,""),"")</f>
        <v/>
      </c>
      <c r="B2326" s="11">
        <f t="shared" ref="B2326:B2392" si="185">IF(C2326&lt;&gt;"",MONTH(C2326),"")</f>
        <v>11</v>
      </c>
      <c r="C2326" s="115">
        <f t="shared" si="183"/>
        <v>40866</v>
      </c>
      <c r="D2326" s="12" t="s">
        <v>918</v>
      </c>
      <c r="E2326" s="303">
        <v>40866</v>
      </c>
      <c r="F2326" s="116" t="s">
        <v>1262</v>
      </c>
      <c r="G2326" s="224" t="s">
        <v>1252</v>
      </c>
      <c r="H2326" s="117" t="s">
        <v>709</v>
      </c>
      <c r="I2326" s="141">
        <v>60</v>
      </c>
      <c r="J2326" s="141">
        <v>1520.9415191787762</v>
      </c>
      <c r="K2326" s="330">
        <f t="shared" si="184"/>
        <v>91256</v>
      </c>
      <c r="L2326" s="319" t="s">
        <v>161</v>
      </c>
      <c r="M2326" s="319" t="s">
        <v>155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121"/>
    </row>
    <row r="2327" spans="1:26" ht="15.75" customHeight="1">
      <c r="A2327" s="125" t="str">
        <f>IF(B2327&lt;&gt;"",IF(AND(B2327&gt;=_TM1,B2327&lt;=_TM2,OR(TH!L2327="1111",TH!M2327="1111")),TH!D2327,""),"")</f>
        <v/>
      </c>
      <c r="B2327" s="11">
        <f t="shared" si="185"/>
        <v>11</v>
      </c>
      <c r="C2327" s="115">
        <f t="shared" si="183"/>
        <v>40866</v>
      </c>
      <c r="D2327" s="12" t="s">
        <v>918</v>
      </c>
      <c r="E2327" s="303">
        <v>40866</v>
      </c>
      <c r="F2327" s="116" t="s">
        <v>1263</v>
      </c>
      <c r="G2327" s="224" t="s">
        <v>1252</v>
      </c>
      <c r="H2327" s="117" t="s">
        <v>709</v>
      </c>
      <c r="I2327" s="141">
        <v>120</v>
      </c>
      <c r="J2327" s="141">
        <v>1520.9498525121094</v>
      </c>
      <c r="K2327" s="330">
        <f t="shared" si="184"/>
        <v>182514</v>
      </c>
      <c r="L2327" s="319" t="s">
        <v>161</v>
      </c>
      <c r="M2327" s="319" t="s">
        <v>155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121"/>
    </row>
    <row r="2328" spans="1:26" ht="15.75" customHeight="1">
      <c r="A2328" s="125" t="str">
        <f>IF(B2328&lt;&gt;"",IF(AND(B2328&gt;=_TM1,B2328&lt;=_TM2,OR(TH!L2328="1111",TH!M2328="1111")),TH!D2328,""),"")</f>
        <v/>
      </c>
      <c r="B2328" s="11">
        <f t="shared" si="185"/>
        <v>11</v>
      </c>
      <c r="C2328" s="115">
        <f t="shared" si="183"/>
        <v>40866</v>
      </c>
      <c r="D2328" s="12" t="s">
        <v>918</v>
      </c>
      <c r="E2328" s="303">
        <v>40866</v>
      </c>
      <c r="F2328" s="116" t="s">
        <v>1264</v>
      </c>
      <c r="G2328" s="224" t="s">
        <v>1252</v>
      </c>
      <c r="H2328" s="117" t="s">
        <v>709</v>
      </c>
      <c r="I2328" s="141">
        <v>74</v>
      </c>
      <c r="J2328" s="141">
        <v>1719.3460236832809</v>
      </c>
      <c r="K2328" s="330">
        <f t="shared" si="184"/>
        <v>127232</v>
      </c>
      <c r="L2328" s="319" t="s">
        <v>161</v>
      </c>
      <c r="M2328" s="319" t="s">
        <v>155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121"/>
    </row>
    <row r="2329" spans="1:26" ht="15.75" customHeight="1">
      <c r="A2329" s="125" t="str">
        <f>IF(B2329&lt;&gt;"",IF(AND(B2329&gt;=_TM1,B2329&lt;=_TM2,OR(TH!L2329="1111",TH!M2329="1111")),TH!D2329,""),"")</f>
        <v/>
      </c>
      <c r="B2329" s="11">
        <f t="shared" si="185"/>
        <v>11</v>
      </c>
      <c r="C2329" s="115">
        <f t="shared" si="183"/>
        <v>40866</v>
      </c>
      <c r="D2329" s="12" t="s">
        <v>918</v>
      </c>
      <c r="E2329" s="303">
        <v>40866</v>
      </c>
      <c r="F2329" s="116" t="s">
        <v>1265</v>
      </c>
      <c r="G2329" s="224" t="s">
        <v>1252</v>
      </c>
      <c r="H2329" s="117" t="s">
        <v>709</v>
      </c>
      <c r="I2329" s="141">
        <v>148</v>
      </c>
      <c r="J2329" s="141">
        <v>1749.4135912508484</v>
      </c>
      <c r="K2329" s="330">
        <f t="shared" si="184"/>
        <v>258913</v>
      </c>
      <c r="L2329" s="319" t="s">
        <v>161</v>
      </c>
      <c r="M2329" s="319" t="s">
        <v>155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121"/>
    </row>
    <row r="2330" spans="1:26" ht="15.75" customHeight="1">
      <c r="A2330" s="125" t="str">
        <f>IF(B2330&lt;&gt;"",IF(AND(B2330&gt;=_TM1,B2330&lt;=_TM2,OR(TH!L2330="1111",TH!M2330="1111")),TH!D2330,""),"")</f>
        <v/>
      </c>
      <c r="B2330" s="11">
        <f t="shared" si="185"/>
        <v>11</v>
      </c>
      <c r="C2330" s="115">
        <f t="shared" si="183"/>
        <v>40866</v>
      </c>
      <c r="D2330" s="12" t="s">
        <v>918</v>
      </c>
      <c r="E2330" s="303">
        <v>40866</v>
      </c>
      <c r="F2330" s="116" t="s">
        <v>1266</v>
      </c>
      <c r="G2330" s="224" t="s">
        <v>1252</v>
      </c>
      <c r="H2330" s="117" t="s">
        <v>709</v>
      </c>
      <c r="I2330" s="141">
        <v>136</v>
      </c>
      <c r="J2330" s="141">
        <v>2074.9861270219135</v>
      </c>
      <c r="K2330" s="330">
        <f t="shared" si="184"/>
        <v>282198</v>
      </c>
      <c r="L2330" s="319" t="s">
        <v>161</v>
      </c>
      <c r="M2330" s="319" t="s">
        <v>155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121"/>
    </row>
    <row r="2331" spans="1:26" ht="15.75" customHeight="1">
      <c r="A2331" s="125" t="str">
        <f>IF(B2331&lt;&gt;"",IF(AND(B2331&gt;=_TM1,B2331&lt;=_TM2,OR(TH!L2331="1111",TH!M2331="1111")),TH!D2331,""),"")</f>
        <v/>
      </c>
      <c r="B2331" s="11">
        <f t="shared" si="185"/>
        <v>11</v>
      </c>
      <c r="C2331" s="115">
        <f t="shared" si="183"/>
        <v>40866</v>
      </c>
      <c r="D2331" s="12" t="s">
        <v>918</v>
      </c>
      <c r="E2331" s="303">
        <v>40866</v>
      </c>
      <c r="F2331" s="116" t="s">
        <v>1267</v>
      </c>
      <c r="G2331" s="224" t="s">
        <v>1252</v>
      </c>
      <c r="H2331" s="117" t="s">
        <v>709</v>
      </c>
      <c r="I2331" s="141">
        <v>272</v>
      </c>
      <c r="J2331" s="141">
        <v>1527.4971564336781</v>
      </c>
      <c r="K2331" s="330">
        <f t="shared" si="184"/>
        <v>415479</v>
      </c>
      <c r="L2331" s="319" t="s">
        <v>161</v>
      </c>
      <c r="M2331" s="319" t="s">
        <v>155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121"/>
    </row>
    <row r="2332" spans="1:26" ht="15.75" customHeight="1">
      <c r="A2332" s="125" t="str">
        <f>IF(B2332&lt;&gt;"",IF(AND(B2332&gt;=_TM1,B2332&lt;=_TM2,OR(TH!L2332="1111",TH!M2332="1111")),TH!D2332,""),"")</f>
        <v/>
      </c>
      <c r="B2332" s="11">
        <f t="shared" si="185"/>
        <v>11</v>
      </c>
      <c r="C2332" s="115">
        <f t="shared" si="183"/>
        <v>40866</v>
      </c>
      <c r="D2332" s="12" t="s">
        <v>918</v>
      </c>
      <c r="E2332" s="303">
        <v>40866</v>
      </c>
      <c r="F2332" s="116" t="s">
        <v>1268</v>
      </c>
      <c r="G2332" s="224" t="s">
        <v>1252</v>
      </c>
      <c r="H2332" s="117" t="s">
        <v>709</v>
      </c>
      <c r="I2332" s="141">
        <v>18</v>
      </c>
      <c r="J2332" s="141">
        <v>1792.7859636232206</v>
      </c>
      <c r="K2332" s="330">
        <f t="shared" si="184"/>
        <v>32270</v>
      </c>
      <c r="L2332" s="319" t="s">
        <v>161</v>
      </c>
      <c r="M2332" s="319" t="s">
        <v>155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121"/>
    </row>
    <row r="2333" spans="1:26" ht="15.75" customHeight="1">
      <c r="A2333" s="125" t="str">
        <f>IF(B2333&lt;&gt;"",IF(AND(B2333&gt;=_TM1,B2333&lt;=_TM2,OR(TH!L2333="1111",TH!M2333="1111")),TH!D2333,""),"")</f>
        <v/>
      </c>
      <c r="B2333" s="11">
        <f t="shared" si="185"/>
        <v>11</v>
      </c>
      <c r="C2333" s="115">
        <f t="shared" si="183"/>
        <v>40866</v>
      </c>
      <c r="D2333" s="12" t="s">
        <v>918</v>
      </c>
      <c r="E2333" s="303">
        <v>40866</v>
      </c>
      <c r="F2333" s="116" t="s">
        <v>1269</v>
      </c>
      <c r="G2333" s="224" t="s">
        <v>1252</v>
      </c>
      <c r="H2333" s="117" t="s">
        <v>709</v>
      </c>
      <c r="I2333" s="141">
        <v>36</v>
      </c>
      <c r="J2333" s="141">
        <v>1545.6470747343315</v>
      </c>
      <c r="K2333" s="330">
        <f t="shared" si="184"/>
        <v>55643</v>
      </c>
      <c r="L2333" s="319" t="s">
        <v>161</v>
      </c>
      <c r="M2333" s="319" t="s">
        <v>155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121"/>
    </row>
    <row r="2334" spans="1:26" ht="15.75" customHeight="1">
      <c r="A2334" s="125" t="str">
        <f>IF(B2334&lt;&gt;"",IF(AND(B2334&gt;=_TM1,B2334&lt;=_TM2,OR(TH!L2334="1111",TH!M2334="1111")),TH!D2334,""),"")</f>
        <v/>
      </c>
      <c r="B2334" s="11">
        <f t="shared" si="185"/>
        <v>11</v>
      </c>
      <c r="C2334" s="115">
        <f t="shared" si="183"/>
        <v>40866</v>
      </c>
      <c r="D2334" s="12" t="s">
        <v>918</v>
      </c>
      <c r="E2334" s="303">
        <v>40866</v>
      </c>
      <c r="F2334" s="116" t="s">
        <v>1261</v>
      </c>
      <c r="G2334" s="224" t="s">
        <v>1252</v>
      </c>
      <c r="H2334" s="117" t="s">
        <v>709</v>
      </c>
      <c r="I2334" s="141">
        <v>79</v>
      </c>
      <c r="J2334" s="141">
        <v>1467.4448947062021</v>
      </c>
      <c r="K2334" s="330">
        <f t="shared" si="184"/>
        <v>115928</v>
      </c>
      <c r="L2334" s="319" t="s">
        <v>161</v>
      </c>
      <c r="M2334" s="319" t="s">
        <v>155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121"/>
    </row>
    <row r="2335" spans="1:26" ht="15.75" customHeight="1">
      <c r="A2335" s="125" t="str">
        <f>IF(B2335&lt;&gt;"",IF(AND(B2335&gt;=_TM1,B2335&lt;=_TM2,OR(TH!L2335="1111",TH!M2335="1111")),TH!D2335,""),"")</f>
        <v/>
      </c>
      <c r="B2335" s="11">
        <f t="shared" si="185"/>
        <v>11</v>
      </c>
      <c r="C2335" s="115">
        <f t="shared" si="183"/>
        <v>40866</v>
      </c>
      <c r="D2335" s="12" t="s">
        <v>918</v>
      </c>
      <c r="E2335" s="303">
        <v>40866</v>
      </c>
      <c r="F2335" s="116" t="s">
        <v>1270</v>
      </c>
      <c r="G2335" s="224" t="s">
        <v>1252</v>
      </c>
      <c r="H2335" s="117" t="s">
        <v>709</v>
      </c>
      <c r="I2335" s="141">
        <v>158</v>
      </c>
      <c r="J2335" s="141">
        <v>1523.7676795163288</v>
      </c>
      <c r="K2335" s="330">
        <f t="shared" si="184"/>
        <v>240755</v>
      </c>
      <c r="L2335" s="319" t="s">
        <v>161</v>
      </c>
      <c r="M2335" s="319" t="s">
        <v>155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121"/>
    </row>
    <row r="2336" spans="1:26" ht="15.75" customHeight="1">
      <c r="A2336" s="125" t="str">
        <f>IF(B2336&lt;&gt;"",IF(AND(B2336&gt;=_TM1,B2336&lt;=_TM2,OR(TH!L2336="1111",TH!M2336="1111")),TH!D2336,""),"")</f>
        <v/>
      </c>
      <c r="B2336" s="11">
        <f t="shared" si="185"/>
        <v>11</v>
      </c>
      <c r="C2336" s="115">
        <f t="shared" si="183"/>
        <v>40866</v>
      </c>
      <c r="D2336" s="12" t="s">
        <v>918</v>
      </c>
      <c r="E2336" s="303">
        <v>40866</v>
      </c>
      <c r="F2336" s="116" t="s">
        <v>1271</v>
      </c>
      <c r="G2336" s="224" t="s">
        <v>1252</v>
      </c>
      <c r="H2336" s="117" t="s">
        <v>709</v>
      </c>
      <c r="I2336" s="141">
        <v>82</v>
      </c>
      <c r="J2336" s="141">
        <v>1569.7764785283696</v>
      </c>
      <c r="K2336" s="330">
        <f t="shared" si="184"/>
        <v>128722</v>
      </c>
      <c r="L2336" s="319" t="s">
        <v>161</v>
      </c>
      <c r="M2336" s="319" t="s">
        <v>155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121"/>
    </row>
    <row r="2337" spans="1:26" ht="15.75" customHeight="1">
      <c r="A2337" s="125" t="str">
        <f>IF(B2337&lt;&gt;"",IF(AND(B2337&gt;=_TM1,B2337&lt;=_TM2,OR(TH!L2337="1111",TH!M2337="1111")),TH!D2337,""),"")</f>
        <v/>
      </c>
      <c r="B2337" s="11">
        <f t="shared" si="185"/>
        <v>11</v>
      </c>
      <c r="C2337" s="115">
        <f t="shared" si="183"/>
        <v>40866</v>
      </c>
      <c r="D2337" s="12" t="s">
        <v>918</v>
      </c>
      <c r="E2337" s="303">
        <v>40866</v>
      </c>
      <c r="F2337" s="116" t="s">
        <v>1272</v>
      </c>
      <c r="G2337" s="224" t="s">
        <v>1252</v>
      </c>
      <c r="H2337" s="117" t="s">
        <v>709</v>
      </c>
      <c r="I2337" s="141">
        <v>41</v>
      </c>
      <c r="J2337" s="141">
        <v>2492.1179419430036</v>
      </c>
      <c r="K2337" s="330">
        <f t="shared" si="184"/>
        <v>102177</v>
      </c>
      <c r="L2337" s="319" t="s">
        <v>161</v>
      </c>
      <c r="M2337" s="319" t="s">
        <v>155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121"/>
    </row>
    <row r="2338" spans="1:26" ht="15.75" customHeight="1">
      <c r="A2338" s="125" t="str">
        <f>IF(B2338&lt;&gt;"",IF(AND(B2338&gt;=_TM1,B2338&lt;=_TM2,OR(TH!L2338="1111",TH!M2338="1111")),TH!D2338,""),"")</f>
        <v/>
      </c>
      <c r="B2338" s="11">
        <f t="shared" si="185"/>
        <v>11</v>
      </c>
      <c r="C2338" s="115">
        <f t="shared" si="183"/>
        <v>40866</v>
      </c>
      <c r="D2338" s="12" t="s">
        <v>918</v>
      </c>
      <c r="E2338" s="303">
        <v>40866</v>
      </c>
      <c r="F2338" s="116" t="s">
        <v>735</v>
      </c>
      <c r="G2338" s="224" t="s">
        <v>1252</v>
      </c>
      <c r="H2338" s="117" t="s">
        <v>709</v>
      </c>
      <c r="I2338" s="141">
        <v>1</v>
      </c>
      <c r="J2338" s="141">
        <v>13141.508185845443</v>
      </c>
      <c r="K2338" s="330">
        <f t="shared" si="184"/>
        <v>13142</v>
      </c>
      <c r="L2338" s="319" t="s">
        <v>161</v>
      </c>
      <c r="M2338" s="319" t="s">
        <v>155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121"/>
    </row>
    <row r="2339" spans="1:26" ht="15.75" customHeight="1">
      <c r="A2339" s="125" t="str">
        <f>IF(B2339&lt;&gt;"",IF(AND(B2339&gt;=_TM1,B2339&lt;=_TM2,OR(TH!L2339="1111",TH!M2339="1111")),TH!D2339,""),"")</f>
        <v/>
      </c>
      <c r="B2339" s="11">
        <f t="shared" si="185"/>
        <v>11</v>
      </c>
      <c r="C2339" s="115">
        <f t="shared" si="183"/>
        <v>40866</v>
      </c>
      <c r="D2339" s="12" t="s">
        <v>918</v>
      </c>
      <c r="E2339" s="303">
        <v>40866</v>
      </c>
      <c r="F2339" s="116" t="s">
        <v>728</v>
      </c>
      <c r="G2339" s="224" t="s">
        <v>1252</v>
      </c>
      <c r="H2339" s="117" t="s">
        <v>709</v>
      </c>
      <c r="I2339" s="141">
        <v>2</v>
      </c>
      <c r="J2339" s="141">
        <v>11117.008185845443</v>
      </c>
      <c r="K2339" s="330">
        <f t="shared" si="184"/>
        <v>22234</v>
      </c>
      <c r="L2339" s="319" t="s">
        <v>161</v>
      </c>
      <c r="M2339" s="319" t="s">
        <v>155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121"/>
    </row>
    <row r="2340" spans="1:26" ht="15.75" customHeight="1">
      <c r="A2340" s="125" t="str">
        <f>IF(B2340&lt;&gt;"",IF(AND(B2340&gt;=_TM1,B2340&lt;=_TM2,OR(TH!L2340="1111",TH!M2340="1111")),TH!D2340,""),"")</f>
        <v/>
      </c>
      <c r="B2340" s="11">
        <f t="shared" si="185"/>
        <v>11</v>
      </c>
      <c r="C2340" s="115">
        <f t="shared" si="183"/>
        <v>40866</v>
      </c>
      <c r="D2340" s="12" t="s">
        <v>918</v>
      </c>
      <c r="E2340" s="303">
        <v>40866</v>
      </c>
      <c r="F2340" s="116" t="s">
        <v>1212</v>
      </c>
      <c r="G2340" s="224" t="s">
        <v>1252</v>
      </c>
      <c r="H2340" s="117" t="s">
        <v>709</v>
      </c>
      <c r="I2340" s="141">
        <v>21</v>
      </c>
      <c r="J2340" s="141">
        <v>15252.460566797827</v>
      </c>
      <c r="K2340" s="330">
        <f t="shared" si="184"/>
        <v>320302</v>
      </c>
      <c r="L2340" s="319" t="s">
        <v>161</v>
      </c>
      <c r="M2340" s="319" t="s">
        <v>155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121"/>
    </row>
    <row r="2341" spans="1:26" ht="15.75" customHeight="1">
      <c r="A2341" s="125" t="str">
        <f>IF(B2341&lt;&gt;"",IF(AND(B2341&gt;=_TM1,B2341&lt;=_TM2,OR(TH!L2341="1111",TH!M2341="1111")),TH!D2341,""),"")</f>
        <v/>
      </c>
      <c r="B2341" s="11">
        <f t="shared" si="185"/>
        <v>11</v>
      </c>
      <c r="C2341" s="115">
        <f t="shared" si="183"/>
        <v>40866</v>
      </c>
      <c r="D2341" s="12" t="s">
        <v>918</v>
      </c>
      <c r="E2341" s="303">
        <v>40866</v>
      </c>
      <c r="F2341" s="116" t="s">
        <v>722</v>
      </c>
      <c r="G2341" s="224" t="s">
        <v>1252</v>
      </c>
      <c r="H2341" s="117" t="s">
        <v>709</v>
      </c>
      <c r="I2341" s="141">
        <v>53</v>
      </c>
      <c r="J2341" s="141">
        <v>9705.1685632039353</v>
      </c>
      <c r="K2341" s="330">
        <f t="shared" si="184"/>
        <v>514374</v>
      </c>
      <c r="L2341" s="319" t="s">
        <v>161</v>
      </c>
      <c r="M2341" s="319" t="s">
        <v>155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121"/>
    </row>
    <row r="2342" spans="1:26" ht="15.75" customHeight="1">
      <c r="A2342" s="125" t="str">
        <f>IF(B2342&lt;&gt;"",IF(AND(B2342&gt;=_TM1,B2342&lt;=_TM2,OR(TH!L2342="1111",TH!M2342="1111")),TH!D2342,""),"")</f>
        <v/>
      </c>
      <c r="B2342" s="11">
        <f t="shared" si="185"/>
        <v>11</v>
      </c>
      <c r="C2342" s="115">
        <f t="shared" si="183"/>
        <v>40866</v>
      </c>
      <c r="D2342" s="12" t="s">
        <v>918</v>
      </c>
      <c r="E2342" s="303">
        <v>40866</v>
      </c>
      <c r="F2342" s="116" t="s">
        <v>1237</v>
      </c>
      <c r="G2342" s="224" t="s">
        <v>1252</v>
      </c>
      <c r="H2342" s="117" t="s">
        <v>709</v>
      </c>
      <c r="I2342" s="141">
        <v>6</v>
      </c>
      <c r="J2342" s="141">
        <v>11437.341519178777</v>
      </c>
      <c r="K2342" s="330">
        <f t="shared" si="184"/>
        <v>68624</v>
      </c>
      <c r="L2342" s="319" t="s">
        <v>161</v>
      </c>
      <c r="M2342" s="319" t="s">
        <v>155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121"/>
    </row>
    <row r="2343" spans="1:26" ht="15.75" customHeight="1">
      <c r="A2343" s="125" t="str">
        <f>IF(B2343&lt;&gt;"",IF(AND(B2343&gt;=_TM1,B2343&lt;=_TM2,OR(TH!L2343="1111",TH!M2343="1111")),TH!D2343,""),"")</f>
        <v/>
      </c>
      <c r="B2343" s="11">
        <f t="shared" si="185"/>
        <v>11</v>
      </c>
      <c r="C2343" s="115">
        <f t="shared" si="183"/>
        <v>40866</v>
      </c>
      <c r="D2343" s="12" t="s">
        <v>918</v>
      </c>
      <c r="E2343" s="303">
        <v>40866</v>
      </c>
      <c r="F2343" s="116" t="s">
        <v>726</v>
      </c>
      <c r="G2343" s="224" t="s">
        <v>1252</v>
      </c>
      <c r="H2343" s="117" t="s">
        <v>709</v>
      </c>
      <c r="I2343" s="141">
        <v>1</v>
      </c>
      <c r="J2343" s="141">
        <v>13141.508185845443</v>
      </c>
      <c r="K2343" s="330">
        <f t="shared" si="184"/>
        <v>13142</v>
      </c>
      <c r="L2343" s="319" t="s">
        <v>161</v>
      </c>
      <c r="M2343" s="319" t="s">
        <v>155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121"/>
    </row>
    <row r="2344" spans="1:26" ht="15.75" customHeight="1">
      <c r="A2344" s="125" t="str">
        <f>IF(B2344&lt;&gt;"",IF(AND(B2344&gt;=_TM1,B2344&lt;=_TM2,OR(TH!L2344="1111",TH!M2344="1111")),TH!D2344,""),"")</f>
        <v/>
      </c>
      <c r="B2344" s="11">
        <f t="shared" si="185"/>
        <v>11</v>
      </c>
      <c r="C2344" s="115">
        <f t="shared" si="183"/>
        <v>40866</v>
      </c>
      <c r="D2344" s="12" t="s">
        <v>918</v>
      </c>
      <c r="E2344" s="303">
        <v>40866</v>
      </c>
      <c r="F2344" s="116" t="s">
        <v>735</v>
      </c>
      <c r="G2344" s="224" t="s">
        <v>1252</v>
      </c>
      <c r="H2344" s="117" t="s">
        <v>709</v>
      </c>
      <c r="I2344" s="141">
        <v>1</v>
      </c>
      <c r="J2344" s="141">
        <v>15251.508185845443</v>
      </c>
      <c r="K2344" s="330">
        <f t="shared" si="184"/>
        <v>15252</v>
      </c>
      <c r="L2344" s="319" t="s">
        <v>161</v>
      </c>
      <c r="M2344" s="319" t="s">
        <v>155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121"/>
    </row>
    <row r="2345" spans="1:26" ht="15.75" customHeight="1">
      <c r="A2345" s="125" t="str">
        <f>IF(B2345&lt;&gt;"",IF(AND(B2345&gt;=_TM1,B2345&lt;=_TM2,OR(TH!L2345="1111",TH!M2345="1111")),TH!D2345,""),"")</f>
        <v/>
      </c>
      <c r="B2345" s="11">
        <f t="shared" si="185"/>
        <v>11</v>
      </c>
      <c r="C2345" s="115">
        <f t="shared" si="183"/>
        <v>40866</v>
      </c>
      <c r="D2345" s="12" t="s">
        <v>918</v>
      </c>
      <c r="E2345" s="303">
        <v>40866</v>
      </c>
      <c r="F2345" s="116" t="s">
        <v>1238</v>
      </c>
      <c r="G2345" s="224" t="s">
        <v>1252</v>
      </c>
      <c r="H2345" s="117" t="s">
        <v>709</v>
      </c>
      <c r="I2345" s="141">
        <v>12</v>
      </c>
      <c r="J2345" s="141">
        <v>14113.924852512109</v>
      </c>
      <c r="K2345" s="330">
        <f t="shared" si="184"/>
        <v>169367</v>
      </c>
      <c r="L2345" s="319" t="s">
        <v>161</v>
      </c>
      <c r="M2345" s="319" t="s">
        <v>155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121"/>
    </row>
    <row r="2346" spans="1:26" ht="15.75" customHeight="1">
      <c r="A2346" s="125" t="str">
        <f>IF(B2346&lt;&gt;"",IF(AND(B2346&gt;=_TM1,B2346&lt;=_TM2,OR(TH!L2346="1111",TH!M2346="1111")),TH!D2346,""),"")</f>
        <v/>
      </c>
      <c r="B2346" s="11">
        <f t="shared" si="185"/>
        <v>11</v>
      </c>
      <c r="C2346" s="115">
        <f t="shared" si="183"/>
        <v>40867</v>
      </c>
      <c r="D2346" s="324" t="s">
        <v>1055</v>
      </c>
      <c r="E2346" s="303">
        <v>40867</v>
      </c>
      <c r="F2346" s="15" t="s">
        <v>621</v>
      </c>
      <c r="G2346" s="15"/>
      <c r="H2346" s="242" t="s">
        <v>1037</v>
      </c>
      <c r="I2346" s="141">
        <v>61</v>
      </c>
      <c r="J2346" s="141">
        <v>30158</v>
      </c>
      <c r="K2346" s="238">
        <f t="shared" si="184"/>
        <v>1839638</v>
      </c>
      <c r="L2346" s="25" t="s">
        <v>153</v>
      </c>
      <c r="M2346" s="25" t="s">
        <v>147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121"/>
    </row>
    <row r="2347" spans="1:26" ht="15.75" customHeight="1">
      <c r="A2347" s="125" t="str">
        <f>IF(B2347&lt;&gt;"",IF(AND(B2347&gt;=_TM1,B2347&lt;=_TM2,OR(TH!L2347="1111",TH!M2347="1111")),TH!D2347,""),"")</f>
        <v/>
      </c>
      <c r="B2347" s="11">
        <f t="shared" si="185"/>
        <v>11</v>
      </c>
      <c r="C2347" s="115">
        <f t="shared" si="183"/>
        <v>40867</v>
      </c>
      <c r="D2347" s="324" t="s">
        <v>1055</v>
      </c>
      <c r="E2347" s="303">
        <v>40867</v>
      </c>
      <c r="F2347" s="15" t="s">
        <v>618</v>
      </c>
      <c r="G2347" s="15"/>
      <c r="H2347" s="242" t="s">
        <v>1037</v>
      </c>
      <c r="I2347" s="141">
        <v>50</v>
      </c>
      <c r="J2347" s="141">
        <v>34653</v>
      </c>
      <c r="K2347" s="238">
        <f t="shared" si="184"/>
        <v>1732650</v>
      </c>
      <c r="L2347" s="25" t="s">
        <v>153</v>
      </c>
      <c r="M2347" s="25" t="s">
        <v>147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121"/>
    </row>
    <row r="2348" spans="1:26" ht="15.75" customHeight="1">
      <c r="A2348" s="125" t="str">
        <f>IF(B2348&lt;&gt;"",IF(AND(B2348&gt;=_TM1,B2348&lt;=_TM2,OR(TH!L2348="1111",TH!M2348="1111")),TH!D2348,""),"")</f>
        <v/>
      </c>
      <c r="B2348" s="11">
        <f t="shared" si="185"/>
        <v>11</v>
      </c>
      <c r="C2348" s="115">
        <f t="shared" si="183"/>
        <v>40867</v>
      </c>
      <c r="D2348" s="324" t="s">
        <v>1055</v>
      </c>
      <c r="E2348" s="303">
        <v>40867</v>
      </c>
      <c r="F2348" s="114" t="s">
        <v>530</v>
      </c>
      <c r="G2348" s="15"/>
      <c r="H2348" s="242" t="s">
        <v>1037</v>
      </c>
      <c r="I2348" s="141">
        <v>121</v>
      </c>
      <c r="J2348" s="141">
        <v>17368</v>
      </c>
      <c r="K2348" s="238">
        <f t="shared" si="184"/>
        <v>2101528</v>
      </c>
      <c r="L2348" s="25" t="s">
        <v>153</v>
      </c>
      <c r="M2348" s="25" t="s">
        <v>147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121"/>
    </row>
    <row r="2349" spans="1:26" ht="15.75" customHeight="1">
      <c r="A2349" s="125" t="str">
        <f>IF(B2349&lt;&gt;"",IF(AND(B2349&gt;=_TM1,B2349&lt;=_TM2,OR(TH!L2349="1111",TH!M2349="1111")),TH!D2349,""),"")</f>
        <v/>
      </c>
      <c r="B2349" s="11">
        <f t="shared" si="185"/>
        <v>11</v>
      </c>
      <c r="C2349" s="115">
        <f t="shared" si="183"/>
        <v>40867</v>
      </c>
      <c r="D2349" s="324" t="s">
        <v>1055</v>
      </c>
      <c r="E2349" s="303">
        <v>40867</v>
      </c>
      <c r="F2349" s="15" t="s">
        <v>621</v>
      </c>
      <c r="G2349" s="15"/>
      <c r="H2349" s="242" t="s">
        <v>1037</v>
      </c>
      <c r="I2349" s="141">
        <v>111</v>
      </c>
      <c r="J2349" s="141">
        <v>30158</v>
      </c>
      <c r="K2349" s="238">
        <f t="shared" si="184"/>
        <v>3347538</v>
      </c>
      <c r="L2349" s="25" t="s">
        <v>153</v>
      </c>
      <c r="M2349" s="25" t="s">
        <v>147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121"/>
    </row>
    <row r="2350" spans="1:26" ht="15.75" customHeight="1">
      <c r="A2350" s="125" t="str">
        <f>IF(B2350&lt;&gt;"",IF(AND(B2350&gt;=_TM1,B2350&lt;=_TM2,OR(TH!L2350="1111",TH!M2350="1111")),TH!D2350,""),"")</f>
        <v/>
      </c>
      <c r="B2350" s="11">
        <f t="shared" si="185"/>
        <v>11</v>
      </c>
      <c r="C2350" s="115">
        <f t="shared" si="183"/>
        <v>40867</v>
      </c>
      <c r="D2350" s="324" t="s">
        <v>1055</v>
      </c>
      <c r="E2350" s="303">
        <v>40867</v>
      </c>
      <c r="F2350" s="15" t="s">
        <v>617</v>
      </c>
      <c r="G2350" s="15"/>
      <c r="H2350" s="242" t="s">
        <v>1037</v>
      </c>
      <c r="I2350" s="141">
        <v>60.5</v>
      </c>
      <c r="J2350" s="141">
        <v>31752</v>
      </c>
      <c r="K2350" s="238">
        <f t="shared" ref="K2350:K2352" si="186">ROUND(I2350*J2350,0)</f>
        <v>1920996</v>
      </c>
      <c r="L2350" s="25" t="s">
        <v>153</v>
      </c>
      <c r="M2350" s="25" t="s">
        <v>147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121"/>
    </row>
    <row r="2351" spans="1:26" ht="15.75" customHeight="1">
      <c r="A2351" s="125" t="str">
        <f>IF(B2351&lt;&gt;"",IF(AND(B2351&gt;=_TM1,B2351&lt;=_TM2,OR(TH!L2351="1111",TH!M2351="1111")),TH!D2351,""),"")</f>
        <v/>
      </c>
      <c r="B2351" s="11">
        <f t="shared" si="185"/>
        <v>11</v>
      </c>
      <c r="C2351" s="115">
        <f t="shared" si="183"/>
        <v>40867</v>
      </c>
      <c r="D2351" s="324" t="s">
        <v>1055</v>
      </c>
      <c r="E2351" s="303">
        <v>40867</v>
      </c>
      <c r="F2351" s="15" t="s">
        <v>617</v>
      </c>
      <c r="G2351" s="15"/>
      <c r="H2351" s="242" t="s">
        <v>1037</v>
      </c>
      <c r="I2351" s="141">
        <v>50.5</v>
      </c>
      <c r="J2351" s="141">
        <v>31752</v>
      </c>
      <c r="K2351" s="238">
        <f t="shared" si="186"/>
        <v>1603476</v>
      </c>
      <c r="L2351" s="25" t="s">
        <v>153</v>
      </c>
      <c r="M2351" s="25" t="s">
        <v>147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121"/>
    </row>
    <row r="2352" spans="1:26" ht="15.75" customHeight="1">
      <c r="A2352" s="125" t="str">
        <f>IF(B2352&lt;&gt;"",IF(AND(B2352&gt;=_TM1,B2352&lt;=_TM2,OR(TH!L2352="1111",TH!M2352="1111")),TH!D2352,""),"")</f>
        <v/>
      </c>
      <c r="B2352" s="11">
        <f t="shared" si="185"/>
        <v>11</v>
      </c>
      <c r="C2352" s="115">
        <f t="shared" si="183"/>
        <v>40867</v>
      </c>
      <c r="D2352" s="324" t="s">
        <v>1055</v>
      </c>
      <c r="E2352" s="303">
        <v>40867</v>
      </c>
      <c r="F2352" s="114" t="s">
        <v>364</v>
      </c>
      <c r="G2352" s="15"/>
      <c r="H2352" s="242" t="s">
        <v>1037</v>
      </c>
      <c r="I2352" s="315">
        <v>23</v>
      </c>
      <c r="J2352" s="141">
        <v>4449</v>
      </c>
      <c r="K2352" s="238">
        <f t="shared" si="186"/>
        <v>102327</v>
      </c>
      <c r="L2352" s="25" t="s">
        <v>153</v>
      </c>
      <c r="M2352" s="25" t="s">
        <v>147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>x</v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121"/>
    </row>
    <row r="2353" spans="1:26" ht="15.75" customHeight="1">
      <c r="A2353" s="125" t="str">
        <f>IF(B2353&lt;&gt;"",IF(AND(B2353&gt;=_TM1,B2353&lt;=_TM2,OR(TH!L2353="1111",TH!M2353="1111")),TH!D2353,""),"")</f>
        <v>C14</v>
      </c>
      <c r="B2353" s="11">
        <f t="shared" si="185"/>
        <v>11</v>
      </c>
      <c r="C2353" s="110">
        <v>40868</v>
      </c>
      <c r="D2353" s="115" t="s">
        <v>639</v>
      </c>
      <c r="E2353" s="355">
        <v>40868</v>
      </c>
      <c r="F2353" s="114" t="s">
        <v>339</v>
      </c>
      <c r="G2353" s="240" t="s">
        <v>307</v>
      </c>
      <c r="H2353" s="117" t="s">
        <v>340</v>
      </c>
      <c r="I2353" s="141"/>
      <c r="J2353" s="141"/>
      <c r="K2353" s="238">
        <v>6000000</v>
      </c>
      <c r="L2353" s="239" t="s">
        <v>23</v>
      </c>
      <c r="M2353" s="239" t="s">
        <v>44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121"/>
    </row>
    <row r="2354" spans="1:26" ht="15.75" customHeight="1">
      <c r="A2354" s="125" t="str">
        <f>IF(B2354&lt;&gt;"",IF(AND(B2354&gt;=_TM1,B2354&lt;=_TM2,OR(TH!L2354="1111",TH!M2354="1111")),TH!D2354,""),"")</f>
        <v/>
      </c>
      <c r="B2354" s="11">
        <f t="shared" si="185"/>
        <v>11</v>
      </c>
      <c r="C2354" s="110">
        <v>40868</v>
      </c>
      <c r="D2354" s="110" t="s">
        <v>311</v>
      </c>
      <c r="E2354" s="355">
        <v>40868</v>
      </c>
      <c r="F2354" s="114" t="s">
        <v>344</v>
      </c>
      <c r="G2354" s="240" t="s">
        <v>307</v>
      </c>
      <c r="H2354" s="4" t="s">
        <v>536</v>
      </c>
      <c r="I2354" s="141"/>
      <c r="J2354" s="141"/>
      <c r="K2354" s="238">
        <v>20000000</v>
      </c>
      <c r="L2354" s="239" t="s">
        <v>8</v>
      </c>
      <c r="M2354" s="239" t="s">
        <v>23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121"/>
    </row>
    <row r="2355" spans="1:26" ht="15.75" customHeight="1">
      <c r="A2355" s="125">
        <f>IF(B2355&lt;&gt;"",IF(AND(B2355&gt;=_TM1,B2355&lt;=_TM2,OR(TH!L2355="1111",TH!M2355="1111")),TH!D2355,""),"")</f>
        <v>0</v>
      </c>
      <c r="B2355" s="11">
        <f t="shared" ref="B2355" si="187">IF(C2355&lt;&gt;"",MONTH(C2355),"")</f>
        <v>11</v>
      </c>
      <c r="C2355" s="110">
        <v>40868</v>
      </c>
      <c r="D2355" s="110"/>
      <c r="E2355" s="355">
        <v>40868</v>
      </c>
      <c r="F2355" s="114" t="s">
        <v>344</v>
      </c>
      <c r="G2355" s="240"/>
      <c r="H2355" s="4" t="s">
        <v>536</v>
      </c>
      <c r="I2355" s="141"/>
      <c r="J2355" s="141"/>
      <c r="K2355" s="238">
        <v>4000367</v>
      </c>
      <c r="L2355" s="239" t="s">
        <v>8</v>
      </c>
      <c r="M2355" s="239" t="s">
        <v>44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121"/>
    </row>
    <row r="2356" spans="1:26" ht="15.75" customHeight="1">
      <c r="A2356" s="125" t="str">
        <f>IF(B2356&lt;&gt;"",IF(AND(B2356&gt;=_TM1,B2356&lt;=_TM2,OR(TH!L2356="1111",TH!M2356="1111")),TH!D2356,""),"")</f>
        <v/>
      </c>
      <c r="B2356" s="11">
        <f t="shared" si="185"/>
        <v>11</v>
      </c>
      <c r="C2356" s="110">
        <v>40868</v>
      </c>
      <c r="D2356" s="110" t="s">
        <v>311</v>
      </c>
      <c r="E2356" s="355">
        <v>40868</v>
      </c>
      <c r="F2356" s="114" t="s">
        <v>347</v>
      </c>
      <c r="G2356" s="240" t="s">
        <v>307</v>
      </c>
      <c r="H2356" s="4"/>
      <c r="I2356" s="141"/>
      <c r="J2356" s="141"/>
      <c r="K2356" s="238">
        <v>9091</v>
      </c>
      <c r="L2356" s="239" t="s">
        <v>73</v>
      </c>
      <c r="M2356" s="239" t="s">
        <v>23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>x</v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121">
        <v>11</v>
      </c>
    </row>
    <row r="2357" spans="1:26" ht="15.75" customHeight="1">
      <c r="A2357" s="125" t="str">
        <f>IF(B2357&lt;&gt;"",IF(AND(B2357&gt;=_TM1,B2357&lt;=_TM2,OR(TH!L2357="1111",TH!M2357="1111")),TH!D2357,""),"")</f>
        <v/>
      </c>
      <c r="B2357" s="11">
        <f t="shared" si="185"/>
        <v>11</v>
      </c>
      <c r="C2357" s="110">
        <v>40868</v>
      </c>
      <c r="D2357" s="110" t="s">
        <v>311</v>
      </c>
      <c r="E2357" s="355">
        <v>40868</v>
      </c>
      <c r="F2357" s="114" t="s">
        <v>1378</v>
      </c>
      <c r="G2357" s="240" t="s">
        <v>307</v>
      </c>
      <c r="H2357" s="4"/>
      <c r="I2357" s="141"/>
      <c r="J2357" s="141"/>
      <c r="K2357" s="238">
        <v>909</v>
      </c>
      <c r="L2357" s="239" t="s">
        <v>9</v>
      </c>
      <c r="M2357" s="239" t="s">
        <v>23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121">
        <v>11</v>
      </c>
    </row>
    <row r="2358" spans="1:26" ht="15.75" customHeight="1">
      <c r="A2358" s="125" t="str">
        <f>IF(B2358&lt;&gt;"",IF(AND(B2358&gt;=_TM1,B2358&lt;=_TM2,OR(TH!L2358="1111",TH!M2358="1111")),TH!D2358,""),"")</f>
        <v/>
      </c>
      <c r="B2358" s="11">
        <f t="shared" si="185"/>
        <v>11</v>
      </c>
      <c r="C2358" s="110">
        <v>40868</v>
      </c>
      <c r="D2358" s="110" t="s">
        <v>311</v>
      </c>
      <c r="E2358" s="355">
        <v>40868</v>
      </c>
      <c r="F2358" s="114" t="s">
        <v>313</v>
      </c>
      <c r="G2358" s="240" t="s">
        <v>307</v>
      </c>
      <c r="H2358" s="4"/>
      <c r="I2358" s="141"/>
      <c r="J2358" s="141"/>
      <c r="K2358" s="238">
        <v>9091</v>
      </c>
      <c r="L2358" s="239" t="s">
        <v>73</v>
      </c>
      <c r="M2358" s="239" t="s">
        <v>23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>x</v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121">
        <v>11</v>
      </c>
    </row>
    <row r="2359" spans="1:26" ht="15.75" customHeight="1">
      <c r="A2359" s="125" t="str">
        <f>IF(B2359&lt;&gt;"",IF(AND(B2359&gt;=_TM1,B2359&lt;=_TM2,OR(TH!L2359="1111",TH!M2359="1111")),TH!D2359,""),"")</f>
        <v/>
      </c>
      <c r="B2359" s="11">
        <f t="shared" si="185"/>
        <v>11</v>
      </c>
      <c r="C2359" s="110">
        <v>40868</v>
      </c>
      <c r="D2359" s="110" t="s">
        <v>311</v>
      </c>
      <c r="E2359" s="355">
        <v>40868</v>
      </c>
      <c r="F2359" s="114" t="s">
        <v>1379</v>
      </c>
      <c r="G2359" s="240" t="s">
        <v>307</v>
      </c>
      <c r="H2359" s="4"/>
      <c r="I2359" s="141"/>
      <c r="J2359" s="141"/>
      <c r="K2359" s="238">
        <v>909</v>
      </c>
      <c r="L2359" s="239" t="s">
        <v>9</v>
      </c>
      <c r="M2359" s="239" t="s">
        <v>23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121">
        <v>11</v>
      </c>
    </row>
    <row r="2360" spans="1:26" ht="15.75" customHeight="1">
      <c r="A2360" s="125" t="str">
        <f>IF(B2360&lt;&gt;"",IF(AND(B2360&gt;=_TM1,B2360&lt;=_TM2,OR(TH!L2360="1111",TH!M2360="1111")),TH!D2360,""),"")</f>
        <v>C15</v>
      </c>
      <c r="B2360" s="11">
        <f t="shared" si="185"/>
        <v>11</v>
      </c>
      <c r="C2360" s="115">
        <v>40868</v>
      </c>
      <c r="D2360" s="115" t="s">
        <v>641</v>
      </c>
      <c r="E2360" s="345">
        <v>40868</v>
      </c>
      <c r="F2360" s="116" t="s">
        <v>481</v>
      </c>
      <c r="G2360" s="224" t="s">
        <v>1221</v>
      </c>
      <c r="H2360" s="4" t="s">
        <v>348</v>
      </c>
      <c r="I2360" s="141">
        <v>20</v>
      </c>
      <c r="J2360" s="141">
        <v>68000</v>
      </c>
      <c r="K2360" s="238">
        <v>1360000</v>
      </c>
      <c r="L2360" s="118" t="s">
        <v>153</v>
      </c>
      <c r="M2360" s="118" t="s">
        <v>44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121">
        <v>11</v>
      </c>
    </row>
    <row r="2361" spans="1:26" ht="15.75" customHeight="1">
      <c r="A2361" s="125" t="str">
        <f>IF(B2361&lt;&gt;"",IF(AND(B2361&gt;=_TM1,B2361&lt;=_TM2,OR(TH!L2361="1111",TH!M2361="1111")),TH!D2361,""),"")</f>
        <v>C15</v>
      </c>
      <c r="B2361" s="11">
        <f t="shared" si="185"/>
        <v>11</v>
      </c>
      <c r="C2361" s="115">
        <v>40868</v>
      </c>
      <c r="D2361" s="115" t="s">
        <v>641</v>
      </c>
      <c r="E2361" s="345">
        <v>40868</v>
      </c>
      <c r="F2361" s="116" t="s">
        <v>1110</v>
      </c>
      <c r="G2361" s="224" t="s">
        <v>1221</v>
      </c>
      <c r="H2361" s="4" t="s">
        <v>348</v>
      </c>
      <c r="I2361" s="141"/>
      <c r="J2361" s="141"/>
      <c r="K2361" s="13">
        <v>136000</v>
      </c>
      <c r="L2361" s="118" t="s">
        <v>9</v>
      </c>
      <c r="M2361" s="118" t="s">
        <v>44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121">
        <v>11</v>
      </c>
    </row>
    <row r="2362" spans="1:26" ht="15.75" customHeight="1">
      <c r="A2362" s="125" t="str">
        <f>IF(B2362&lt;&gt;"",IF(AND(B2362&gt;=_TM1,B2362&lt;=_TM2,OR(TH!L2362="1111",TH!M2362="1111")),TH!D2362,""),"")</f>
        <v/>
      </c>
      <c r="B2362" s="11">
        <f t="shared" si="185"/>
        <v>11</v>
      </c>
      <c r="C2362" s="115">
        <v>40870</v>
      </c>
      <c r="D2362" s="115" t="s">
        <v>674</v>
      </c>
      <c r="E2362" s="345">
        <v>40870</v>
      </c>
      <c r="F2362" s="116" t="s">
        <v>625</v>
      </c>
      <c r="G2362" s="224" t="s">
        <v>1222</v>
      </c>
      <c r="H2362" s="117" t="s">
        <v>536</v>
      </c>
      <c r="I2362" s="141">
        <v>740</v>
      </c>
      <c r="J2362" s="141">
        <v>19365</v>
      </c>
      <c r="K2362" s="238">
        <v>14330100</v>
      </c>
      <c r="L2362" s="118" t="s">
        <v>147</v>
      </c>
      <c r="M2362" s="118" t="s">
        <v>8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121">
        <v>11</v>
      </c>
    </row>
    <row r="2363" spans="1:26" ht="15.75" customHeight="1">
      <c r="A2363" s="125" t="str">
        <f>IF(B2363&lt;&gt;"",IF(AND(B2363&gt;=_TM1,B2363&lt;=_TM2,OR(TH!L2363="1111",TH!M2363="1111")),TH!D2363,""),"")</f>
        <v/>
      </c>
      <c r="B2363" s="11">
        <f t="shared" si="185"/>
        <v>11</v>
      </c>
      <c r="C2363" s="115">
        <v>40870</v>
      </c>
      <c r="D2363" s="115" t="s">
        <v>674</v>
      </c>
      <c r="E2363" s="345">
        <v>40870</v>
      </c>
      <c r="F2363" s="116" t="s">
        <v>537</v>
      </c>
      <c r="G2363" s="224" t="s">
        <v>1222</v>
      </c>
      <c r="H2363" s="117" t="s">
        <v>536</v>
      </c>
      <c r="I2363" s="141"/>
      <c r="J2363" s="141"/>
      <c r="K2363" s="13">
        <v>1433010</v>
      </c>
      <c r="L2363" s="118" t="s">
        <v>9</v>
      </c>
      <c r="M2363" s="118" t="s">
        <v>8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121">
        <v>11</v>
      </c>
    </row>
    <row r="2364" spans="1:26" ht="15.75" customHeight="1">
      <c r="A2364" s="125" t="str">
        <f>IF(B2364&lt;&gt;"",IF(AND(B2364&gt;=_TM1,B2364&lt;=_TM2,OR(TH!L2364="1111",TH!M2364="1111")),TH!D2364,""),"")</f>
        <v>NL/N01</v>
      </c>
      <c r="B2364" s="11">
        <f t="shared" ref="B2364" si="188">IF(C2364&lt;&gt;"",MONTH(C2364),"")</f>
        <v>11</v>
      </c>
      <c r="C2364" s="115">
        <v>40870</v>
      </c>
      <c r="D2364" s="115" t="s">
        <v>674</v>
      </c>
      <c r="E2364" s="345">
        <v>40870</v>
      </c>
      <c r="F2364" s="114" t="s">
        <v>344</v>
      </c>
      <c r="G2364" s="224" t="s">
        <v>1222</v>
      </c>
      <c r="H2364" s="4" t="s">
        <v>536</v>
      </c>
      <c r="I2364" s="141"/>
      <c r="J2364" s="141"/>
      <c r="K2364" s="238">
        <v>15763110</v>
      </c>
      <c r="L2364" s="239" t="s">
        <v>8</v>
      </c>
      <c r="M2364" s="239" t="s">
        <v>44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121"/>
    </row>
    <row r="2365" spans="1:26" ht="15.75" customHeight="1">
      <c r="A2365" s="125" t="str">
        <f>IF(B2365&lt;&gt;"",IF(AND(B2365&gt;=_TM1,B2365&lt;=_TM2,OR(TH!L2365="1111",TH!M2365="1111")),TH!D2365,""),"")</f>
        <v/>
      </c>
      <c r="B2365" s="11">
        <f t="shared" si="185"/>
        <v>11</v>
      </c>
      <c r="C2365" s="115">
        <v>40870</v>
      </c>
      <c r="D2365" s="115" t="s">
        <v>919</v>
      </c>
      <c r="E2365" s="345">
        <v>40870</v>
      </c>
      <c r="F2365" s="116" t="s">
        <v>1274</v>
      </c>
      <c r="G2365" s="224" t="s">
        <v>1275</v>
      </c>
      <c r="H2365" s="117" t="s">
        <v>711</v>
      </c>
      <c r="I2365" s="141">
        <v>121</v>
      </c>
      <c r="J2365" s="141">
        <v>18100</v>
      </c>
      <c r="K2365" s="238">
        <v>2190100</v>
      </c>
      <c r="L2365" s="118" t="s">
        <v>237</v>
      </c>
      <c r="M2365" s="118" t="s">
        <v>163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121"/>
    </row>
    <row r="2366" spans="1:26" ht="15.75" customHeight="1">
      <c r="A2366" s="125" t="str">
        <f>IF(B2366&lt;&gt;"",IF(AND(B2366&gt;=_TM1,B2366&lt;=_TM2,OR(TH!L2366="1111",TH!M2366="1111")),TH!D2366,""),"")</f>
        <v/>
      </c>
      <c r="B2366" s="11">
        <f t="shared" si="185"/>
        <v>11</v>
      </c>
      <c r="C2366" s="115">
        <v>40870</v>
      </c>
      <c r="D2366" s="115" t="s">
        <v>919</v>
      </c>
      <c r="E2366" s="345">
        <v>40870</v>
      </c>
      <c r="F2366" s="116" t="s">
        <v>1276</v>
      </c>
      <c r="G2366" s="224" t="s">
        <v>1275</v>
      </c>
      <c r="H2366" s="117" t="s">
        <v>711</v>
      </c>
      <c r="I2366" s="141">
        <v>101</v>
      </c>
      <c r="J2366" s="141">
        <v>23260</v>
      </c>
      <c r="K2366" s="238">
        <v>2349260</v>
      </c>
      <c r="L2366" s="118" t="s">
        <v>237</v>
      </c>
      <c r="M2366" s="118" t="s">
        <v>163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121"/>
    </row>
    <row r="2367" spans="1:26" ht="15.75" customHeight="1">
      <c r="A2367" s="125" t="str">
        <f>IF(B2367&lt;&gt;"",IF(AND(B2367&gt;=_TM1,B2367&lt;=_TM2,OR(TH!L2367="1111",TH!M2367="1111")),TH!D2367,""),"")</f>
        <v/>
      </c>
      <c r="B2367" s="11">
        <f t="shared" si="185"/>
        <v>11</v>
      </c>
      <c r="C2367" s="115">
        <v>40870</v>
      </c>
      <c r="D2367" s="115" t="s">
        <v>919</v>
      </c>
      <c r="E2367" s="345">
        <v>40870</v>
      </c>
      <c r="F2367" s="116" t="s">
        <v>1277</v>
      </c>
      <c r="G2367" s="224" t="s">
        <v>1275</v>
      </c>
      <c r="H2367" s="117" t="s">
        <v>711</v>
      </c>
      <c r="I2367" s="141">
        <v>121</v>
      </c>
      <c r="J2367" s="141">
        <v>20090</v>
      </c>
      <c r="K2367" s="238">
        <v>2430890</v>
      </c>
      <c r="L2367" s="118" t="s">
        <v>237</v>
      </c>
      <c r="M2367" s="118" t="s">
        <v>163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121"/>
    </row>
    <row r="2368" spans="1:26" ht="15.75" customHeight="1">
      <c r="A2368" s="125" t="str">
        <f>IF(B2368&lt;&gt;"",IF(AND(B2368&gt;=_TM1,B2368&lt;=_TM2,OR(TH!L2368="1111",TH!M2368="1111")),TH!D2368,""),"")</f>
        <v/>
      </c>
      <c r="B2368" s="11">
        <f t="shared" si="185"/>
        <v>11</v>
      </c>
      <c r="C2368" s="115">
        <v>40870</v>
      </c>
      <c r="D2368" s="115" t="s">
        <v>919</v>
      </c>
      <c r="E2368" s="345">
        <v>40870</v>
      </c>
      <c r="F2368" s="116" t="s">
        <v>1278</v>
      </c>
      <c r="G2368" s="224" t="s">
        <v>1275</v>
      </c>
      <c r="H2368" s="117" t="s">
        <v>711</v>
      </c>
      <c r="I2368" s="141">
        <v>222</v>
      </c>
      <c r="J2368" s="141">
        <v>18170</v>
      </c>
      <c r="K2368" s="238">
        <v>4033740</v>
      </c>
      <c r="L2368" s="118" t="s">
        <v>237</v>
      </c>
      <c r="M2368" s="118" t="s">
        <v>163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121"/>
    </row>
    <row r="2369" spans="1:26" ht="15.75" customHeight="1">
      <c r="A2369" s="125" t="str">
        <f>IF(B2369&lt;&gt;"",IF(AND(B2369&gt;=_TM1,B2369&lt;=_TM2,OR(TH!L2369="1111",TH!M2369="1111")),TH!D2369,""),"")</f>
        <v/>
      </c>
      <c r="B2369" s="11">
        <f t="shared" si="185"/>
        <v>11</v>
      </c>
      <c r="C2369" s="115">
        <v>40870</v>
      </c>
      <c r="D2369" s="115" t="s">
        <v>919</v>
      </c>
      <c r="E2369" s="345">
        <v>40870</v>
      </c>
      <c r="F2369" s="116" t="s">
        <v>1279</v>
      </c>
      <c r="G2369" s="224" t="s">
        <v>1275</v>
      </c>
      <c r="H2369" s="117" t="s">
        <v>711</v>
      </c>
      <c r="I2369" s="141">
        <v>121</v>
      </c>
      <c r="J2369" s="141">
        <v>19420</v>
      </c>
      <c r="K2369" s="238">
        <v>2349820</v>
      </c>
      <c r="L2369" s="118" t="s">
        <v>237</v>
      </c>
      <c r="M2369" s="118" t="s">
        <v>163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121"/>
    </row>
    <row r="2370" spans="1:26" ht="15.75" customHeight="1">
      <c r="A2370" s="125" t="str">
        <f>IF(B2370&lt;&gt;"",IF(AND(B2370&gt;=_TM1,B2370&lt;=_TM2,OR(TH!L2370="1111",TH!M2370="1111")),TH!D2370,""),"")</f>
        <v/>
      </c>
      <c r="B2370" s="11">
        <f t="shared" si="185"/>
        <v>11</v>
      </c>
      <c r="C2370" s="115">
        <v>40870</v>
      </c>
      <c r="D2370" s="115" t="s">
        <v>919</v>
      </c>
      <c r="E2370" s="345">
        <v>40870</v>
      </c>
      <c r="F2370" s="116" t="s">
        <v>1280</v>
      </c>
      <c r="G2370" s="224" t="s">
        <v>1275</v>
      </c>
      <c r="H2370" s="117" t="s">
        <v>711</v>
      </c>
      <c r="I2370" s="141">
        <v>101</v>
      </c>
      <c r="J2370" s="141">
        <v>19450</v>
      </c>
      <c r="K2370" s="238">
        <v>1964450</v>
      </c>
      <c r="L2370" s="118" t="s">
        <v>237</v>
      </c>
      <c r="M2370" s="118" t="s">
        <v>163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121"/>
    </row>
    <row r="2371" spans="1:26" ht="15.75" customHeight="1">
      <c r="A2371" s="125" t="str">
        <f>IF(B2371&lt;&gt;"",IF(AND(B2371&gt;=_TM1,B2371&lt;=_TM2,OR(TH!L2371="1111",TH!M2371="1111")),TH!D2371,""),"")</f>
        <v/>
      </c>
      <c r="B2371" s="11">
        <f t="shared" si="185"/>
        <v>11</v>
      </c>
      <c r="C2371" s="115">
        <v>40870</v>
      </c>
      <c r="D2371" s="115" t="s">
        <v>919</v>
      </c>
      <c r="E2371" s="345">
        <v>40870</v>
      </c>
      <c r="F2371" s="116" t="s">
        <v>1281</v>
      </c>
      <c r="G2371" s="224" t="s">
        <v>1275</v>
      </c>
      <c r="H2371" s="117" t="s">
        <v>711</v>
      </c>
      <c r="I2371" s="141">
        <v>442</v>
      </c>
      <c r="J2371" s="141">
        <v>1150</v>
      </c>
      <c r="K2371" s="238">
        <v>508300</v>
      </c>
      <c r="L2371" s="118" t="s">
        <v>237</v>
      </c>
      <c r="M2371" s="118" t="s">
        <v>163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121"/>
    </row>
    <row r="2372" spans="1:26" ht="15.75" customHeight="1">
      <c r="A2372" s="125" t="str">
        <f>IF(B2372&lt;&gt;"",IF(AND(B2372&gt;=_TM1,B2372&lt;=_TM2,OR(TH!L2372="1111",TH!M2372="1111")),TH!D2372,""),"")</f>
        <v/>
      </c>
      <c r="B2372" s="11">
        <f t="shared" si="185"/>
        <v>11</v>
      </c>
      <c r="C2372" s="115">
        <v>40870</v>
      </c>
      <c r="D2372" s="115" t="s">
        <v>919</v>
      </c>
      <c r="E2372" s="345">
        <v>40870</v>
      </c>
      <c r="F2372" s="116" t="s">
        <v>1282</v>
      </c>
      <c r="G2372" s="224" t="s">
        <v>1275</v>
      </c>
      <c r="H2372" s="117" t="s">
        <v>711</v>
      </c>
      <c r="I2372" s="141"/>
      <c r="J2372" s="141"/>
      <c r="K2372" s="238">
        <v>1582656</v>
      </c>
      <c r="L2372" s="118" t="s">
        <v>237</v>
      </c>
      <c r="M2372" s="118" t="s">
        <v>707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121"/>
    </row>
    <row r="2373" spans="1:26" ht="15.75" customHeight="1">
      <c r="A2373" s="125" t="str">
        <f>IF(B2373&lt;&gt;"",IF(AND(B2373&gt;=_TM1,B2373&lt;=_TM2,OR(TH!L2373="1111",TH!M2373="1111")),TH!D2373,""),"")</f>
        <v/>
      </c>
      <c r="B2373" s="281">
        <f t="shared" si="185"/>
        <v>11</v>
      </c>
      <c r="C2373" s="324">
        <f t="shared" ref="C2373:C2386" si="189">E2373</f>
        <v>40870</v>
      </c>
      <c r="D2373" s="21" t="s">
        <v>1156</v>
      </c>
      <c r="E2373" s="333">
        <v>40870</v>
      </c>
      <c r="F2373" s="22" t="s">
        <v>1274</v>
      </c>
      <c r="G2373" s="22"/>
      <c r="H2373" s="332" t="s">
        <v>1037</v>
      </c>
      <c r="I2373" s="139">
        <v>121</v>
      </c>
      <c r="J2373" s="139">
        <v>16502.119756093376</v>
      </c>
      <c r="K2373" s="285">
        <f t="shared" ref="K2373:K2386" si="190">ROUND(I2373*J2373,0)</f>
        <v>1996756</v>
      </c>
      <c r="L2373" s="25" t="s">
        <v>155</v>
      </c>
      <c r="M2373" s="25" t="s">
        <v>153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308"/>
    </row>
    <row r="2374" spans="1:26" ht="15.75" customHeight="1">
      <c r="A2374" s="125" t="str">
        <f>IF(B2374&lt;&gt;"",IF(AND(B2374&gt;=_TM1,B2374&lt;=_TM2,OR(TH!L2374="1111",TH!M2374="1111")),TH!D2374,""),"")</f>
        <v/>
      </c>
      <c r="B2374" s="281">
        <f t="shared" si="185"/>
        <v>11</v>
      </c>
      <c r="C2374" s="324">
        <f t="shared" si="189"/>
        <v>40870</v>
      </c>
      <c r="D2374" s="21" t="s">
        <v>1156</v>
      </c>
      <c r="E2374" s="333">
        <v>40870</v>
      </c>
      <c r="F2374" s="22" t="s">
        <v>1276</v>
      </c>
      <c r="G2374" s="22"/>
      <c r="H2374" s="332" t="s">
        <v>1037</v>
      </c>
      <c r="I2374" s="139">
        <v>101</v>
      </c>
      <c r="J2374" s="139">
        <v>18453.448779904851</v>
      </c>
      <c r="K2374" s="285">
        <f t="shared" si="190"/>
        <v>1863798</v>
      </c>
      <c r="L2374" s="25" t="s">
        <v>155</v>
      </c>
      <c r="M2374" s="25" t="s">
        <v>153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308"/>
    </row>
    <row r="2375" spans="1:26" ht="15.75" customHeight="1">
      <c r="A2375" s="125" t="str">
        <f>IF(B2375&lt;&gt;"",IF(AND(B2375&gt;=_TM1,B2375&lt;=_TM2,OR(TH!L2375="1111",TH!M2375="1111")),TH!D2375,""),"")</f>
        <v/>
      </c>
      <c r="B2375" s="281">
        <f t="shared" si="185"/>
        <v>11</v>
      </c>
      <c r="C2375" s="324">
        <f t="shared" si="189"/>
        <v>40870</v>
      </c>
      <c r="D2375" s="21" t="s">
        <v>1156</v>
      </c>
      <c r="E2375" s="333">
        <v>40870</v>
      </c>
      <c r="F2375" s="22" t="s">
        <v>1277</v>
      </c>
      <c r="G2375" s="22"/>
      <c r="H2375" s="332" t="s">
        <v>1037</v>
      </c>
      <c r="I2375" s="139">
        <v>121</v>
      </c>
      <c r="J2375" s="139">
        <v>18666.49992138263</v>
      </c>
      <c r="K2375" s="285">
        <f t="shared" si="190"/>
        <v>2258646</v>
      </c>
      <c r="L2375" s="25" t="s">
        <v>155</v>
      </c>
      <c r="M2375" s="25" t="s">
        <v>153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308"/>
    </row>
    <row r="2376" spans="1:26" ht="15.75" customHeight="1">
      <c r="A2376" s="125" t="str">
        <f>IF(B2376&lt;&gt;"",IF(AND(B2376&gt;=_TM1,B2376&lt;=_TM2,OR(TH!L2376="1111",TH!M2376="1111")),TH!D2376,""),"")</f>
        <v/>
      </c>
      <c r="B2376" s="281">
        <f t="shared" si="185"/>
        <v>11</v>
      </c>
      <c r="C2376" s="324">
        <f t="shared" si="189"/>
        <v>40870</v>
      </c>
      <c r="D2376" s="21" t="s">
        <v>1156</v>
      </c>
      <c r="E2376" s="333">
        <v>40870</v>
      </c>
      <c r="F2376" s="22" t="s">
        <v>1278</v>
      </c>
      <c r="G2376" s="22"/>
      <c r="H2376" s="332" t="s">
        <v>1037</v>
      </c>
      <c r="I2376" s="139">
        <v>222</v>
      </c>
      <c r="J2376" s="139">
        <v>16377.503681340937</v>
      </c>
      <c r="K2376" s="285">
        <f t="shared" si="190"/>
        <v>3635806</v>
      </c>
      <c r="L2376" s="25" t="s">
        <v>155</v>
      </c>
      <c r="M2376" s="25" t="s">
        <v>153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308"/>
    </row>
    <row r="2377" spans="1:26" ht="15.75" customHeight="1">
      <c r="A2377" s="125" t="str">
        <f>IF(B2377&lt;&gt;"",IF(AND(B2377&gt;=_TM1,B2377&lt;=_TM2,OR(TH!L2377="1111",TH!M2377="1111")),TH!D2377,""),"")</f>
        <v/>
      </c>
      <c r="B2377" s="281">
        <f t="shared" si="185"/>
        <v>11</v>
      </c>
      <c r="C2377" s="324">
        <f t="shared" si="189"/>
        <v>40870</v>
      </c>
      <c r="D2377" s="21" t="s">
        <v>1156</v>
      </c>
      <c r="E2377" s="333">
        <v>40870</v>
      </c>
      <c r="F2377" s="22" t="s">
        <v>1279</v>
      </c>
      <c r="G2377" s="22"/>
      <c r="H2377" s="332" t="s">
        <v>1037</v>
      </c>
      <c r="I2377" s="139">
        <v>121</v>
      </c>
      <c r="J2377" s="139">
        <v>17174.499921382634</v>
      </c>
      <c r="K2377" s="285">
        <f t="shared" si="190"/>
        <v>2078114</v>
      </c>
      <c r="L2377" s="25" t="s">
        <v>155</v>
      </c>
      <c r="M2377" s="25" t="s">
        <v>153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308"/>
    </row>
    <row r="2378" spans="1:26" ht="15.75" customHeight="1">
      <c r="A2378" s="125" t="str">
        <f>IF(B2378&lt;&gt;"",IF(AND(B2378&gt;=_TM1,B2378&lt;=_TM2,OR(TH!L2378="1111",TH!M2378="1111")),TH!D2378,""),"")</f>
        <v/>
      </c>
      <c r="B2378" s="281">
        <f t="shared" si="185"/>
        <v>11</v>
      </c>
      <c r="C2378" s="324">
        <f t="shared" si="189"/>
        <v>40870</v>
      </c>
      <c r="D2378" s="21" t="s">
        <v>1156</v>
      </c>
      <c r="E2378" s="333">
        <v>40870</v>
      </c>
      <c r="F2378" s="22" t="s">
        <v>1280</v>
      </c>
      <c r="G2378" s="22"/>
      <c r="H2378" s="332" t="s">
        <v>1037</v>
      </c>
      <c r="I2378" s="139">
        <v>101</v>
      </c>
      <c r="J2378" s="139">
        <v>17174.498284855345</v>
      </c>
      <c r="K2378" s="285">
        <f t="shared" si="190"/>
        <v>1734624</v>
      </c>
      <c r="L2378" s="25" t="s">
        <v>155</v>
      </c>
      <c r="M2378" s="25" t="s">
        <v>153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308"/>
    </row>
    <row r="2379" spans="1:26" ht="15.75" customHeight="1">
      <c r="A2379" s="125" t="str">
        <f>IF(B2379&lt;&gt;"",IF(AND(B2379&gt;=_TM1,B2379&lt;=_TM2,OR(TH!L2379="1111",TH!M2379="1111")),TH!D2379,""),"")</f>
        <v/>
      </c>
      <c r="B2379" s="281">
        <f t="shared" si="185"/>
        <v>11</v>
      </c>
      <c r="C2379" s="324">
        <f t="shared" si="189"/>
        <v>40870</v>
      </c>
      <c r="D2379" s="21" t="s">
        <v>1156</v>
      </c>
      <c r="E2379" s="333">
        <v>40870</v>
      </c>
      <c r="F2379" s="22" t="s">
        <v>1281</v>
      </c>
      <c r="G2379" s="22"/>
      <c r="H2379" s="332" t="s">
        <v>1037</v>
      </c>
      <c r="I2379" s="139">
        <v>442</v>
      </c>
      <c r="J2379" s="139">
        <v>1530.0149731757595</v>
      </c>
      <c r="K2379" s="285">
        <f t="shared" si="190"/>
        <v>676267</v>
      </c>
      <c r="L2379" s="25" t="s">
        <v>155</v>
      </c>
      <c r="M2379" s="25" t="s">
        <v>153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308"/>
    </row>
    <row r="2380" spans="1:26" ht="15.75" customHeight="1">
      <c r="A2380" s="125" t="str">
        <f>IF(B2380&lt;&gt;"",IF(AND(B2380&gt;=_TM1,B2380&lt;=_TM2,OR(TH!L2380="1111",TH!M2380="1111")),TH!D2380,""),"")</f>
        <v/>
      </c>
      <c r="B2380" s="11">
        <f t="shared" si="185"/>
        <v>11</v>
      </c>
      <c r="C2380" s="115">
        <f t="shared" si="189"/>
        <v>40870</v>
      </c>
      <c r="D2380" s="12" t="s">
        <v>919</v>
      </c>
      <c r="E2380" s="303">
        <v>40870</v>
      </c>
      <c r="F2380" s="116" t="s">
        <v>1274</v>
      </c>
      <c r="G2380" s="224" t="s">
        <v>1275</v>
      </c>
      <c r="H2380" s="117" t="s">
        <v>711</v>
      </c>
      <c r="I2380" s="141">
        <v>121</v>
      </c>
      <c r="J2380" s="141">
        <v>16502.119756093376</v>
      </c>
      <c r="K2380" s="330">
        <f t="shared" si="190"/>
        <v>1996756</v>
      </c>
      <c r="L2380" s="319" t="s">
        <v>161</v>
      </c>
      <c r="M2380" s="319" t="s">
        <v>155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121"/>
    </row>
    <row r="2381" spans="1:26" ht="15.75" customHeight="1">
      <c r="A2381" s="125" t="str">
        <f>IF(B2381&lt;&gt;"",IF(AND(B2381&gt;=_TM1,B2381&lt;=_TM2,OR(TH!L2381="1111",TH!M2381="1111")),TH!D2381,""),"")</f>
        <v/>
      </c>
      <c r="B2381" s="11">
        <f t="shared" si="185"/>
        <v>11</v>
      </c>
      <c r="C2381" s="115">
        <f t="shared" si="189"/>
        <v>40870</v>
      </c>
      <c r="D2381" s="12" t="s">
        <v>919</v>
      </c>
      <c r="E2381" s="303">
        <v>40870</v>
      </c>
      <c r="F2381" s="116" t="s">
        <v>1276</v>
      </c>
      <c r="G2381" s="224" t="s">
        <v>1275</v>
      </c>
      <c r="H2381" s="117" t="s">
        <v>711</v>
      </c>
      <c r="I2381" s="141">
        <v>101</v>
      </c>
      <c r="J2381" s="141">
        <v>18453.448779904851</v>
      </c>
      <c r="K2381" s="330">
        <f t="shared" si="190"/>
        <v>1863798</v>
      </c>
      <c r="L2381" s="319" t="s">
        <v>161</v>
      </c>
      <c r="M2381" s="319" t="s">
        <v>155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121"/>
    </row>
    <row r="2382" spans="1:26" ht="15.75" customHeight="1">
      <c r="A2382" s="125" t="str">
        <f>IF(B2382&lt;&gt;"",IF(AND(B2382&gt;=_TM1,B2382&lt;=_TM2,OR(TH!L2382="1111",TH!M2382="1111")),TH!D2382,""),"")</f>
        <v/>
      </c>
      <c r="B2382" s="11">
        <f t="shared" si="185"/>
        <v>11</v>
      </c>
      <c r="C2382" s="115">
        <f t="shared" si="189"/>
        <v>40870</v>
      </c>
      <c r="D2382" s="12" t="s">
        <v>919</v>
      </c>
      <c r="E2382" s="303">
        <v>40870</v>
      </c>
      <c r="F2382" s="116" t="s">
        <v>1277</v>
      </c>
      <c r="G2382" s="224" t="s">
        <v>1275</v>
      </c>
      <c r="H2382" s="117" t="s">
        <v>711</v>
      </c>
      <c r="I2382" s="141">
        <v>121</v>
      </c>
      <c r="J2382" s="141">
        <v>18666.49992138263</v>
      </c>
      <c r="K2382" s="330">
        <f t="shared" si="190"/>
        <v>2258646</v>
      </c>
      <c r="L2382" s="319" t="s">
        <v>161</v>
      </c>
      <c r="M2382" s="319" t="s">
        <v>155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121"/>
    </row>
    <row r="2383" spans="1:26" ht="15.75" customHeight="1">
      <c r="A2383" s="125" t="str">
        <f>IF(B2383&lt;&gt;"",IF(AND(B2383&gt;=_TM1,B2383&lt;=_TM2,OR(TH!L2383="1111",TH!M2383="1111")),TH!D2383,""),"")</f>
        <v/>
      </c>
      <c r="B2383" s="11">
        <f t="shared" si="185"/>
        <v>11</v>
      </c>
      <c r="C2383" s="115">
        <f t="shared" si="189"/>
        <v>40870</v>
      </c>
      <c r="D2383" s="12" t="s">
        <v>919</v>
      </c>
      <c r="E2383" s="303">
        <v>40870</v>
      </c>
      <c r="F2383" s="116" t="s">
        <v>1278</v>
      </c>
      <c r="G2383" s="224" t="s">
        <v>1275</v>
      </c>
      <c r="H2383" s="117" t="s">
        <v>711</v>
      </c>
      <c r="I2383" s="141">
        <v>222</v>
      </c>
      <c r="J2383" s="141">
        <v>16377.503681340937</v>
      </c>
      <c r="K2383" s="330">
        <f t="shared" si="190"/>
        <v>3635806</v>
      </c>
      <c r="L2383" s="319" t="s">
        <v>161</v>
      </c>
      <c r="M2383" s="319" t="s">
        <v>155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121"/>
    </row>
    <row r="2384" spans="1:26" ht="15.75" customHeight="1">
      <c r="A2384" s="125" t="str">
        <f>IF(B2384&lt;&gt;"",IF(AND(B2384&gt;=_TM1,B2384&lt;=_TM2,OR(TH!L2384="1111",TH!M2384="1111")),TH!D2384,""),"")</f>
        <v/>
      </c>
      <c r="B2384" s="11">
        <f t="shared" si="185"/>
        <v>11</v>
      </c>
      <c r="C2384" s="115">
        <f t="shared" si="189"/>
        <v>40870</v>
      </c>
      <c r="D2384" s="12" t="s">
        <v>919</v>
      </c>
      <c r="E2384" s="303">
        <v>40870</v>
      </c>
      <c r="F2384" s="116" t="s">
        <v>1279</v>
      </c>
      <c r="G2384" s="224" t="s">
        <v>1275</v>
      </c>
      <c r="H2384" s="117" t="s">
        <v>711</v>
      </c>
      <c r="I2384" s="141">
        <v>121</v>
      </c>
      <c r="J2384" s="141">
        <v>17174.499921382634</v>
      </c>
      <c r="K2384" s="330">
        <f t="shared" si="190"/>
        <v>2078114</v>
      </c>
      <c r="L2384" s="319" t="s">
        <v>161</v>
      </c>
      <c r="M2384" s="319" t="s">
        <v>155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121"/>
    </row>
    <row r="2385" spans="1:26" ht="15.75" customHeight="1">
      <c r="A2385" s="125" t="str">
        <f>IF(B2385&lt;&gt;"",IF(AND(B2385&gt;=_TM1,B2385&lt;=_TM2,OR(TH!L2385="1111",TH!M2385="1111")),TH!D2385,""),"")</f>
        <v/>
      </c>
      <c r="B2385" s="11">
        <f t="shared" si="185"/>
        <v>11</v>
      </c>
      <c r="C2385" s="115">
        <f t="shared" si="189"/>
        <v>40870</v>
      </c>
      <c r="D2385" s="12" t="s">
        <v>919</v>
      </c>
      <c r="E2385" s="303">
        <v>40870</v>
      </c>
      <c r="F2385" s="116" t="s">
        <v>1280</v>
      </c>
      <c r="G2385" s="224" t="s">
        <v>1275</v>
      </c>
      <c r="H2385" s="117" t="s">
        <v>711</v>
      </c>
      <c r="I2385" s="141">
        <v>101</v>
      </c>
      <c r="J2385" s="141">
        <v>17174.498284855345</v>
      </c>
      <c r="K2385" s="330">
        <f t="shared" si="190"/>
        <v>1734624</v>
      </c>
      <c r="L2385" s="319" t="s">
        <v>161</v>
      </c>
      <c r="M2385" s="319" t="s">
        <v>155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121"/>
    </row>
    <row r="2386" spans="1:26" ht="15.75" customHeight="1">
      <c r="A2386" s="125" t="str">
        <f>IF(B2386&lt;&gt;"",IF(AND(B2386&gt;=_TM1,B2386&lt;=_TM2,OR(TH!L2386="1111",TH!M2386="1111")),TH!D2386,""),"")</f>
        <v/>
      </c>
      <c r="B2386" s="11">
        <f t="shared" si="185"/>
        <v>11</v>
      </c>
      <c r="C2386" s="115">
        <f t="shared" si="189"/>
        <v>40870</v>
      </c>
      <c r="D2386" s="12" t="s">
        <v>919</v>
      </c>
      <c r="E2386" s="303">
        <v>40870</v>
      </c>
      <c r="F2386" s="116" t="s">
        <v>1281</v>
      </c>
      <c r="G2386" s="224" t="s">
        <v>1275</v>
      </c>
      <c r="H2386" s="117" t="s">
        <v>711</v>
      </c>
      <c r="I2386" s="141">
        <v>442</v>
      </c>
      <c r="J2386" s="141">
        <v>1530.0149731757595</v>
      </c>
      <c r="K2386" s="330">
        <f t="shared" si="190"/>
        <v>676267</v>
      </c>
      <c r="L2386" s="319" t="s">
        <v>161</v>
      </c>
      <c r="M2386" s="319" t="s">
        <v>155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121"/>
    </row>
    <row r="2387" spans="1:26" ht="15.75" customHeight="1">
      <c r="A2387" s="125" t="str">
        <f>IF(B2387&lt;&gt;"",IF(AND(B2387&gt;=_TM1,B2387&lt;=_TM2,OR(TH!L2387="1111",TH!M2387="1111")),TH!D2387,""),"")</f>
        <v/>
      </c>
      <c r="B2387" s="11">
        <f t="shared" si="185"/>
        <v>11</v>
      </c>
      <c r="C2387" s="115">
        <v>40871</v>
      </c>
      <c r="D2387" s="115" t="s">
        <v>675</v>
      </c>
      <c r="E2387" s="345">
        <v>40871</v>
      </c>
      <c r="F2387" s="116" t="s">
        <v>625</v>
      </c>
      <c r="G2387" s="224" t="s">
        <v>1223</v>
      </c>
      <c r="H2387" s="117" t="s">
        <v>536</v>
      </c>
      <c r="I2387" s="141">
        <v>720</v>
      </c>
      <c r="J2387" s="141">
        <v>19365</v>
      </c>
      <c r="K2387" s="238">
        <v>13942800</v>
      </c>
      <c r="L2387" s="118" t="s">
        <v>147</v>
      </c>
      <c r="M2387" s="118" t="s">
        <v>8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121">
        <v>11</v>
      </c>
    </row>
    <row r="2388" spans="1:26" ht="15.75" customHeight="1">
      <c r="A2388" s="125" t="str">
        <f>IF(B2388&lt;&gt;"",IF(AND(B2388&gt;=_TM1,B2388&lt;=_TM2,OR(TH!L2388="1111",TH!M2388="1111")),TH!D2388,""),"")</f>
        <v/>
      </c>
      <c r="B2388" s="11">
        <f t="shared" si="185"/>
        <v>11</v>
      </c>
      <c r="C2388" s="115">
        <v>40871</v>
      </c>
      <c r="D2388" s="115" t="s">
        <v>675</v>
      </c>
      <c r="E2388" s="345">
        <v>40871</v>
      </c>
      <c r="F2388" s="116" t="s">
        <v>537</v>
      </c>
      <c r="G2388" s="224" t="s">
        <v>1223</v>
      </c>
      <c r="H2388" s="117" t="s">
        <v>536</v>
      </c>
      <c r="I2388" s="141"/>
      <c r="J2388" s="141"/>
      <c r="K2388" s="13">
        <v>1394280</v>
      </c>
      <c r="L2388" s="118" t="s">
        <v>9</v>
      </c>
      <c r="M2388" s="118" t="s">
        <v>8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121">
        <v>11</v>
      </c>
    </row>
    <row r="2389" spans="1:26" ht="15.75" customHeight="1">
      <c r="A2389" s="125" t="str">
        <f>IF(B2389&lt;&gt;"",IF(AND(B2389&gt;=_TM1,B2389&lt;=_TM2,OR(TH!L2389="1111",TH!M2389="1111")),TH!D2389,""),"")</f>
        <v>NL/N02</v>
      </c>
      <c r="B2389" s="11">
        <f t="shared" ref="B2389" si="191">IF(C2389&lt;&gt;"",MONTH(C2389),"")</f>
        <v>11</v>
      </c>
      <c r="C2389" s="115">
        <v>40871</v>
      </c>
      <c r="D2389" s="115" t="s">
        <v>675</v>
      </c>
      <c r="E2389" s="345">
        <v>40871</v>
      </c>
      <c r="F2389" s="114" t="s">
        <v>344</v>
      </c>
      <c r="G2389" s="224" t="s">
        <v>1223</v>
      </c>
      <c r="H2389" s="4" t="s">
        <v>536</v>
      </c>
      <c r="I2389" s="141"/>
      <c r="J2389" s="141"/>
      <c r="K2389" s="238">
        <v>15337080</v>
      </c>
      <c r="L2389" s="239" t="s">
        <v>8</v>
      </c>
      <c r="M2389" s="239" t="s">
        <v>44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121"/>
    </row>
    <row r="2390" spans="1:26" ht="15.75" customHeight="1">
      <c r="A2390" s="125" t="str">
        <f>IF(B2390&lt;&gt;"",IF(AND(B2390&gt;=_TM1,B2390&lt;=_TM2,OR(TH!L2390="1111",TH!M2390="1111")),TH!D2390,""),"")</f>
        <v>C16</v>
      </c>
      <c r="B2390" s="11">
        <f t="shared" si="185"/>
        <v>11</v>
      </c>
      <c r="C2390" s="115">
        <v>40871</v>
      </c>
      <c r="D2390" s="115" t="s">
        <v>642</v>
      </c>
      <c r="E2390" s="345">
        <v>40871</v>
      </c>
      <c r="F2390" s="116" t="s">
        <v>1224</v>
      </c>
      <c r="G2390" s="224" t="s">
        <v>1225</v>
      </c>
      <c r="H2390" s="4" t="s">
        <v>348</v>
      </c>
      <c r="I2390" s="143">
        <v>20</v>
      </c>
      <c r="J2390" s="143">
        <v>65000</v>
      </c>
      <c r="K2390" s="238">
        <v>1300000</v>
      </c>
      <c r="L2390" s="118" t="s">
        <v>153</v>
      </c>
      <c r="M2390" s="118" t="s">
        <v>44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121">
        <v>11</v>
      </c>
    </row>
    <row r="2391" spans="1:26" ht="15.75" customHeight="1">
      <c r="A2391" s="125" t="str">
        <f>IF(B2391&lt;&gt;"",IF(AND(B2391&gt;=_TM1,B2391&lt;=_TM2,OR(TH!L2391="1111",TH!M2391="1111")),TH!D2391,""),"")</f>
        <v>C16</v>
      </c>
      <c r="B2391" s="11">
        <f t="shared" si="185"/>
        <v>11</v>
      </c>
      <c r="C2391" s="115">
        <v>40871</v>
      </c>
      <c r="D2391" s="115" t="s">
        <v>642</v>
      </c>
      <c r="E2391" s="345">
        <v>40871</v>
      </c>
      <c r="F2391" s="116" t="s">
        <v>1110</v>
      </c>
      <c r="G2391" s="224" t="s">
        <v>1225</v>
      </c>
      <c r="H2391" s="4" t="s">
        <v>348</v>
      </c>
      <c r="I2391" s="143"/>
      <c r="J2391" s="143"/>
      <c r="K2391" s="13">
        <v>130000</v>
      </c>
      <c r="L2391" s="118" t="s">
        <v>9</v>
      </c>
      <c r="M2391" s="118" t="s">
        <v>44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121">
        <v>11</v>
      </c>
    </row>
    <row r="2392" spans="1:26" ht="15.75" customHeight="1">
      <c r="A2392" s="125" t="str">
        <f>IF(B2392&lt;&gt;"",IF(AND(B2392&gt;=_TM1,B2392&lt;=_TM2,OR(TH!L2392="1111",TH!M2392="1111")),TH!D2392,""),"")</f>
        <v/>
      </c>
      <c r="B2392" s="11">
        <f t="shared" si="185"/>
        <v>11</v>
      </c>
      <c r="C2392" s="110">
        <v>40872</v>
      </c>
      <c r="D2392" s="110" t="s">
        <v>310</v>
      </c>
      <c r="E2392" s="355">
        <v>40872</v>
      </c>
      <c r="F2392" s="114" t="s">
        <v>341</v>
      </c>
      <c r="G2392" s="240" t="s">
        <v>307</v>
      </c>
      <c r="H2392" s="4"/>
      <c r="I2392" s="141"/>
      <c r="J2392" s="141"/>
      <c r="K2392" s="238">
        <v>93736</v>
      </c>
      <c r="L2392" s="239" t="s">
        <v>23</v>
      </c>
      <c r="M2392" s="239" t="s">
        <v>37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121"/>
    </row>
    <row r="2393" spans="1:26" ht="15.75" customHeight="1">
      <c r="A2393" s="125" t="str">
        <f>IF(B2393&lt;&gt;"",IF(AND(B2393&gt;=_TM1,B2393&lt;=_TM2,OR(TH!L2393="1111",TH!M2393="1111")),TH!D2393,""),"")</f>
        <v/>
      </c>
      <c r="B2393" s="11">
        <f t="shared" ref="B2393:B2460" si="192">IF(C2393&lt;&gt;"",MONTH(C2393),"")</f>
        <v>11</v>
      </c>
      <c r="C2393" s="115">
        <v>40872</v>
      </c>
      <c r="D2393" s="115" t="s">
        <v>676</v>
      </c>
      <c r="E2393" s="345">
        <v>40872</v>
      </c>
      <c r="F2393" s="116" t="s">
        <v>626</v>
      </c>
      <c r="G2393" s="224" t="s">
        <v>1226</v>
      </c>
      <c r="H2393" s="117" t="s">
        <v>536</v>
      </c>
      <c r="I2393" s="141">
        <v>720</v>
      </c>
      <c r="J2393" s="141">
        <v>16502</v>
      </c>
      <c r="K2393" s="238">
        <v>11881440</v>
      </c>
      <c r="L2393" s="118" t="s">
        <v>147</v>
      </c>
      <c r="M2393" s="118" t="s">
        <v>8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121">
        <v>11</v>
      </c>
    </row>
    <row r="2394" spans="1:26" ht="15.75" customHeight="1">
      <c r="A2394" s="125" t="str">
        <f>IF(B2394&lt;&gt;"",IF(AND(B2394&gt;=_TM1,B2394&lt;=_TM2,OR(TH!L2394="1111",TH!M2394="1111")),TH!D2394,""),"")</f>
        <v/>
      </c>
      <c r="B2394" s="11">
        <f t="shared" si="192"/>
        <v>11</v>
      </c>
      <c r="C2394" s="115">
        <v>40872</v>
      </c>
      <c r="D2394" s="115" t="s">
        <v>676</v>
      </c>
      <c r="E2394" s="345">
        <v>40872</v>
      </c>
      <c r="F2394" s="116" t="s">
        <v>627</v>
      </c>
      <c r="G2394" s="224" t="s">
        <v>1226</v>
      </c>
      <c r="H2394" s="117" t="s">
        <v>536</v>
      </c>
      <c r="I2394" s="141">
        <v>100</v>
      </c>
      <c r="J2394" s="141">
        <v>15443</v>
      </c>
      <c r="K2394" s="238">
        <v>1544300</v>
      </c>
      <c r="L2394" s="118" t="s">
        <v>147</v>
      </c>
      <c r="M2394" s="118" t="s">
        <v>8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121">
        <v>11</v>
      </c>
    </row>
    <row r="2395" spans="1:26" ht="15.75" customHeight="1">
      <c r="A2395" s="125" t="str">
        <f>IF(B2395&lt;&gt;"",IF(AND(B2395&gt;=_TM1,B2395&lt;=_TM2,OR(TH!L2395="1111",TH!M2395="1111")),TH!D2395,""),"")</f>
        <v/>
      </c>
      <c r="B2395" s="11">
        <f t="shared" si="192"/>
        <v>11</v>
      </c>
      <c r="C2395" s="115">
        <v>40872</v>
      </c>
      <c r="D2395" s="115" t="s">
        <v>676</v>
      </c>
      <c r="E2395" s="345">
        <v>40872</v>
      </c>
      <c r="F2395" s="116" t="s">
        <v>628</v>
      </c>
      <c r="G2395" s="224" t="s">
        <v>1226</v>
      </c>
      <c r="H2395" s="117" t="s">
        <v>536</v>
      </c>
      <c r="I2395" s="141">
        <v>255</v>
      </c>
      <c r="J2395" s="141">
        <v>14105</v>
      </c>
      <c r="K2395" s="238">
        <v>3596775</v>
      </c>
      <c r="L2395" s="118" t="s">
        <v>147</v>
      </c>
      <c r="M2395" s="118" t="s">
        <v>8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121">
        <v>11</v>
      </c>
    </row>
    <row r="2396" spans="1:26" ht="15.75" customHeight="1">
      <c r="A2396" s="125" t="str">
        <f>IF(B2396&lt;&gt;"",IF(AND(B2396&gt;=_TM1,B2396&lt;=_TM2,OR(TH!L2396="1111",TH!M2396="1111")),TH!D2396,""),"")</f>
        <v/>
      </c>
      <c r="B2396" s="11">
        <f t="shared" si="192"/>
        <v>11</v>
      </c>
      <c r="C2396" s="115">
        <v>40872</v>
      </c>
      <c r="D2396" s="115" t="s">
        <v>676</v>
      </c>
      <c r="E2396" s="345">
        <v>40872</v>
      </c>
      <c r="F2396" s="116" t="s">
        <v>537</v>
      </c>
      <c r="G2396" s="224" t="s">
        <v>1226</v>
      </c>
      <c r="H2396" s="117" t="s">
        <v>536</v>
      </c>
      <c r="I2396" s="141"/>
      <c r="J2396" s="141"/>
      <c r="K2396" s="13">
        <v>1702252</v>
      </c>
      <c r="L2396" s="118" t="s">
        <v>9</v>
      </c>
      <c r="M2396" s="118" t="s">
        <v>8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121">
        <v>11</v>
      </c>
    </row>
    <row r="2397" spans="1:26" ht="15.75" customHeight="1">
      <c r="A2397" s="125" t="str">
        <f>IF(B2397&lt;&gt;"",IF(AND(B2397&gt;=_TM1,B2397&lt;=_TM2,OR(TH!L2397="1111",TH!M2397="1111")),TH!D2397,""),"")</f>
        <v>NL/N03</v>
      </c>
      <c r="B2397" s="11">
        <f t="shared" ref="B2397" si="193">IF(C2397&lt;&gt;"",MONTH(C2397),"")</f>
        <v>11</v>
      </c>
      <c r="C2397" s="115">
        <v>40872</v>
      </c>
      <c r="D2397" s="115" t="s">
        <v>676</v>
      </c>
      <c r="E2397" s="345">
        <v>40872</v>
      </c>
      <c r="F2397" s="114" t="s">
        <v>344</v>
      </c>
      <c r="G2397" s="224" t="s">
        <v>1226</v>
      </c>
      <c r="H2397" s="117" t="s">
        <v>536</v>
      </c>
      <c r="I2397" s="141"/>
      <c r="J2397" s="141"/>
      <c r="K2397" s="13">
        <v>18724767</v>
      </c>
      <c r="L2397" s="239" t="s">
        <v>8</v>
      </c>
      <c r="M2397" s="239" t="s">
        <v>44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121"/>
    </row>
    <row r="2398" spans="1:26" ht="15.75" customHeight="1">
      <c r="A2398" s="125" t="str">
        <f>IF(B2398&lt;&gt;"",IF(AND(B2398&gt;=_TM1,B2398&lt;=_TM2,OR(TH!L2398="1111",TH!M2398="1111")),TH!D2398,""),"")</f>
        <v/>
      </c>
      <c r="B2398" s="11">
        <f t="shared" si="192"/>
        <v>11</v>
      </c>
      <c r="C2398" s="115">
        <f>E2398</f>
        <v>40872</v>
      </c>
      <c r="D2398" s="324" t="s">
        <v>1056</v>
      </c>
      <c r="E2398" s="303">
        <v>40872</v>
      </c>
      <c r="F2398" s="114" t="s">
        <v>364</v>
      </c>
      <c r="G2398" s="15"/>
      <c r="H2398" s="242" t="s">
        <v>1037</v>
      </c>
      <c r="I2398" s="315">
        <v>13</v>
      </c>
      <c r="J2398" s="141">
        <v>4449</v>
      </c>
      <c r="K2398" s="238">
        <f>ROUND(I2398*J2398,0)</f>
        <v>57837</v>
      </c>
      <c r="L2398" s="25" t="s">
        <v>153</v>
      </c>
      <c r="M2398" s="25" t="s">
        <v>147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>x</v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121"/>
    </row>
    <row r="2399" spans="1:26" ht="15.75" customHeight="1">
      <c r="A2399" s="125" t="str">
        <f>IF(B2399&lt;&gt;"",IF(AND(B2399&gt;=_TM1,B2399&lt;=_TM2,OR(TH!L2399="1111",TH!M2399="1111")),TH!D2399,""),"")</f>
        <v/>
      </c>
      <c r="B2399" s="11">
        <f t="shared" si="192"/>
        <v>11</v>
      </c>
      <c r="C2399" s="115">
        <f>E2399</f>
        <v>40872</v>
      </c>
      <c r="D2399" s="324" t="s">
        <v>1056</v>
      </c>
      <c r="E2399" s="303">
        <v>40872</v>
      </c>
      <c r="F2399" s="114" t="s">
        <v>364</v>
      </c>
      <c r="G2399" s="15"/>
      <c r="H2399" s="242" t="s">
        <v>1037</v>
      </c>
      <c r="I2399" s="315">
        <v>15</v>
      </c>
      <c r="J2399" s="141">
        <v>4449</v>
      </c>
      <c r="K2399" s="238">
        <f>ROUND(I2399*J2399,0)</f>
        <v>66735</v>
      </c>
      <c r="L2399" s="25" t="s">
        <v>153</v>
      </c>
      <c r="M2399" s="25" t="s">
        <v>147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>x</v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121"/>
    </row>
    <row r="2400" spans="1:26" ht="15.75" customHeight="1">
      <c r="A2400" s="125" t="str">
        <f>IF(B2400&lt;&gt;"",IF(AND(B2400&gt;=_TM1,B2400&lt;=_TM2,OR(TH!L2400="1111",TH!M2400="1111")),TH!D2400,""),"")</f>
        <v/>
      </c>
      <c r="B2400" s="11">
        <f t="shared" si="192"/>
        <v>11</v>
      </c>
      <c r="C2400" s="115">
        <f>E2400</f>
        <v>40872</v>
      </c>
      <c r="D2400" s="324" t="s">
        <v>1056</v>
      </c>
      <c r="E2400" s="303">
        <v>40872</v>
      </c>
      <c r="F2400" s="114" t="s">
        <v>615</v>
      </c>
      <c r="G2400" s="15"/>
      <c r="H2400" s="242" t="s">
        <v>1037</v>
      </c>
      <c r="I2400" s="141">
        <v>2</v>
      </c>
      <c r="J2400" s="141">
        <v>24594.5</v>
      </c>
      <c r="K2400" s="238">
        <f>ROUND(I2400*J2400,0)</f>
        <v>49189</v>
      </c>
      <c r="L2400" s="25" t="s">
        <v>153</v>
      </c>
      <c r="M2400" s="25" t="s">
        <v>147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121"/>
    </row>
    <row r="2401" spans="1:26" ht="15.75" customHeight="1">
      <c r="A2401" s="125" t="str">
        <f>IF(B2401&lt;&gt;"",IF(AND(B2401&gt;=_TM1,B2401&lt;=_TM2,OR(TH!L2401="1111",TH!M2401="1111")),TH!D2401,""),"")</f>
        <v/>
      </c>
      <c r="B2401" s="11">
        <f t="shared" si="192"/>
        <v>11</v>
      </c>
      <c r="C2401" s="115">
        <f>E2401</f>
        <v>40872</v>
      </c>
      <c r="D2401" s="324" t="s">
        <v>1056</v>
      </c>
      <c r="E2401" s="303">
        <v>40872</v>
      </c>
      <c r="F2401" s="15" t="s">
        <v>621</v>
      </c>
      <c r="G2401" s="15"/>
      <c r="H2401" s="242" t="s">
        <v>1037</v>
      </c>
      <c r="I2401" s="141">
        <v>490</v>
      </c>
      <c r="J2401" s="141">
        <v>30158</v>
      </c>
      <c r="K2401" s="238">
        <f>ROUND(I2401*J2401,0)</f>
        <v>14777420</v>
      </c>
      <c r="L2401" s="25" t="s">
        <v>153</v>
      </c>
      <c r="M2401" s="25" t="s">
        <v>147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121"/>
    </row>
    <row r="2402" spans="1:26" ht="15.75" customHeight="1">
      <c r="A2402" s="125" t="str">
        <f>IF(B2402&lt;&gt;"",IF(AND(B2402&gt;=_TM1,B2402&lt;=_TM2,OR(TH!L2402="1111",TH!M2402="1111")),TH!D2402,""),"")</f>
        <v/>
      </c>
      <c r="B2402" s="11">
        <f t="shared" si="192"/>
        <v>11</v>
      </c>
      <c r="C2402" s="115">
        <f>E2402</f>
        <v>40872</v>
      </c>
      <c r="D2402" s="324" t="s">
        <v>1056</v>
      </c>
      <c r="E2402" s="303">
        <v>40872</v>
      </c>
      <c r="F2402" s="15" t="s">
        <v>631</v>
      </c>
      <c r="G2402" s="15"/>
      <c r="H2402" s="242" t="s">
        <v>1037</v>
      </c>
      <c r="I2402" s="141">
        <v>1050</v>
      </c>
      <c r="J2402" s="141">
        <v>12992</v>
      </c>
      <c r="K2402" s="238">
        <f>ROUND(I2402*J2402,0)</f>
        <v>13641600</v>
      </c>
      <c r="L2402" s="25" t="s">
        <v>153</v>
      </c>
      <c r="M2402" s="25" t="s">
        <v>147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121"/>
    </row>
    <row r="2403" spans="1:26" ht="15.75" customHeight="1">
      <c r="A2403" s="125" t="str">
        <f>IF(B2403&lt;&gt;"",IF(AND(B2403&gt;=_TM1,B2403&lt;=_TM2,OR(TH!L2403="1111",TH!M2403="1111")),TH!D2403,""),"")</f>
        <v/>
      </c>
      <c r="B2403" s="11">
        <f t="shared" si="192"/>
        <v>11</v>
      </c>
      <c r="C2403" s="115">
        <v>40875</v>
      </c>
      <c r="D2403" s="115" t="s">
        <v>677</v>
      </c>
      <c r="E2403" s="345">
        <v>40875</v>
      </c>
      <c r="F2403" s="116" t="s">
        <v>629</v>
      </c>
      <c r="G2403" s="224" t="s">
        <v>1227</v>
      </c>
      <c r="H2403" s="117" t="s">
        <v>536</v>
      </c>
      <c r="I2403" s="141">
        <v>950</v>
      </c>
      <c r="J2403" s="141">
        <v>18995</v>
      </c>
      <c r="K2403" s="238">
        <v>18045250</v>
      </c>
      <c r="L2403" s="118" t="s">
        <v>147</v>
      </c>
      <c r="M2403" s="118" t="s">
        <v>8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121">
        <v>11</v>
      </c>
    </row>
    <row r="2404" spans="1:26" ht="15.75" customHeight="1">
      <c r="A2404" s="125" t="str">
        <f>IF(B2404&lt;&gt;"",IF(AND(B2404&gt;=_TM1,B2404&lt;=_TM2,OR(TH!L2404="1111",TH!M2404="1111")),TH!D2404,""),"")</f>
        <v/>
      </c>
      <c r="B2404" s="11">
        <f t="shared" si="192"/>
        <v>11</v>
      </c>
      <c r="C2404" s="115">
        <v>40875</v>
      </c>
      <c r="D2404" s="115" t="s">
        <v>677</v>
      </c>
      <c r="E2404" s="345">
        <v>40875</v>
      </c>
      <c r="F2404" s="116" t="s">
        <v>537</v>
      </c>
      <c r="G2404" s="224" t="s">
        <v>1227</v>
      </c>
      <c r="H2404" s="117" t="s">
        <v>536</v>
      </c>
      <c r="I2404" s="141"/>
      <c r="J2404" s="141"/>
      <c r="K2404" s="13">
        <v>1804525</v>
      </c>
      <c r="L2404" s="118" t="s">
        <v>9</v>
      </c>
      <c r="M2404" s="118" t="s">
        <v>8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121">
        <v>11</v>
      </c>
    </row>
    <row r="2405" spans="1:26" ht="15.75" customHeight="1">
      <c r="A2405" s="125" t="str">
        <f>IF(B2405&lt;&gt;"",IF(AND(B2405&gt;=_TM1,B2405&lt;=_TM2,OR(TH!L2405="1111",TH!M2405="1111")),TH!D2405,""),"")</f>
        <v>NL/N04</v>
      </c>
      <c r="B2405" s="11">
        <f t="shared" ref="B2405" si="194">IF(C2405&lt;&gt;"",MONTH(C2405),"")</f>
        <v>11</v>
      </c>
      <c r="C2405" s="115">
        <v>40875</v>
      </c>
      <c r="D2405" s="115" t="s">
        <v>677</v>
      </c>
      <c r="E2405" s="345">
        <v>40875</v>
      </c>
      <c r="F2405" s="114" t="s">
        <v>344</v>
      </c>
      <c r="G2405" s="224" t="s">
        <v>1227</v>
      </c>
      <c r="H2405" s="117" t="s">
        <v>536</v>
      </c>
      <c r="I2405" s="141"/>
      <c r="J2405" s="141"/>
      <c r="K2405" s="13">
        <v>19849775</v>
      </c>
      <c r="L2405" s="239" t="s">
        <v>8</v>
      </c>
      <c r="M2405" s="239" t="s">
        <v>44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121"/>
    </row>
    <row r="2406" spans="1:26" ht="15.75" customHeight="1">
      <c r="A2406" s="125" t="str">
        <f>IF(B2406&lt;&gt;"",IF(AND(B2406&gt;=_TM1,B2406&lt;=_TM2,OR(TH!L2406="1111",TH!M2406="1111")),TH!D2406,""),"")</f>
        <v>C17</v>
      </c>
      <c r="B2406" s="11">
        <f t="shared" si="192"/>
        <v>11</v>
      </c>
      <c r="C2406" s="115">
        <v>40876</v>
      </c>
      <c r="D2406" s="115" t="s">
        <v>644</v>
      </c>
      <c r="E2406" s="345">
        <v>40876</v>
      </c>
      <c r="F2406" s="116" t="s">
        <v>320</v>
      </c>
      <c r="G2406" s="224" t="s">
        <v>1228</v>
      </c>
      <c r="H2406" s="20" t="s">
        <v>444</v>
      </c>
      <c r="I2406" s="141"/>
      <c r="J2406" s="141"/>
      <c r="K2406" s="13">
        <v>186000</v>
      </c>
      <c r="L2406" s="118" t="s">
        <v>73</v>
      </c>
      <c r="M2406" s="239" t="s">
        <v>44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>x</v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121"/>
    </row>
    <row r="2407" spans="1:26" ht="15.75" customHeight="1">
      <c r="A2407" s="125" t="str">
        <f>IF(B2407&lt;&gt;"",IF(AND(B2407&gt;=_TM1,B2407&lt;=_TM2,OR(TH!L2407="1111",TH!M2407="1111")),TH!D2407,""),"")</f>
        <v/>
      </c>
      <c r="B2407" s="11">
        <f t="shared" si="192"/>
        <v>11</v>
      </c>
      <c r="C2407" s="115">
        <v>40876</v>
      </c>
      <c r="D2407" s="115" t="s">
        <v>678</v>
      </c>
      <c r="E2407" s="345">
        <v>40876</v>
      </c>
      <c r="F2407" s="116" t="s">
        <v>629</v>
      </c>
      <c r="G2407" s="224" t="s">
        <v>1229</v>
      </c>
      <c r="H2407" s="117" t="s">
        <v>536</v>
      </c>
      <c r="I2407" s="141">
        <v>250</v>
      </c>
      <c r="J2407" s="141">
        <v>18995</v>
      </c>
      <c r="K2407" s="238">
        <v>4748750</v>
      </c>
      <c r="L2407" s="118" t="s">
        <v>147</v>
      </c>
      <c r="M2407" s="118" t="s">
        <v>8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121">
        <v>11</v>
      </c>
    </row>
    <row r="2408" spans="1:26" ht="15.75" customHeight="1">
      <c r="A2408" s="125" t="str">
        <f>IF(B2408&lt;&gt;"",IF(AND(B2408&gt;=_TM1,B2408&lt;=_TM2,OR(TH!L2408="1111",TH!M2408="1111")),TH!D2408,""),"")</f>
        <v/>
      </c>
      <c r="B2408" s="11">
        <f t="shared" si="192"/>
        <v>11</v>
      </c>
      <c r="C2408" s="115">
        <v>40876</v>
      </c>
      <c r="D2408" s="115" t="s">
        <v>678</v>
      </c>
      <c r="E2408" s="345">
        <v>40876</v>
      </c>
      <c r="F2408" s="116" t="s">
        <v>630</v>
      </c>
      <c r="G2408" s="224" t="s">
        <v>1229</v>
      </c>
      <c r="H2408" s="117" t="s">
        <v>536</v>
      </c>
      <c r="I2408" s="141">
        <v>1000</v>
      </c>
      <c r="J2408" s="141">
        <v>13350</v>
      </c>
      <c r="K2408" s="238">
        <v>13350000</v>
      </c>
      <c r="L2408" s="118" t="s">
        <v>147</v>
      </c>
      <c r="M2408" s="118" t="s">
        <v>8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121">
        <v>11</v>
      </c>
    </row>
    <row r="2409" spans="1:26" ht="15.75" customHeight="1">
      <c r="A2409" s="125" t="str">
        <f>IF(B2409&lt;&gt;"",IF(AND(B2409&gt;=_TM1,B2409&lt;=_TM2,OR(TH!L2409="1111",TH!M2409="1111")),TH!D2409,""),"")</f>
        <v/>
      </c>
      <c r="B2409" s="11">
        <f t="shared" si="192"/>
        <v>11</v>
      </c>
      <c r="C2409" s="115">
        <v>40876</v>
      </c>
      <c r="D2409" s="115" t="s">
        <v>678</v>
      </c>
      <c r="E2409" s="345">
        <v>40876</v>
      </c>
      <c r="F2409" s="116" t="s">
        <v>537</v>
      </c>
      <c r="G2409" s="224" t="s">
        <v>1229</v>
      </c>
      <c r="H2409" s="117" t="s">
        <v>536</v>
      </c>
      <c r="I2409" s="141"/>
      <c r="J2409" s="141"/>
      <c r="K2409" s="13">
        <v>1809875</v>
      </c>
      <c r="L2409" s="118" t="s">
        <v>9</v>
      </c>
      <c r="M2409" s="118" t="s">
        <v>8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121">
        <v>11</v>
      </c>
    </row>
    <row r="2410" spans="1:26" ht="15.75" customHeight="1">
      <c r="A2410" s="125" t="str">
        <f>IF(B2410&lt;&gt;"",IF(AND(B2410&gt;=_TM1,B2410&lt;=_TM2,OR(TH!L2410="1111",TH!M2410="1111")),TH!D2410,""),"")</f>
        <v>NL/N05</v>
      </c>
      <c r="B2410" s="11">
        <f t="shared" ref="B2410" si="195">IF(C2410&lt;&gt;"",MONTH(C2410),"")</f>
        <v>11</v>
      </c>
      <c r="C2410" s="115">
        <v>40876</v>
      </c>
      <c r="D2410" s="115" t="s">
        <v>678</v>
      </c>
      <c r="E2410" s="345">
        <v>40876</v>
      </c>
      <c r="F2410" s="114" t="s">
        <v>344</v>
      </c>
      <c r="G2410" s="224" t="s">
        <v>1229</v>
      </c>
      <c r="H2410" s="117" t="s">
        <v>536</v>
      </c>
      <c r="I2410" s="141"/>
      <c r="J2410" s="141"/>
      <c r="K2410" s="13">
        <v>19908625</v>
      </c>
      <c r="L2410" s="239" t="s">
        <v>8</v>
      </c>
      <c r="M2410" s="239" t="s">
        <v>44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121"/>
    </row>
    <row r="2411" spans="1:26" ht="15.75" customHeight="1">
      <c r="A2411" s="125" t="str">
        <f>IF(B2411&lt;&gt;"",IF(AND(B2411&gt;=_TM1,B2411&lt;=_TM2,OR(TH!L2411="1111",TH!M2411="1111")),TH!D2411,""),"")</f>
        <v/>
      </c>
      <c r="B2411" s="11">
        <f t="shared" si="192"/>
        <v>11</v>
      </c>
      <c r="C2411" s="288">
        <v>40877</v>
      </c>
      <c r="D2411" s="288" t="s">
        <v>314</v>
      </c>
      <c r="E2411" s="356">
        <v>40877</v>
      </c>
      <c r="F2411" s="289" t="s">
        <v>895</v>
      </c>
      <c r="G2411" s="290"/>
      <c r="H2411" s="242"/>
      <c r="I2411" s="220"/>
      <c r="J2411" s="220"/>
      <c r="K2411" s="291">
        <v>7070000</v>
      </c>
      <c r="L2411" s="292" t="s">
        <v>73</v>
      </c>
      <c r="M2411" s="292" t="s">
        <v>240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>x</v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121"/>
    </row>
    <row r="2412" spans="1:26" ht="15.75" customHeight="1">
      <c r="A2412" s="125" t="str">
        <f>IF(B2412&lt;&gt;"",IF(AND(B2412&gt;=_TM1,B2412&lt;=_TM2,OR(TH!L2412="1111",TH!M2412="1111")),TH!D2412,""),"")</f>
        <v/>
      </c>
      <c r="B2412" s="11">
        <f t="shared" si="192"/>
        <v>11</v>
      </c>
      <c r="C2412" s="288">
        <v>40877</v>
      </c>
      <c r="D2412" s="288" t="s">
        <v>314</v>
      </c>
      <c r="E2412" s="356">
        <v>40877</v>
      </c>
      <c r="F2412" s="289" t="s">
        <v>755</v>
      </c>
      <c r="G2412" s="290"/>
      <c r="H2412" s="242"/>
      <c r="I2412" s="220"/>
      <c r="J2412" s="220"/>
      <c r="K2412" s="238">
        <v>6270000</v>
      </c>
      <c r="L2412" s="292" t="s">
        <v>153</v>
      </c>
      <c r="M2412" s="292" t="s">
        <v>240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121"/>
    </row>
    <row r="2413" spans="1:26" ht="15.75" customHeight="1">
      <c r="A2413" s="125" t="str">
        <f>IF(B2413&lt;&gt;"",IF(AND(B2413&gt;=_TM1,B2413&lt;=_TM2,OR(TH!L2413="1111",TH!M2413="1111")),TH!D2413,""),"")</f>
        <v>C18</v>
      </c>
      <c r="B2413" s="11">
        <f t="shared" si="192"/>
        <v>11</v>
      </c>
      <c r="C2413" s="288">
        <v>40877</v>
      </c>
      <c r="D2413" s="288" t="s">
        <v>645</v>
      </c>
      <c r="E2413" s="356">
        <v>40877</v>
      </c>
      <c r="F2413" s="289" t="s">
        <v>1164</v>
      </c>
      <c r="G2413" s="290"/>
      <c r="H2413" s="242" t="s">
        <v>340</v>
      </c>
      <c r="I2413" s="220"/>
      <c r="J2413" s="220"/>
      <c r="K2413" s="291">
        <v>13340000</v>
      </c>
      <c r="L2413" s="292" t="s">
        <v>240</v>
      </c>
      <c r="M2413" s="292" t="s">
        <v>44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121"/>
    </row>
    <row r="2414" spans="1:26" ht="15.75" customHeight="1">
      <c r="A2414" s="125" t="str">
        <f>IF(B2414&lt;&gt;"",IF(AND(B2414&gt;=_TM1,B2414&lt;=_TM2,OR(TH!L2414="1111",TH!M2414="1111")),TH!D2414,""),"")</f>
        <v/>
      </c>
      <c r="B2414" s="11">
        <f t="shared" si="192"/>
        <v>11</v>
      </c>
      <c r="C2414" s="115">
        <v>40877</v>
      </c>
      <c r="D2414" s="115" t="s">
        <v>679</v>
      </c>
      <c r="E2414" s="345">
        <v>40877</v>
      </c>
      <c r="F2414" s="116" t="s">
        <v>615</v>
      </c>
      <c r="G2414" s="224" t="s">
        <v>1230</v>
      </c>
      <c r="H2414" s="117" t="s">
        <v>624</v>
      </c>
      <c r="I2414" s="141">
        <v>120</v>
      </c>
      <c r="J2414" s="141">
        <v>24595</v>
      </c>
      <c r="K2414" s="238">
        <v>2951400</v>
      </c>
      <c r="L2414" s="118" t="s">
        <v>147</v>
      </c>
      <c r="M2414" s="118" t="s">
        <v>8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121">
        <v>11</v>
      </c>
    </row>
    <row r="2415" spans="1:26" ht="15.75" customHeight="1">
      <c r="A2415" s="125" t="str">
        <f>IF(B2415&lt;&gt;"",IF(AND(B2415&gt;=_TM1,B2415&lt;=_TM2,OR(TH!L2415="1111",TH!M2415="1111")),TH!D2415,""),"")</f>
        <v/>
      </c>
      <c r="B2415" s="11">
        <f t="shared" si="192"/>
        <v>11</v>
      </c>
      <c r="C2415" s="115">
        <v>40877</v>
      </c>
      <c r="D2415" s="115" t="s">
        <v>679</v>
      </c>
      <c r="E2415" s="345">
        <v>40877</v>
      </c>
      <c r="F2415" s="116" t="s">
        <v>616</v>
      </c>
      <c r="G2415" s="224" t="s">
        <v>1230</v>
      </c>
      <c r="H2415" s="117" t="s">
        <v>624</v>
      </c>
      <c r="I2415" s="141">
        <v>113</v>
      </c>
      <c r="J2415" s="141">
        <v>27283</v>
      </c>
      <c r="K2415" s="238">
        <v>3082979</v>
      </c>
      <c r="L2415" s="118" t="s">
        <v>147</v>
      </c>
      <c r="M2415" s="118" t="s">
        <v>8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121">
        <v>11</v>
      </c>
    </row>
    <row r="2416" spans="1:26" ht="15.75" customHeight="1">
      <c r="A2416" s="125" t="str">
        <f>IF(B2416&lt;&gt;"",IF(AND(B2416&gt;=_TM1,B2416&lt;=_TM2,OR(TH!L2416="1111",TH!M2416="1111")),TH!D2416,""),"")</f>
        <v/>
      </c>
      <c r="B2416" s="11">
        <f t="shared" si="192"/>
        <v>11</v>
      </c>
      <c r="C2416" s="115">
        <v>40877</v>
      </c>
      <c r="D2416" s="115" t="s">
        <v>679</v>
      </c>
      <c r="E2416" s="345">
        <v>40877</v>
      </c>
      <c r="F2416" s="116" t="s">
        <v>617</v>
      </c>
      <c r="G2416" s="224" t="s">
        <v>1230</v>
      </c>
      <c r="H2416" s="117" t="s">
        <v>624</v>
      </c>
      <c r="I2416" s="141">
        <v>125</v>
      </c>
      <c r="J2416" s="141">
        <v>31752</v>
      </c>
      <c r="K2416" s="238">
        <v>3969000</v>
      </c>
      <c r="L2416" s="118" t="s">
        <v>147</v>
      </c>
      <c r="M2416" s="118" t="s">
        <v>8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121">
        <v>11</v>
      </c>
    </row>
    <row r="2417" spans="1:26" ht="15.75" customHeight="1">
      <c r="A2417" s="125" t="str">
        <f>IF(B2417&lt;&gt;"",IF(AND(B2417&gt;=_TM1,B2417&lt;=_TM2,OR(TH!L2417="1111",TH!M2417="1111")),TH!D2417,""),"")</f>
        <v/>
      </c>
      <c r="B2417" s="11">
        <f t="shared" si="192"/>
        <v>11</v>
      </c>
      <c r="C2417" s="115">
        <v>40877</v>
      </c>
      <c r="D2417" s="115" t="s">
        <v>679</v>
      </c>
      <c r="E2417" s="345">
        <v>40877</v>
      </c>
      <c r="F2417" s="116" t="s">
        <v>618</v>
      </c>
      <c r="G2417" s="224" t="s">
        <v>1230</v>
      </c>
      <c r="H2417" s="117" t="s">
        <v>624</v>
      </c>
      <c r="I2417" s="141">
        <v>120</v>
      </c>
      <c r="J2417" s="141">
        <v>34653</v>
      </c>
      <c r="K2417" s="238">
        <v>4158360</v>
      </c>
      <c r="L2417" s="118" t="s">
        <v>147</v>
      </c>
      <c r="M2417" s="118" t="s">
        <v>8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121">
        <v>11</v>
      </c>
    </row>
    <row r="2418" spans="1:26" ht="15.75" customHeight="1">
      <c r="A2418" s="125" t="str">
        <f>IF(B2418&lt;&gt;"",IF(AND(B2418&gt;=_TM1,B2418&lt;=_TM2,OR(TH!L2418="1111",TH!M2418="1111")),TH!D2418,""),"")</f>
        <v/>
      </c>
      <c r="B2418" s="11">
        <f t="shared" si="192"/>
        <v>11</v>
      </c>
      <c r="C2418" s="115">
        <v>40877</v>
      </c>
      <c r="D2418" s="115" t="s">
        <v>679</v>
      </c>
      <c r="E2418" s="345">
        <v>40877</v>
      </c>
      <c r="F2418" s="116" t="s">
        <v>619</v>
      </c>
      <c r="G2418" s="224" t="s">
        <v>1230</v>
      </c>
      <c r="H2418" s="117" t="s">
        <v>624</v>
      </c>
      <c r="I2418" s="141">
        <v>476</v>
      </c>
      <c r="J2418" s="141">
        <v>20278</v>
      </c>
      <c r="K2418" s="238">
        <v>9652328</v>
      </c>
      <c r="L2418" s="118" t="s">
        <v>147</v>
      </c>
      <c r="M2418" s="118" t="s">
        <v>8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121">
        <v>11</v>
      </c>
    </row>
    <row r="2419" spans="1:26" ht="15.75" customHeight="1">
      <c r="A2419" s="125" t="str">
        <f>IF(B2419&lt;&gt;"",IF(AND(B2419&gt;=_TM1,B2419&lt;=_TM2,OR(TH!L2419="1111",TH!M2419="1111")),TH!D2419,""),"")</f>
        <v/>
      </c>
      <c r="B2419" s="11">
        <f t="shared" si="192"/>
        <v>11</v>
      </c>
      <c r="C2419" s="115">
        <v>40877</v>
      </c>
      <c r="D2419" s="115" t="s">
        <v>679</v>
      </c>
      <c r="E2419" s="345">
        <v>40877</v>
      </c>
      <c r="F2419" s="116" t="s">
        <v>620</v>
      </c>
      <c r="G2419" s="224" t="s">
        <v>1230</v>
      </c>
      <c r="H2419" s="117" t="s">
        <v>624</v>
      </c>
      <c r="I2419" s="141">
        <v>120</v>
      </c>
      <c r="J2419" s="141">
        <v>25631</v>
      </c>
      <c r="K2419" s="238">
        <v>3075720</v>
      </c>
      <c r="L2419" s="118" t="s">
        <v>147</v>
      </c>
      <c r="M2419" s="118" t="s">
        <v>8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121">
        <v>11</v>
      </c>
    </row>
    <row r="2420" spans="1:26" ht="15.75" customHeight="1">
      <c r="A2420" s="125" t="str">
        <f>IF(B2420&lt;&gt;"",IF(AND(B2420&gt;=_TM1,B2420&lt;=_TM2,OR(TH!L2420="1111",TH!M2420="1111")),TH!D2420,""),"")</f>
        <v/>
      </c>
      <c r="B2420" s="11">
        <f t="shared" si="192"/>
        <v>11</v>
      </c>
      <c r="C2420" s="115">
        <v>40877</v>
      </c>
      <c r="D2420" s="115" t="s">
        <v>679</v>
      </c>
      <c r="E2420" s="345">
        <v>40877</v>
      </c>
      <c r="F2420" s="116" t="s">
        <v>621</v>
      </c>
      <c r="G2420" s="224" t="s">
        <v>1230</v>
      </c>
      <c r="H2420" s="117" t="s">
        <v>624</v>
      </c>
      <c r="I2420" s="141">
        <v>662</v>
      </c>
      <c r="J2420" s="141">
        <v>30158</v>
      </c>
      <c r="K2420" s="238">
        <v>19964596</v>
      </c>
      <c r="L2420" s="118" t="s">
        <v>147</v>
      </c>
      <c r="M2420" s="118" t="s">
        <v>8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121">
        <v>11</v>
      </c>
    </row>
    <row r="2421" spans="1:26" ht="15.75" customHeight="1">
      <c r="A2421" s="125" t="str">
        <f>IF(B2421&lt;&gt;"",IF(AND(B2421&gt;=_TM1,B2421&lt;=_TM2,OR(TH!L2421="1111",TH!M2421="1111")),TH!D2421,""),"")</f>
        <v/>
      </c>
      <c r="B2421" s="11">
        <f t="shared" si="192"/>
        <v>11</v>
      </c>
      <c r="C2421" s="115">
        <v>40877</v>
      </c>
      <c r="D2421" s="115" t="s">
        <v>679</v>
      </c>
      <c r="E2421" s="345">
        <v>40877</v>
      </c>
      <c r="F2421" s="116" t="s">
        <v>622</v>
      </c>
      <c r="G2421" s="224" t="s">
        <v>1230</v>
      </c>
      <c r="H2421" s="117" t="s">
        <v>624</v>
      </c>
      <c r="I2421" s="141">
        <v>500</v>
      </c>
      <c r="J2421" s="141">
        <v>32878</v>
      </c>
      <c r="K2421" s="238">
        <v>16439000</v>
      </c>
      <c r="L2421" s="118" t="s">
        <v>147</v>
      </c>
      <c r="M2421" s="118" t="s">
        <v>8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121">
        <v>11</v>
      </c>
    </row>
    <row r="2422" spans="1:26" ht="15.75" customHeight="1">
      <c r="A2422" s="125" t="str">
        <f>IF(B2422&lt;&gt;"",IF(AND(B2422&gt;=_TM1,B2422&lt;=_TM2,OR(TH!L2422="1111",TH!M2422="1111")),TH!D2422,""),"")</f>
        <v/>
      </c>
      <c r="B2422" s="11">
        <f t="shared" si="192"/>
        <v>11</v>
      </c>
      <c r="C2422" s="115">
        <v>40877</v>
      </c>
      <c r="D2422" s="115" t="s">
        <v>679</v>
      </c>
      <c r="E2422" s="345">
        <v>40877</v>
      </c>
      <c r="F2422" s="116" t="s">
        <v>1231</v>
      </c>
      <c r="G2422" s="224" t="s">
        <v>1230</v>
      </c>
      <c r="H2422" s="117" t="s">
        <v>624</v>
      </c>
      <c r="I2422" s="141"/>
      <c r="J2422" s="141"/>
      <c r="K2422" s="13">
        <v>6329338</v>
      </c>
      <c r="L2422" s="118" t="s">
        <v>9</v>
      </c>
      <c r="M2422" s="118" t="s">
        <v>8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121">
        <v>11</v>
      </c>
    </row>
    <row r="2423" spans="1:26" ht="15.75" customHeight="1">
      <c r="A2423" s="125" t="str">
        <f>IF(B2423&lt;&gt;"",IF(AND(B2423&gt;=_TM1,B2423&lt;=_TM2,OR(TH!L2423="1111",TH!M2423="1111")),TH!D2423,""),"")</f>
        <v/>
      </c>
      <c r="B2423" s="11">
        <f t="shared" si="192"/>
        <v>11</v>
      </c>
      <c r="C2423" s="115">
        <v>40877</v>
      </c>
      <c r="D2423" s="115" t="s">
        <v>680</v>
      </c>
      <c r="E2423" s="345">
        <v>40877</v>
      </c>
      <c r="F2423" s="116" t="s">
        <v>630</v>
      </c>
      <c r="G2423" s="224" t="s">
        <v>1232</v>
      </c>
      <c r="H2423" s="117" t="s">
        <v>536</v>
      </c>
      <c r="I2423" s="141">
        <v>320</v>
      </c>
      <c r="J2423" s="141">
        <v>13350</v>
      </c>
      <c r="K2423" s="238">
        <v>4272000</v>
      </c>
      <c r="L2423" s="118" t="s">
        <v>147</v>
      </c>
      <c r="M2423" s="118" t="s">
        <v>8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121">
        <v>11</v>
      </c>
    </row>
    <row r="2424" spans="1:26" ht="15.75" customHeight="1">
      <c r="A2424" s="125" t="str">
        <f>IF(B2424&lt;&gt;"",IF(AND(B2424&gt;=_TM1,B2424&lt;=_TM2,OR(TH!L2424="1111",TH!M2424="1111")),TH!D2424,""),"")</f>
        <v/>
      </c>
      <c r="B2424" s="11">
        <f t="shared" si="192"/>
        <v>11</v>
      </c>
      <c r="C2424" s="115">
        <v>40877</v>
      </c>
      <c r="D2424" s="115" t="s">
        <v>680</v>
      </c>
      <c r="E2424" s="345">
        <v>40877</v>
      </c>
      <c r="F2424" s="116" t="s">
        <v>631</v>
      </c>
      <c r="G2424" s="224" t="s">
        <v>1232</v>
      </c>
      <c r="H2424" s="117" t="s">
        <v>536</v>
      </c>
      <c r="I2424" s="141">
        <v>1050</v>
      </c>
      <c r="J2424" s="141">
        <v>12992</v>
      </c>
      <c r="K2424" s="238">
        <v>13641600</v>
      </c>
      <c r="L2424" s="118" t="s">
        <v>147</v>
      </c>
      <c r="M2424" s="118" t="s">
        <v>8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121">
        <v>11</v>
      </c>
    </row>
    <row r="2425" spans="1:26" ht="15.75" customHeight="1">
      <c r="A2425" s="125" t="str">
        <f>IF(B2425&lt;&gt;"",IF(AND(B2425&gt;=_TM1,B2425&lt;=_TM2,OR(TH!L2425="1111",TH!M2425="1111")),TH!D2425,""),"")</f>
        <v/>
      </c>
      <c r="B2425" s="11">
        <f t="shared" si="192"/>
        <v>11</v>
      </c>
      <c r="C2425" s="115">
        <v>40877</v>
      </c>
      <c r="D2425" s="115" t="s">
        <v>680</v>
      </c>
      <c r="E2425" s="345">
        <v>40877</v>
      </c>
      <c r="F2425" s="116" t="s">
        <v>537</v>
      </c>
      <c r="G2425" s="224" t="s">
        <v>1232</v>
      </c>
      <c r="H2425" s="117" t="s">
        <v>536</v>
      </c>
      <c r="I2425" s="141"/>
      <c r="J2425" s="141"/>
      <c r="K2425" s="13">
        <v>1791360</v>
      </c>
      <c r="L2425" s="118" t="s">
        <v>9</v>
      </c>
      <c r="M2425" s="118" t="s">
        <v>8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121">
        <v>11</v>
      </c>
    </row>
    <row r="2426" spans="1:26" ht="15.75" customHeight="1">
      <c r="A2426" s="125" t="str">
        <f>IF(B2426&lt;&gt;"",IF(AND(B2426&gt;=_TM1,B2426&lt;=_TM2,OR(TH!L2426="1111",TH!M2426="1111")),TH!D2426,""),"")</f>
        <v>NL/N07</v>
      </c>
      <c r="B2426" s="11">
        <f t="shared" ref="B2426" si="196">IF(C2426&lt;&gt;"",MONTH(C2426),"")</f>
        <v>11</v>
      </c>
      <c r="C2426" s="115">
        <v>40877</v>
      </c>
      <c r="D2426" s="115" t="s">
        <v>680</v>
      </c>
      <c r="E2426" s="345">
        <v>40877</v>
      </c>
      <c r="F2426" s="114" t="s">
        <v>344</v>
      </c>
      <c r="G2426" s="224" t="s">
        <v>1232</v>
      </c>
      <c r="H2426" s="117" t="s">
        <v>536</v>
      </c>
      <c r="I2426" s="141"/>
      <c r="J2426" s="141"/>
      <c r="K2426" s="13">
        <v>19704960</v>
      </c>
      <c r="L2426" s="239" t="s">
        <v>8</v>
      </c>
      <c r="M2426" s="239" t="s">
        <v>44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/>
      </c>
      <c r="Z2426" s="121"/>
    </row>
    <row r="2427" spans="1:26" ht="15.75" customHeight="1">
      <c r="A2427" s="125" t="str">
        <f>IF(B2427&lt;&gt;"",IF(AND(B2427&gt;=_TM1,B2427&lt;=_TM2,OR(TH!L2427="1111",TH!M2427="1111")),TH!D2427,""),"")</f>
        <v/>
      </c>
      <c r="B2427" s="11">
        <f t="shared" si="192"/>
        <v>11</v>
      </c>
      <c r="C2427" s="115">
        <v>40877</v>
      </c>
      <c r="D2427" s="115" t="s">
        <v>920</v>
      </c>
      <c r="E2427" s="345">
        <v>40877</v>
      </c>
      <c r="F2427" s="116" t="s">
        <v>1283</v>
      </c>
      <c r="G2427" s="224" t="s">
        <v>610</v>
      </c>
      <c r="H2427" s="117" t="s">
        <v>711</v>
      </c>
      <c r="I2427" s="141">
        <v>242</v>
      </c>
      <c r="J2427" s="141">
        <v>1360</v>
      </c>
      <c r="K2427" s="238">
        <v>329120</v>
      </c>
      <c r="L2427" s="118" t="s">
        <v>237</v>
      </c>
      <c r="M2427" s="118" t="s">
        <v>163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/>
      </c>
      <c r="Z2427" s="121"/>
    </row>
    <row r="2428" spans="1:26" ht="15.75" customHeight="1">
      <c r="A2428" s="125" t="str">
        <f>IF(B2428&lt;&gt;"",IF(AND(B2428&gt;=_TM1,B2428&lt;=_TM2,OR(TH!L2428="1111",TH!M2428="1111")),TH!D2428,""),"")</f>
        <v/>
      </c>
      <c r="B2428" s="11">
        <f t="shared" si="192"/>
        <v>11</v>
      </c>
      <c r="C2428" s="115">
        <v>40877</v>
      </c>
      <c r="D2428" s="115" t="s">
        <v>920</v>
      </c>
      <c r="E2428" s="345">
        <v>40877</v>
      </c>
      <c r="F2428" s="116" t="s">
        <v>1284</v>
      </c>
      <c r="G2428" s="224" t="s">
        <v>610</v>
      </c>
      <c r="H2428" s="117" t="s">
        <v>711</v>
      </c>
      <c r="I2428" s="141">
        <v>442</v>
      </c>
      <c r="J2428" s="141">
        <v>1090</v>
      </c>
      <c r="K2428" s="238">
        <v>481780</v>
      </c>
      <c r="L2428" s="118" t="s">
        <v>237</v>
      </c>
      <c r="M2428" s="118" t="s">
        <v>163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/>
      </c>
      <c r="Z2428" s="121"/>
    </row>
    <row r="2429" spans="1:26" ht="15.75" customHeight="1">
      <c r="A2429" s="125" t="str">
        <f>IF(B2429&lt;&gt;"",IF(AND(B2429&gt;=_TM1,B2429&lt;=_TM2,OR(TH!L2429="1111",TH!M2429="1111")),TH!D2429,""),"")</f>
        <v/>
      </c>
      <c r="B2429" s="11">
        <f t="shared" si="192"/>
        <v>11</v>
      </c>
      <c r="C2429" s="115">
        <v>40877</v>
      </c>
      <c r="D2429" s="115" t="s">
        <v>920</v>
      </c>
      <c r="E2429" s="345">
        <v>40877</v>
      </c>
      <c r="F2429" s="116" t="s">
        <v>1285</v>
      </c>
      <c r="G2429" s="224" t="s">
        <v>610</v>
      </c>
      <c r="H2429" s="117" t="s">
        <v>711</v>
      </c>
      <c r="I2429" s="141">
        <v>5000</v>
      </c>
      <c r="J2429" s="141">
        <v>123</v>
      </c>
      <c r="K2429" s="238">
        <v>615000</v>
      </c>
      <c r="L2429" s="118" t="s">
        <v>237</v>
      </c>
      <c r="M2429" s="118" t="s">
        <v>163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/>
      </c>
      <c r="Z2429" s="121"/>
    </row>
    <row r="2430" spans="1:26" ht="15.75" customHeight="1">
      <c r="A2430" s="125" t="str">
        <f>IF(B2430&lt;&gt;"",IF(AND(B2430&gt;=_TM1,B2430&lt;=_TM2,OR(TH!L2430="1111",TH!M2430="1111")),TH!D2430,""),"")</f>
        <v/>
      </c>
      <c r="B2430" s="11">
        <f t="shared" si="192"/>
        <v>11</v>
      </c>
      <c r="C2430" s="115">
        <v>40877</v>
      </c>
      <c r="D2430" s="115" t="s">
        <v>920</v>
      </c>
      <c r="E2430" s="345">
        <v>40877</v>
      </c>
      <c r="F2430" s="116" t="s">
        <v>1282</v>
      </c>
      <c r="G2430" s="224" t="s">
        <v>610</v>
      </c>
      <c r="H2430" s="117" t="s">
        <v>711</v>
      </c>
      <c r="I2430" s="143"/>
      <c r="J2430" s="143"/>
      <c r="K2430" s="238">
        <f>142590+1</f>
        <v>142591</v>
      </c>
      <c r="L2430" s="118" t="s">
        <v>237</v>
      </c>
      <c r="M2430" s="118" t="s">
        <v>707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/>
      </c>
      <c r="Z2430" s="121"/>
    </row>
    <row r="2431" spans="1:26" ht="15.75" customHeight="1">
      <c r="A2431" s="125" t="str">
        <f>IF(B2431&lt;&gt;"",IF(AND(B2431&gt;=_TM1,B2431&lt;=_TM2,OR(TH!L2431="1111",TH!M2431="1111")),TH!D2431,""),"")</f>
        <v/>
      </c>
      <c r="B2431" s="11">
        <f t="shared" si="192"/>
        <v>11</v>
      </c>
      <c r="C2431" s="115">
        <v>40877</v>
      </c>
      <c r="D2431" s="115" t="s">
        <v>921</v>
      </c>
      <c r="E2431" s="345">
        <v>40877</v>
      </c>
      <c r="F2431" s="116" t="s">
        <v>1286</v>
      </c>
      <c r="G2431" s="224" t="s">
        <v>1287</v>
      </c>
      <c r="H2431" s="4" t="s">
        <v>743</v>
      </c>
      <c r="I2431" s="141">
        <v>980</v>
      </c>
      <c r="J2431" s="141">
        <v>17900</v>
      </c>
      <c r="K2431" s="238">
        <v>17542000</v>
      </c>
      <c r="L2431" s="118" t="s">
        <v>237</v>
      </c>
      <c r="M2431" s="118" t="s">
        <v>163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/>
      </c>
      <c r="Z2431" s="121"/>
    </row>
    <row r="2432" spans="1:26" ht="15.75" customHeight="1">
      <c r="A2432" s="125" t="str">
        <f>IF(B2432&lt;&gt;"",IF(AND(B2432&gt;=_TM1,B2432&lt;=_TM2,OR(TH!L2432="1111",TH!M2432="1111")),TH!D2432,""),"")</f>
        <v/>
      </c>
      <c r="B2432" s="11">
        <f t="shared" si="192"/>
        <v>11</v>
      </c>
      <c r="C2432" s="115">
        <v>40877</v>
      </c>
      <c r="D2432" s="115" t="s">
        <v>921</v>
      </c>
      <c r="E2432" s="345">
        <v>40877</v>
      </c>
      <c r="F2432" s="116" t="s">
        <v>1288</v>
      </c>
      <c r="G2432" s="224" t="s">
        <v>1287</v>
      </c>
      <c r="H2432" s="4" t="s">
        <v>743</v>
      </c>
      <c r="I2432" s="141">
        <v>1990</v>
      </c>
      <c r="J2432" s="141">
        <v>10900</v>
      </c>
      <c r="K2432" s="238">
        <v>21691000</v>
      </c>
      <c r="L2432" s="118" t="s">
        <v>237</v>
      </c>
      <c r="M2432" s="118" t="s">
        <v>163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/>
      </c>
      <c r="Z2432" s="121"/>
    </row>
    <row r="2433" spans="1:26" ht="15.75" customHeight="1">
      <c r="A2433" s="125" t="str">
        <f>IF(B2433&lt;&gt;"",IF(AND(B2433&gt;=_TM1,B2433&lt;=_TM2,OR(TH!L2433="1111",TH!M2433="1111")),TH!D2433,""),"")</f>
        <v/>
      </c>
      <c r="B2433" s="11">
        <f t="shared" si="192"/>
        <v>11</v>
      </c>
      <c r="C2433" s="115">
        <v>40877</v>
      </c>
      <c r="D2433" s="115" t="s">
        <v>921</v>
      </c>
      <c r="E2433" s="345">
        <v>40877</v>
      </c>
      <c r="F2433" s="116" t="s">
        <v>1289</v>
      </c>
      <c r="G2433" s="224" t="s">
        <v>1287</v>
      </c>
      <c r="H2433" s="4" t="s">
        <v>743</v>
      </c>
      <c r="I2433" s="141"/>
      <c r="J2433" s="141"/>
      <c r="K2433" s="238">
        <v>3923300</v>
      </c>
      <c r="L2433" s="118" t="s">
        <v>237</v>
      </c>
      <c r="M2433" s="118" t="s">
        <v>707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/>
      </c>
      <c r="Z2433" s="121"/>
    </row>
    <row r="2434" spans="1:26" ht="15.75" customHeight="1">
      <c r="A2434" s="125" t="str">
        <f>IF(B2434&lt;&gt;"",IF(AND(B2434&gt;=_TM1,B2434&lt;=_TM2,OR(TH!L2434="1111",TH!M2434="1111")),TH!D2434,""),"")</f>
        <v/>
      </c>
      <c r="B2434" s="281">
        <f t="shared" si="192"/>
        <v>11</v>
      </c>
      <c r="C2434" s="324">
        <f t="shared" ref="C2434:C2443" si="197">E2434</f>
        <v>40877</v>
      </c>
      <c r="D2434" s="21" t="s">
        <v>1157</v>
      </c>
      <c r="E2434" s="333">
        <v>40877</v>
      </c>
      <c r="F2434" s="22" t="s">
        <v>1283</v>
      </c>
      <c r="G2434" s="22"/>
      <c r="H2434" s="332" t="s">
        <v>1037</v>
      </c>
      <c r="I2434" s="139">
        <v>242</v>
      </c>
      <c r="J2434" s="139">
        <v>1537.4999213826327</v>
      </c>
      <c r="K2434" s="285">
        <f t="shared" ref="K2434:K2443" si="198">ROUND(I2434*J2434,0)</f>
        <v>372075</v>
      </c>
      <c r="L2434" s="25" t="s">
        <v>155</v>
      </c>
      <c r="M2434" s="25" t="s">
        <v>153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/>
      </c>
      <c r="Z2434" s="308"/>
    </row>
    <row r="2435" spans="1:26" ht="15.75" customHeight="1">
      <c r="A2435" s="125" t="str">
        <f>IF(B2435&lt;&gt;"",IF(AND(B2435&gt;=_TM1,B2435&lt;=_TM2,OR(TH!L2435="1111",TH!M2435="1111")),TH!D2435,""),"")</f>
        <v/>
      </c>
      <c r="B2435" s="281">
        <f t="shared" si="192"/>
        <v>11</v>
      </c>
      <c r="C2435" s="324">
        <f t="shared" si="197"/>
        <v>40877</v>
      </c>
      <c r="D2435" s="21" t="s">
        <v>1157</v>
      </c>
      <c r="E2435" s="333">
        <v>40877</v>
      </c>
      <c r="F2435" s="22" t="s">
        <v>1284</v>
      </c>
      <c r="G2435" s="22"/>
      <c r="H2435" s="332" t="s">
        <v>1037</v>
      </c>
      <c r="I2435" s="139">
        <v>442</v>
      </c>
      <c r="J2435" s="139">
        <v>1449.4900862979314</v>
      </c>
      <c r="K2435" s="285">
        <f t="shared" si="198"/>
        <v>640675</v>
      </c>
      <c r="L2435" s="25" t="s">
        <v>155</v>
      </c>
      <c r="M2435" s="25" t="s">
        <v>153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/>
      </c>
      <c r="Z2435" s="308"/>
    </row>
    <row r="2436" spans="1:26" ht="15.75" customHeight="1">
      <c r="A2436" s="125" t="str">
        <f>IF(B2436&lt;&gt;"",IF(AND(B2436&gt;=_TM1,B2436&lt;=_TM2,OR(TH!L2436="1111",TH!M2436="1111")),TH!D2436,""),"")</f>
        <v/>
      </c>
      <c r="B2436" s="281">
        <f t="shared" si="192"/>
        <v>11</v>
      </c>
      <c r="C2436" s="324">
        <f t="shared" si="197"/>
        <v>40877</v>
      </c>
      <c r="D2436" s="21" t="s">
        <v>1157</v>
      </c>
      <c r="E2436" s="333">
        <v>40877</v>
      </c>
      <c r="F2436" s="22" t="s">
        <v>1285</v>
      </c>
      <c r="G2436" s="22"/>
      <c r="H2436" s="332" t="s">
        <v>1037</v>
      </c>
      <c r="I2436" s="139">
        <v>5000</v>
      </c>
      <c r="J2436" s="139">
        <v>1308.3457858454426</v>
      </c>
      <c r="K2436" s="285">
        <f t="shared" si="198"/>
        <v>6541729</v>
      </c>
      <c r="L2436" s="25" t="s">
        <v>155</v>
      </c>
      <c r="M2436" s="25" t="s">
        <v>153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/>
      </c>
      <c r="Z2436" s="308"/>
    </row>
    <row r="2437" spans="1:26" ht="15.75" customHeight="1">
      <c r="A2437" s="125" t="str">
        <f>IF(B2437&lt;&gt;"",IF(AND(B2437&gt;=_TM1,B2437&lt;=_TM2,OR(TH!L2437="1111",TH!M2437="1111")),TH!D2437,""),"")</f>
        <v/>
      </c>
      <c r="B2437" s="281">
        <f t="shared" si="192"/>
        <v>11</v>
      </c>
      <c r="C2437" s="324">
        <f t="shared" si="197"/>
        <v>40877</v>
      </c>
      <c r="D2437" s="21" t="s">
        <v>1157</v>
      </c>
      <c r="E2437" s="333">
        <v>40877</v>
      </c>
      <c r="F2437" s="22" t="s">
        <v>1286</v>
      </c>
      <c r="G2437" s="22"/>
      <c r="H2437" s="332" t="s">
        <v>1037</v>
      </c>
      <c r="I2437" s="139">
        <v>980</v>
      </c>
      <c r="J2437" s="139">
        <v>16377.50716543728</v>
      </c>
      <c r="K2437" s="285">
        <f t="shared" si="198"/>
        <v>16049957</v>
      </c>
      <c r="L2437" s="25" t="s">
        <v>155</v>
      </c>
      <c r="M2437" s="25" t="s">
        <v>153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/>
      </c>
      <c r="Z2437" s="308"/>
    </row>
    <row r="2438" spans="1:26" ht="15.75" customHeight="1">
      <c r="A2438" s="125" t="str">
        <f>IF(B2438&lt;&gt;"",IF(AND(B2438&gt;=_TM1,B2438&lt;=_TM2,OR(TH!L2438="1111",TH!M2438="1111")),TH!D2438,""),"")</f>
        <v/>
      </c>
      <c r="B2438" s="281">
        <f t="shared" si="192"/>
        <v>11</v>
      </c>
      <c r="C2438" s="324">
        <f t="shared" si="197"/>
        <v>40877</v>
      </c>
      <c r="D2438" s="21" t="s">
        <v>1157</v>
      </c>
      <c r="E2438" s="333">
        <v>40877</v>
      </c>
      <c r="F2438" s="22" t="s">
        <v>1288</v>
      </c>
      <c r="G2438" s="22"/>
      <c r="H2438" s="332" t="s">
        <v>1037</v>
      </c>
      <c r="I2438" s="139">
        <v>1990</v>
      </c>
      <c r="J2438" s="139">
        <v>8153.583060217301</v>
      </c>
      <c r="K2438" s="285">
        <f t="shared" si="198"/>
        <v>16225630</v>
      </c>
      <c r="L2438" s="25" t="s">
        <v>155</v>
      </c>
      <c r="M2438" s="25" t="s">
        <v>153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/>
      </c>
      <c r="Z2438" s="308"/>
    </row>
    <row r="2439" spans="1:26" ht="15.75" customHeight="1">
      <c r="A2439" s="125" t="str">
        <f>IF(B2439&lt;&gt;"",IF(AND(B2439&gt;=_TM1,B2439&lt;=_TM2,OR(TH!L2439="1111",TH!M2439="1111")),TH!D2439,""),"")</f>
        <v/>
      </c>
      <c r="B2439" s="11">
        <f t="shared" si="192"/>
        <v>11</v>
      </c>
      <c r="C2439" s="115">
        <f t="shared" si="197"/>
        <v>40877</v>
      </c>
      <c r="D2439" s="12" t="s">
        <v>920</v>
      </c>
      <c r="E2439" s="303">
        <v>40877</v>
      </c>
      <c r="F2439" s="116" t="s">
        <v>1283</v>
      </c>
      <c r="G2439" s="224" t="s">
        <v>610</v>
      </c>
      <c r="H2439" s="117" t="s">
        <v>711</v>
      </c>
      <c r="I2439" s="141">
        <v>242</v>
      </c>
      <c r="J2439" s="141">
        <v>1537.4999213826327</v>
      </c>
      <c r="K2439" s="330">
        <f t="shared" si="198"/>
        <v>372075</v>
      </c>
      <c r="L2439" s="319" t="s">
        <v>161</v>
      </c>
      <c r="M2439" s="319" t="s">
        <v>155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/>
      </c>
      <c r="Z2439" s="121"/>
    </row>
    <row r="2440" spans="1:26" ht="15.75" customHeight="1">
      <c r="A2440" s="125" t="str">
        <f>IF(B2440&lt;&gt;"",IF(AND(B2440&gt;=_TM1,B2440&lt;=_TM2,OR(TH!L2440="1111",TH!M2440="1111")),TH!D2440,""),"")</f>
        <v/>
      </c>
      <c r="B2440" s="11">
        <f t="shared" si="192"/>
        <v>11</v>
      </c>
      <c r="C2440" s="115">
        <f t="shared" si="197"/>
        <v>40877</v>
      </c>
      <c r="D2440" s="12" t="s">
        <v>920</v>
      </c>
      <c r="E2440" s="303">
        <v>40877</v>
      </c>
      <c r="F2440" s="116" t="s">
        <v>1284</v>
      </c>
      <c r="G2440" s="224" t="s">
        <v>610</v>
      </c>
      <c r="H2440" s="117" t="s">
        <v>711</v>
      </c>
      <c r="I2440" s="141">
        <v>442</v>
      </c>
      <c r="J2440" s="141">
        <v>1449.4900862979314</v>
      </c>
      <c r="K2440" s="330">
        <f t="shared" si="198"/>
        <v>640675</v>
      </c>
      <c r="L2440" s="319" t="s">
        <v>161</v>
      </c>
      <c r="M2440" s="319" t="s">
        <v>155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/>
      </c>
      <c r="Z2440" s="121"/>
    </row>
    <row r="2441" spans="1:26" ht="15.75" customHeight="1">
      <c r="A2441" s="125" t="str">
        <f>IF(B2441&lt;&gt;"",IF(AND(B2441&gt;=_TM1,B2441&lt;=_TM2,OR(TH!L2441="1111",TH!M2441="1111")),TH!D2441,""),"")</f>
        <v/>
      </c>
      <c r="B2441" s="11">
        <f t="shared" si="192"/>
        <v>11</v>
      </c>
      <c r="C2441" s="115">
        <f t="shared" si="197"/>
        <v>40877</v>
      </c>
      <c r="D2441" s="12" t="s">
        <v>920</v>
      </c>
      <c r="E2441" s="303">
        <v>40877</v>
      </c>
      <c r="F2441" s="116" t="s">
        <v>1285</v>
      </c>
      <c r="G2441" s="224" t="s">
        <v>610</v>
      </c>
      <c r="H2441" s="117" t="s">
        <v>711</v>
      </c>
      <c r="I2441" s="141">
        <v>5000</v>
      </c>
      <c r="J2441" s="141">
        <v>1308.3457858454426</v>
      </c>
      <c r="K2441" s="330">
        <f t="shared" si="198"/>
        <v>6541729</v>
      </c>
      <c r="L2441" s="319" t="s">
        <v>161</v>
      </c>
      <c r="M2441" s="319" t="s">
        <v>155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/>
      </c>
      <c r="Z2441" s="121"/>
    </row>
    <row r="2442" spans="1:26" ht="15.75" customHeight="1">
      <c r="A2442" s="125" t="str">
        <f>IF(B2442&lt;&gt;"",IF(AND(B2442&gt;=_TM1,B2442&lt;=_TM2,OR(TH!L2442="1111",TH!M2442="1111")),TH!D2442,""),"")</f>
        <v/>
      </c>
      <c r="B2442" s="11">
        <f t="shared" si="192"/>
        <v>11</v>
      </c>
      <c r="C2442" s="115">
        <f t="shared" si="197"/>
        <v>40877</v>
      </c>
      <c r="D2442" s="12" t="s">
        <v>921</v>
      </c>
      <c r="E2442" s="303">
        <v>40877</v>
      </c>
      <c r="F2442" s="116" t="s">
        <v>1286</v>
      </c>
      <c r="G2442" s="224" t="s">
        <v>1287</v>
      </c>
      <c r="H2442" s="4" t="s">
        <v>743</v>
      </c>
      <c r="I2442" s="141">
        <v>980</v>
      </c>
      <c r="J2442" s="141">
        <v>16377.50716543728</v>
      </c>
      <c r="K2442" s="330">
        <f t="shared" si="198"/>
        <v>16049957</v>
      </c>
      <c r="L2442" s="319" t="s">
        <v>161</v>
      </c>
      <c r="M2442" s="319" t="s">
        <v>155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/>
      </c>
      <c r="Z2442" s="121"/>
    </row>
    <row r="2443" spans="1:26" ht="15.75" customHeight="1">
      <c r="A2443" s="125" t="str">
        <f>IF(B2443&lt;&gt;"",IF(AND(B2443&gt;=_TM1,B2443&lt;=_TM2,OR(TH!L2443="1111",TH!M2443="1111")),TH!D2443,""),"")</f>
        <v/>
      </c>
      <c r="B2443" s="11">
        <f t="shared" si="192"/>
        <v>11</v>
      </c>
      <c r="C2443" s="115">
        <f t="shared" si="197"/>
        <v>40877</v>
      </c>
      <c r="D2443" s="12" t="s">
        <v>921</v>
      </c>
      <c r="E2443" s="303">
        <v>40877</v>
      </c>
      <c r="F2443" s="116" t="s">
        <v>1288</v>
      </c>
      <c r="G2443" s="224" t="s">
        <v>1287</v>
      </c>
      <c r="H2443" s="4" t="s">
        <v>743</v>
      </c>
      <c r="I2443" s="141">
        <v>1990</v>
      </c>
      <c r="J2443" s="141">
        <v>8153.583060217301</v>
      </c>
      <c r="K2443" s="330">
        <f t="shared" si="198"/>
        <v>16225630</v>
      </c>
      <c r="L2443" s="319" t="s">
        <v>161</v>
      </c>
      <c r="M2443" s="319" t="s">
        <v>155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/>
      </c>
      <c r="Z2443" s="121"/>
    </row>
    <row r="2444" spans="1:26" ht="15.75" customHeight="1">
      <c r="A2444" s="125" t="str">
        <f>IF(B2444&lt;&gt;"",IF(AND(B2444&gt;=_TM1,B2444&lt;=_TM2,OR(TH!L2444="1111",TH!M2444="1111")),TH!D2444,""),"")</f>
        <v/>
      </c>
      <c r="B2444" s="11">
        <f t="shared" si="192"/>
        <v>12</v>
      </c>
      <c r="C2444" s="110">
        <v>40879</v>
      </c>
      <c r="D2444" s="110" t="s">
        <v>310</v>
      </c>
      <c r="E2444" s="355">
        <v>40879</v>
      </c>
      <c r="F2444" s="114" t="s">
        <v>312</v>
      </c>
      <c r="G2444" s="240" t="s">
        <v>307</v>
      </c>
      <c r="H2444" s="311" t="s">
        <v>742</v>
      </c>
      <c r="I2444" s="141"/>
      <c r="J2444" s="141"/>
      <c r="K2444" s="238">
        <v>27789995</v>
      </c>
      <c r="L2444" s="239" t="s">
        <v>23</v>
      </c>
      <c r="M2444" s="239" t="s">
        <v>237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/>
      </c>
      <c r="Z2444" s="121"/>
    </row>
    <row r="2445" spans="1:26" ht="15.75" customHeight="1">
      <c r="A2445" s="125" t="str">
        <f>IF(B2445&lt;&gt;"",IF(AND(B2445&gt;=_TM1,B2445&lt;=_TM2,OR(TH!L2445="1111",TH!M2445="1111")),TH!D2445,""),"")</f>
        <v/>
      </c>
      <c r="B2445" s="11">
        <f t="shared" si="192"/>
        <v>12</v>
      </c>
      <c r="C2445" s="115">
        <f t="shared" ref="C2445:C2452" si="199">E2445</f>
        <v>40882</v>
      </c>
      <c r="D2445" s="324" t="s">
        <v>1159</v>
      </c>
      <c r="E2445" s="345">
        <v>40882</v>
      </c>
      <c r="F2445" s="114" t="s">
        <v>499</v>
      </c>
      <c r="G2445" s="15"/>
      <c r="H2445" s="242" t="s">
        <v>1037</v>
      </c>
      <c r="I2445" s="141">
        <v>205</v>
      </c>
      <c r="J2445" s="141">
        <v>11373</v>
      </c>
      <c r="K2445" s="238">
        <f t="shared" ref="K2445:K2452" si="200">ROUND(I2445*J2445,0)</f>
        <v>2331465</v>
      </c>
      <c r="L2445" s="25" t="s">
        <v>153</v>
      </c>
      <c r="M2445" s="25" t="s">
        <v>147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/>
      </c>
      <c r="Z2445" s="121"/>
    </row>
    <row r="2446" spans="1:26" ht="15.75" customHeight="1">
      <c r="A2446" s="125" t="str">
        <f>IF(B2446&lt;&gt;"",IF(AND(B2446&gt;=_TM1,B2446&lt;=_TM2,OR(TH!L2446="1111",TH!M2446="1111")),TH!D2446,""),"")</f>
        <v/>
      </c>
      <c r="B2446" s="11">
        <f t="shared" si="192"/>
        <v>12</v>
      </c>
      <c r="C2446" s="115">
        <f t="shared" si="199"/>
        <v>40882</v>
      </c>
      <c r="D2446" s="324" t="s">
        <v>1159</v>
      </c>
      <c r="E2446" s="345">
        <v>40882</v>
      </c>
      <c r="F2446" s="15" t="s">
        <v>622</v>
      </c>
      <c r="G2446" s="15"/>
      <c r="H2446" s="242" t="s">
        <v>1037</v>
      </c>
      <c r="I2446" s="141">
        <v>235</v>
      </c>
      <c r="J2446" s="141">
        <v>32878</v>
      </c>
      <c r="K2446" s="238">
        <f t="shared" si="200"/>
        <v>7726330</v>
      </c>
      <c r="L2446" s="25" t="s">
        <v>153</v>
      </c>
      <c r="M2446" s="25" t="s">
        <v>147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/>
      </c>
      <c r="Z2446" s="121"/>
    </row>
    <row r="2447" spans="1:26" ht="15.75" customHeight="1">
      <c r="A2447" s="125" t="str">
        <f>IF(B2447&lt;&gt;"",IF(AND(B2447&gt;=_TM1,B2447&lt;=_TM2,OR(TH!L2447="1111",TH!M2447="1111")),TH!D2447,""),"")</f>
        <v/>
      </c>
      <c r="B2447" s="11">
        <f t="shared" si="192"/>
        <v>12</v>
      </c>
      <c r="C2447" s="115">
        <f t="shared" si="199"/>
        <v>40882</v>
      </c>
      <c r="D2447" s="324" t="s">
        <v>1159</v>
      </c>
      <c r="E2447" s="345">
        <v>40882</v>
      </c>
      <c r="F2447" s="114" t="s">
        <v>467</v>
      </c>
      <c r="G2447" s="15"/>
      <c r="H2447" s="242" t="s">
        <v>1037</v>
      </c>
      <c r="I2447" s="141">
        <v>1</v>
      </c>
      <c r="J2447" s="141">
        <v>17427</v>
      </c>
      <c r="K2447" s="238">
        <f t="shared" si="200"/>
        <v>17427</v>
      </c>
      <c r="L2447" s="25" t="s">
        <v>153</v>
      </c>
      <c r="M2447" s="25" t="s">
        <v>147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/>
      </c>
      <c r="Z2447" s="121"/>
    </row>
    <row r="2448" spans="1:26" ht="15.75" customHeight="1">
      <c r="A2448" s="125" t="str">
        <f>IF(B2448&lt;&gt;"",IF(AND(B2448&gt;=_TM1,B2448&lt;=_TM2,OR(TH!L2448="1111",TH!M2448="1111")),TH!D2448,""),"")</f>
        <v/>
      </c>
      <c r="B2448" s="11">
        <f t="shared" si="192"/>
        <v>12</v>
      </c>
      <c r="C2448" s="115">
        <f t="shared" si="199"/>
        <v>40882</v>
      </c>
      <c r="D2448" s="324" t="s">
        <v>1159</v>
      </c>
      <c r="E2448" s="345">
        <v>40882</v>
      </c>
      <c r="F2448" s="15" t="s">
        <v>622</v>
      </c>
      <c r="G2448" s="15"/>
      <c r="H2448" s="242" t="s">
        <v>1037</v>
      </c>
      <c r="I2448" s="141">
        <v>1</v>
      </c>
      <c r="J2448" s="141">
        <v>32878</v>
      </c>
      <c r="K2448" s="238">
        <f t="shared" si="200"/>
        <v>32878</v>
      </c>
      <c r="L2448" s="25" t="s">
        <v>153</v>
      </c>
      <c r="M2448" s="25" t="s">
        <v>147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/>
      </c>
      <c r="Z2448" s="121"/>
    </row>
    <row r="2449" spans="1:26" ht="15.75" customHeight="1">
      <c r="A2449" s="125" t="str">
        <f>IF(B2449&lt;&gt;"",IF(AND(B2449&gt;=_TM1,B2449&lt;=_TM2,OR(TH!L2449="1111",TH!M2449="1111")),TH!D2449,""),"")</f>
        <v/>
      </c>
      <c r="B2449" s="11">
        <f t="shared" si="192"/>
        <v>12</v>
      </c>
      <c r="C2449" s="115">
        <f t="shared" si="199"/>
        <v>40882</v>
      </c>
      <c r="D2449" s="324" t="s">
        <v>1159</v>
      </c>
      <c r="E2449" s="345">
        <v>40882</v>
      </c>
      <c r="F2449" s="15" t="s">
        <v>617</v>
      </c>
      <c r="G2449" s="15"/>
      <c r="H2449" s="242" t="s">
        <v>1037</v>
      </c>
      <c r="I2449" s="141">
        <v>11</v>
      </c>
      <c r="J2449" s="141">
        <v>31752</v>
      </c>
      <c r="K2449" s="238">
        <f t="shared" si="200"/>
        <v>349272</v>
      </c>
      <c r="L2449" s="25" t="s">
        <v>153</v>
      </c>
      <c r="M2449" s="25" t="s">
        <v>147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/>
      </c>
      <c r="Z2449" s="121"/>
    </row>
    <row r="2450" spans="1:26" ht="15.75" customHeight="1">
      <c r="A2450" s="125" t="str">
        <f>IF(B2450&lt;&gt;"",IF(AND(B2450&gt;=_TM1,B2450&lt;=_TM2,OR(TH!L2450="1111",TH!M2450="1111")),TH!D2450,""),"")</f>
        <v/>
      </c>
      <c r="B2450" s="11">
        <f t="shared" si="192"/>
        <v>12</v>
      </c>
      <c r="C2450" s="115">
        <f t="shared" si="199"/>
        <v>40882</v>
      </c>
      <c r="D2450" s="324" t="s">
        <v>1159</v>
      </c>
      <c r="E2450" s="345">
        <v>40882</v>
      </c>
      <c r="F2450" s="15" t="s">
        <v>632</v>
      </c>
      <c r="G2450" s="15"/>
      <c r="H2450" s="242" t="s">
        <v>1037</v>
      </c>
      <c r="I2450" s="141">
        <v>147</v>
      </c>
      <c r="J2450" s="141">
        <v>13455</v>
      </c>
      <c r="K2450" s="238">
        <f t="shared" si="200"/>
        <v>1977885</v>
      </c>
      <c r="L2450" s="25" t="s">
        <v>153</v>
      </c>
      <c r="M2450" s="25" t="s">
        <v>147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/>
      </c>
      <c r="Z2450" s="121"/>
    </row>
    <row r="2451" spans="1:26" ht="15.75" customHeight="1">
      <c r="A2451" s="125" t="str">
        <f>IF(B2451&lt;&gt;"",IF(AND(B2451&gt;=_TM1,B2451&lt;=_TM2,OR(TH!L2451="1111",TH!M2451="1111")),TH!D2451,""),"")</f>
        <v/>
      </c>
      <c r="B2451" s="11">
        <f t="shared" si="192"/>
        <v>12</v>
      </c>
      <c r="C2451" s="115">
        <f t="shared" si="199"/>
        <v>40882</v>
      </c>
      <c r="D2451" s="324" t="s">
        <v>1159</v>
      </c>
      <c r="E2451" s="345">
        <v>40882</v>
      </c>
      <c r="F2451" s="15" t="s">
        <v>632</v>
      </c>
      <c r="G2451" s="15"/>
      <c r="H2451" s="242" t="s">
        <v>1037</v>
      </c>
      <c r="I2451" s="141">
        <v>52</v>
      </c>
      <c r="J2451" s="141">
        <v>13455</v>
      </c>
      <c r="K2451" s="238">
        <f t="shared" si="200"/>
        <v>699660</v>
      </c>
      <c r="L2451" s="25" t="s">
        <v>153</v>
      </c>
      <c r="M2451" s="25" t="s">
        <v>147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/>
      </c>
      <c r="Z2451" s="121"/>
    </row>
    <row r="2452" spans="1:26" ht="15.75" customHeight="1">
      <c r="A2452" s="125" t="str">
        <f>IF(B2452&lt;&gt;"",IF(AND(B2452&gt;=_TM1,B2452&lt;=_TM2,OR(TH!L2452="1111",TH!M2452="1111")),TH!D2452,""),"")</f>
        <v/>
      </c>
      <c r="B2452" s="11">
        <f t="shared" si="192"/>
        <v>12</v>
      </c>
      <c r="C2452" s="115">
        <f t="shared" si="199"/>
        <v>40882</v>
      </c>
      <c r="D2452" s="324" t="s">
        <v>1159</v>
      </c>
      <c r="E2452" s="345">
        <v>40882</v>
      </c>
      <c r="F2452" s="15" t="s">
        <v>626</v>
      </c>
      <c r="G2452" s="15"/>
      <c r="H2452" s="242" t="s">
        <v>1037</v>
      </c>
      <c r="I2452" s="141">
        <v>61</v>
      </c>
      <c r="J2452" s="141">
        <v>16502</v>
      </c>
      <c r="K2452" s="238">
        <f t="shared" si="200"/>
        <v>1006622</v>
      </c>
      <c r="L2452" s="25" t="s">
        <v>153</v>
      </c>
      <c r="M2452" s="25" t="s">
        <v>147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/>
      </c>
      <c r="Z2452" s="121"/>
    </row>
    <row r="2453" spans="1:26" ht="15.75" customHeight="1">
      <c r="A2453" s="125" t="str">
        <f>IF(B2453&lt;&gt;"",IF(AND(B2453&gt;=_TM1,B2453&lt;=_TM2,OR(TH!L2453="1111",TH!M2453="1111")),TH!D2453,""),"")</f>
        <v>T04</v>
      </c>
      <c r="B2453" s="11">
        <f t="shared" si="192"/>
        <v>12</v>
      </c>
      <c r="C2453" s="110">
        <v>40883</v>
      </c>
      <c r="D2453" s="110" t="s">
        <v>643</v>
      </c>
      <c r="E2453" s="355">
        <v>40883</v>
      </c>
      <c r="F2453" s="114" t="s">
        <v>1101</v>
      </c>
      <c r="G2453" s="240" t="s">
        <v>307</v>
      </c>
      <c r="H2453" s="117" t="s">
        <v>340</v>
      </c>
      <c r="I2453" s="141"/>
      <c r="J2453" s="141"/>
      <c r="K2453" s="238">
        <v>27000000</v>
      </c>
      <c r="L2453" s="239" t="s">
        <v>44</v>
      </c>
      <c r="M2453" s="239" t="s">
        <v>23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/>
      </c>
      <c r="Z2453" s="121"/>
    </row>
    <row r="2454" spans="1:26" ht="15.75" customHeight="1">
      <c r="A2454" s="125" t="str">
        <f>IF(B2454&lt;&gt;"",IF(AND(B2454&gt;=_TM1,B2454&lt;=_TM2,OR(TH!L2454="1111",TH!M2454="1111")),TH!D2454,""),"")</f>
        <v/>
      </c>
      <c r="B2454" s="11">
        <f t="shared" si="192"/>
        <v>12</v>
      </c>
      <c r="C2454" s="110">
        <v>40884</v>
      </c>
      <c r="D2454" s="110" t="s">
        <v>310</v>
      </c>
      <c r="E2454" s="355">
        <v>40884</v>
      </c>
      <c r="F2454" s="114" t="s">
        <v>312</v>
      </c>
      <c r="G2454" s="240" t="s">
        <v>307</v>
      </c>
      <c r="H2454" s="117" t="s">
        <v>709</v>
      </c>
      <c r="I2454" s="141"/>
      <c r="J2454" s="141"/>
      <c r="K2454" s="238">
        <v>95680676</v>
      </c>
      <c r="L2454" s="239" t="s">
        <v>23</v>
      </c>
      <c r="M2454" s="239" t="s">
        <v>237</v>
      </c>
      <c r="N2454" s="25" t="str">
        <f>IF(AND('331-CT'!$E$7=TH!H2454,OR(L2454="331",M2454="331")),"331",IF(AND(OR(L2454="131",M2454="131"),H2454='131-CT'!$E$7),"131",""))</f>
        <v>131</v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/>
      </c>
      <c r="Z2454" s="121"/>
    </row>
    <row r="2455" spans="1:26" ht="15.75" customHeight="1">
      <c r="A2455" s="125" t="str">
        <f>IF(B2455&lt;&gt;"",IF(AND(B2455&gt;=_TM1,B2455&lt;=_TM2,OR(TH!L2455="1111",TH!M2455="1111")),TH!D2455,""),"")</f>
        <v/>
      </c>
      <c r="B2455" s="11">
        <f t="shared" si="192"/>
        <v>12</v>
      </c>
      <c r="C2455" s="115">
        <v>40886</v>
      </c>
      <c r="D2455" s="115" t="s">
        <v>922</v>
      </c>
      <c r="E2455" s="345">
        <v>40886</v>
      </c>
      <c r="F2455" s="116" t="s">
        <v>1295</v>
      </c>
      <c r="G2455" s="224" t="s">
        <v>1296</v>
      </c>
      <c r="H2455" s="4" t="s">
        <v>741</v>
      </c>
      <c r="I2455" s="141">
        <v>505</v>
      </c>
      <c r="J2455" s="141">
        <v>9500</v>
      </c>
      <c r="K2455" s="238">
        <v>4797500</v>
      </c>
      <c r="L2455" s="118" t="s">
        <v>237</v>
      </c>
      <c r="M2455" s="118" t="s">
        <v>163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/>
      </c>
      <c r="Z2455" s="121"/>
    </row>
    <row r="2456" spans="1:26" ht="15.75" customHeight="1">
      <c r="A2456" s="125" t="str">
        <f>IF(B2456&lt;&gt;"",IF(AND(B2456&gt;=_TM1,B2456&lt;=_TM2,OR(TH!L2456="1111",TH!M2456="1111")),TH!D2456,""),"")</f>
        <v/>
      </c>
      <c r="B2456" s="11">
        <f t="shared" si="192"/>
        <v>12</v>
      </c>
      <c r="C2456" s="115">
        <v>40886</v>
      </c>
      <c r="D2456" s="115" t="s">
        <v>922</v>
      </c>
      <c r="E2456" s="345">
        <v>40886</v>
      </c>
      <c r="F2456" s="116" t="s">
        <v>1289</v>
      </c>
      <c r="G2456" s="224" t="s">
        <v>1296</v>
      </c>
      <c r="H2456" s="4" t="s">
        <v>741</v>
      </c>
      <c r="I2456" s="141"/>
      <c r="J2456" s="141"/>
      <c r="K2456" s="238">
        <f>479750+2</f>
        <v>479752</v>
      </c>
      <c r="L2456" s="118" t="s">
        <v>237</v>
      </c>
      <c r="M2456" s="118" t="s">
        <v>707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/>
      </c>
      <c r="Z2456" s="121"/>
    </row>
    <row r="2457" spans="1:26" ht="15.75" customHeight="1">
      <c r="A2457" s="125" t="str">
        <f>IF(B2457&lt;&gt;"",IF(AND(B2457&gt;=_TM1,B2457&lt;=_TM2,OR(TH!L2457="1111",TH!M2457="1111")),TH!D2457,""),"")</f>
        <v/>
      </c>
      <c r="B2457" s="11">
        <f t="shared" si="192"/>
        <v>12</v>
      </c>
      <c r="C2457" s="115">
        <f>E2457</f>
        <v>40886</v>
      </c>
      <c r="D2457" s="21" t="s">
        <v>1158</v>
      </c>
      <c r="E2457" s="345">
        <v>40886</v>
      </c>
      <c r="F2457" s="217" t="s">
        <v>1295</v>
      </c>
      <c r="G2457" s="15"/>
      <c r="H2457" s="242" t="s">
        <v>1037</v>
      </c>
      <c r="I2457" s="141">
        <v>505</v>
      </c>
      <c r="J2457" s="141">
        <v>5915.2685818850478</v>
      </c>
      <c r="K2457" s="238">
        <f>ROUND(I2457*J2457,0)</f>
        <v>2987211</v>
      </c>
      <c r="L2457" s="14" t="s">
        <v>155</v>
      </c>
      <c r="M2457" s="14" t="s">
        <v>153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/>
      </c>
      <c r="Z2457" s="121"/>
    </row>
    <row r="2458" spans="1:26" ht="15.75" customHeight="1">
      <c r="A2458" s="125" t="str">
        <f>IF(B2458&lt;&gt;"",IF(AND(B2458&gt;=_TM1,B2458&lt;=_TM2,OR(TH!L2458="1111",TH!M2458="1111")),TH!D2458,""),"")</f>
        <v/>
      </c>
      <c r="B2458" s="11">
        <f t="shared" si="192"/>
        <v>12</v>
      </c>
      <c r="C2458" s="115">
        <f>E2458</f>
        <v>40886</v>
      </c>
      <c r="D2458" s="12" t="s">
        <v>922</v>
      </c>
      <c r="E2458" s="345">
        <v>40886</v>
      </c>
      <c r="F2458" s="116" t="s">
        <v>1295</v>
      </c>
      <c r="G2458" s="224" t="s">
        <v>1296</v>
      </c>
      <c r="H2458" s="4" t="s">
        <v>741</v>
      </c>
      <c r="I2458" s="141">
        <v>505</v>
      </c>
      <c r="J2458" s="141">
        <v>5915.2685818850478</v>
      </c>
      <c r="K2458" s="330">
        <f>ROUND(I2458*J2458,0)</f>
        <v>2987211</v>
      </c>
      <c r="L2458" s="319" t="s">
        <v>161</v>
      </c>
      <c r="M2458" s="319" t="s">
        <v>155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/>
      </c>
      <c r="Z2458" s="121"/>
    </row>
    <row r="2459" spans="1:26" ht="15.75" customHeight="1">
      <c r="A2459" s="125" t="str">
        <f>IF(B2459&lt;&gt;"",IF(AND(B2459&gt;=_TM1,B2459&lt;=_TM2,OR(TH!L2459="1111",TH!M2459="1111")),TH!D2459,""),"")</f>
        <v>T05</v>
      </c>
      <c r="B2459" s="11">
        <f t="shared" si="192"/>
        <v>12</v>
      </c>
      <c r="C2459" s="110">
        <v>40889</v>
      </c>
      <c r="D2459" s="110" t="s">
        <v>762</v>
      </c>
      <c r="E2459" s="355">
        <v>40889</v>
      </c>
      <c r="F2459" s="114" t="s">
        <v>1101</v>
      </c>
      <c r="G2459" s="240" t="s">
        <v>307</v>
      </c>
      <c r="H2459" s="117" t="s">
        <v>340</v>
      </c>
      <c r="I2459" s="141"/>
      <c r="J2459" s="141"/>
      <c r="K2459" s="238">
        <v>95000000</v>
      </c>
      <c r="L2459" s="239" t="s">
        <v>44</v>
      </c>
      <c r="M2459" s="239" t="s">
        <v>23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/>
      </c>
      <c r="Z2459" s="121"/>
    </row>
    <row r="2460" spans="1:26" ht="15.75" customHeight="1">
      <c r="A2460" s="125" t="str">
        <f>IF(B2460&lt;&gt;"",IF(AND(B2460&gt;=_TM1,B2460&lt;=_TM2,OR(TH!L2460="1111",TH!M2460="1111")),TH!D2460,""),"")</f>
        <v>C19</v>
      </c>
      <c r="B2460" s="11">
        <f t="shared" si="192"/>
        <v>12</v>
      </c>
      <c r="C2460" s="115">
        <v>40889</v>
      </c>
      <c r="D2460" s="115" t="s">
        <v>646</v>
      </c>
      <c r="E2460" s="345">
        <v>40889</v>
      </c>
      <c r="F2460" s="116" t="s">
        <v>1224</v>
      </c>
      <c r="G2460" s="224" t="s">
        <v>1290</v>
      </c>
      <c r="H2460" s="4" t="s">
        <v>348</v>
      </c>
      <c r="I2460" s="143">
        <v>20</v>
      </c>
      <c r="J2460" s="143">
        <v>65000</v>
      </c>
      <c r="K2460" s="238">
        <v>1300000</v>
      </c>
      <c r="L2460" s="118" t="s">
        <v>153</v>
      </c>
      <c r="M2460" s="118" t="s">
        <v>44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/>
      </c>
      <c r="Z2460" s="121">
        <v>12</v>
      </c>
    </row>
    <row r="2461" spans="1:26" ht="15.75" customHeight="1">
      <c r="A2461" s="125" t="str">
        <f>IF(B2461&lt;&gt;"",IF(AND(B2461&gt;=_TM1,B2461&lt;=_TM2,OR(TH!L2461="1111",TH!M2461="1111")),TH!D2461,""),"")</f>
        <v>C19</v>
      </c>
      <c r="B2461" s="11">
        <f t="shared" ref="B2461:B2524" si="201">IF(C2461&lt;&gt;"",MONTH(C2461),"")</f>
        <v>12</v>
      </c>
      <c r="C2461" s="115">
        <v>40889</v>
      </c>
      <c r="D2461" s="115" t="s">
        <v>646</v>
      </c>
      <c r="E2461" s="345">
        <v>40889</v>
      </c>
      <c r="F2461" s="116" t="s">
        <v>1110</v>
      </c>
      <c r="G2461" s="224" t="s">
        <v>1290</v>
      </c>
      <c r="H2461" s="4" t="s">
        <v>348</v>
      </c>
      <c r="I2461" s="143"/>
      <c r="J2461" s="143"/>
      <c r="K2461" s="13">
        <v>130000</v>
      </c>
      <c r="L2461" s="118" t="s">
        <v>9</v>
      </c>
      <c r="M2461" s="118" t="s">
        <v>44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/>
      </c>
      <c r="Z2461" s="121">
        <v>12</v>
      </c>
    </row>
    <row r="2462" spans="1:26" ht="15.75" customHeight="1">
      <c r="A2462" s="125" t="str">
        <f>IF(B2462&lt;&gt;"",IF(AND(B2462&gt;=_TM1,B2462&lt;=_TM2,OR(TH!L2462="1111",TH!M2462="1111")),TH!D2462,""),"")</f>
        <v/>
      </c>
      <c r="B2462" s="11">
        <f t="shared" si="201"/>
        <v>12</v>
      </c>
      <c r="C2462" s="115">
        <f t="shared" ref="C2462:C2488" si="202">E2462</f>
        <v>40890</v>
      </c>
      <c r="D2462" s="324" t="s">
        <v>1160</v>
      </c>
      <c r="E2462" s="345">
        <v>40890</v>
      </c>
      <c r="F2462" s="15" t="s">
        <v>633</v>
      </c>
      <c r="G2462" s="15"/>
      <c r="H2462" s="242" t="s">
        <v>1037</v>
      </c>
      <c r="I2462" s="141">
        <v>505</v>
      </c>
      <c r="J2462" s="141">
        <v>16631</v>
      </c>
      <c r="K2462" s="238">
        <f t="shared" ref="K2462:K2488" si="203">ROUND(I2462*J2462,0)</f>
        <v>8398655</v>
      </c>
      <c r="L2462" s="25" t="s">
        <v>153</v>
      </c>
      <c r="M2462" s="25" t="s">
        <v>147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/>
      </c>
      <c r="Z2462" s="121"/>
    </row>
    <row r="2463" spans="1:26" ht="15.75" customHeight="1">
      <c r="A2463" s="125" t="str">
        <f>IF(B2463&lt;&gt;"",IF(AND(B2463&gt;=_TM1,B2463&lt;=_TM2,OR(TH!L2463="1111",TH!M2463="1111")),TH!D2463,""),"")</f>
        <v/>
      </c>
      <c r="B2463" s="11">
        <f t="shared" si="201"/>
        <v>12</v>
      </c>
      <c r="C2463" s="115">
        <f t="shared" si="202"/>
        <v>40890</v>
      </c>
      <c r="D2463" s="324" t="s">
        <v>1160</v>
      </c>
      <c r="E2463" s="345">
        <v>40890</v>
      </c>
      <c r="F2463" s="114" t="s">
        <v>607</v>
      </c>
      <c r="G2463" s="15"/>
      <c r="H2463" s="242" t="s">
        <v>1037</v>
      </c>
      <c r="I2463" s="141">
        <v>61</v>
      </c>
      <c r="J2463" s="141">
        <v>9954</v>
      </c>
      <c r="K2463" s="238">
        <f t="shared" si="203"/>
        <v>607194</v>
      </c>
      <c r="L2463" s="25" t="s">
        <v>153</v>
      </c>
      <c r="M2463" s="25" t="s">
        <v>147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/>
      </c>
      <c r="Z2463" s="121"/>
    </row>
    <row r="2464" spans="1:26" ht="15.75" customHeight="1">
      <c r="A2464" s="125" t="str">
        <f>IF(B2464&lt;&gt;"",IF(AND(B2464&gt;=_TM1,B2464&lt;=_TM2,OR(TH!L2464="1111",TH!M2464="1111")),TH!D2464,""),"")</f>
        <v/>
      </c>
      <c r="B2464" s="11">
        <f t="shared" si="201"/>
        <v>12</v>
      </c>
      <c r="C2464" s="115">
        <f t="shared" si="202"/>
        <v>40890</v>
      </c>
      <c r="D2464" s="324" t="s">
        <v>1160</v>
      </c>
      <c r="E2464" s="345">
        <v>40890</v>
      </c>
      <c r="F2464" s="114" t="s">
        <v>467</v>
      </c>
      <c r="G2464" s="15"/>
      <c r="H2464" s="242" t="s">
        <v>1037</v>
      </c>
      <c r="I2464" s="141">
        <v>2</v>
      </c>
      <c r="J2464" s="141">
        <v>17427</v>
      </c>
      <c r="K2464" s="238">
        <f t="shared" si="203"/>
        <v>34854</v>
      </c>
      <c r="L2464" s="25" t="s">
        <v>153</v>
      </c>
      <c r="M2464" s="25" t="s">
        <v>147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/>
      </c>
      <c r="Z2464" s="121"/>
    </row>
    <row r="2465" spans="1:26" ht="15.75" customHeight="1">
      <c r="A2465" s="125" t="str">
        <f>IF(B2465&lt;&gt;"",IF(AND(B2465&gt;=_TM1,B2465&lt;=_TM2,OR(TH!L2465="1111",TH!M2465="1111")),TH!D2465,""),"")</f>
        <v/>
      </c>
      <c r="B2465" s="11">
        <f t="shared" si="201"/>
        <v>12</v>
      </c>
      <c r="C2465" s="115">
        <f t="shared" si="202"/>
        <v>40890</v>
      </c>
      <c r="D2465" s="324" t="s">
        <v>1160</v>
      </c>
      <c r="E2465" s="345">
        <v>40890</v>
      </c>
      <c r="F2465" s="114" t="s">
        <v>467</v>
      </c>
      <c r="G2465" s="15"/>
      <c r="H2465" s="242" t="s">
        <v>1037</v>
      </c>
      <c r="I2465" s="141">
        <v>16</v>
      </c>
      <c r="J2465" s="141">
        <v>17427</v>
      </c>
      <c r="K2465" s="238">
        <f t="shared" si="203"/>
        <v>278832</v>
      </c>
      <c r="L2465" s="25" t="s">
        <v>153</v>
      </c>
      <c r="M2465" s="25" t="s">
        <v>147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/>
      </c>
      <c r="Z2465" s="121"/>
    </row>
    <row r="2466" spans="1:26" ht="15.75" customHeight="1">
      <c r="A2466" s="125" t="str">
        <f>IF(B2466&lt;&gt;"",IF(AND(B2466&gt;=_TM1,B2466&lt;=_TM2,OR(TH!L2466="1111",TH!M2466="1111")),TH!D2466,""),"")</f>
        <v/>
      </c>
      <c r="B2466" s="11">
        <f t="shared" si="201"/>
        <v>12</v>
      </c>
      <c r="C2466" s="115">
        <f t="shared" si="202"/>
        <v>40890</v>
      </c>
      <c r="D2466" s="324" t="s">
        <v>1160</v>
      </c>
      <c r="E2466" s="345">
        <v>40890</v>
      </c>
      <c r="F2466" s="15" t="s">
        <v>627</v>
      </c>
      <c r="G2466" s="15"/>
      <c r="H2466" s="242" t="s">
        <v>1037</v>
      </c>
      <c r="I2466" s="141">
        <v>10</v>
      </c>
      <c r="J2466" s="141">
        <v>15443</v>
      </c>
      <c r="K2466" s="238">
        <f t="shared" si="203"/>
        <v>154430</v>
      </c>
      <c r="L2466" s="25" t="s">
        <v>153</v>
      </c>
      <c r="M2466" s="25" t="s">
        <v>147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/>
      </c>
      <c r="Z2466" s="121"/>
    </row>
    <row r="2467" spans="1:26" ht="15.75" customHeight="1">
      <c r="A2467" s="125" t="str">
        <f>IF(B2467&lt;&gt;"",IF(AND(B2467&gt;=_TM1,B2467&lt;=_TM2,OR(TH!L2467="1111",TH!M2467="1111")),TH!D2467,""),"")</f>
        <v/>
      </c>
      <c r="B2467" s="11">
        <f t="shared" si="201"/>
        <v>12</v>
      </c>
      <c r="C2467" s="115">
        <f t="shared" si="202"/>
        <v>40890</v>
      </c>
      <c r="D2467" s="324" t="s">
        <v>1160</v>
      </c>
      <c r="E2467" s="345">
        <v>40890</v>
      </c>
      <c r="F2467" s="15" t="s">
        <v>619</v>
      </c>
      <c r="G2467" s="15"/>
      <c r="H2467" s="242" t="s">
        <v>1037</v>
      </c>
      <c r="I2467" s="141">
        <v>135</v>
      </c>
      <c r="J2467" s="141">
        <v>20278</v>
      </c>
      <c r="K2467" s="238">
        <f t="shared" si="203"/>
        <v>2737530</v>
      </c>
      <c r="L2467" s="25" t="s">
        <v>153</v>
      </c>
      <c r="M2467" s="25" t="s">
        <v>147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/>
      </c>
      <c r="Z2467" s="121"/>
    </row>
    <row r="2468" spans="1:26" ht="15.75" customHeight="1">
      <c r="A2468" s="125" t="str">
        <f>IF(B2468&lt;&gt;"",IF(AND(B2468&gt;=_TM1,B2468&lt;=_TM2,OR(TH!L2468="1111",TH!M2468="1111")),TH!D2468,""),"")</f>
        <v/>
      </c>
      <c r="B2468" s="11">
        <f t="shared" si="201"/>
        <v>12</v>
      </c>
      <c r="C2468" s="115">
        <f t="shared" si="202"/>
        <v>40890</v>
      </c>
      <c r="D2468" s="324" t="s">
        <v>1160</v>
      </c>
      <c r="E2468" s="345">
        <v>40890</v>
      </c>
      <c r="F2468" s="15" t="s">
        <v>632</v>
      </c>
      <c r="G2468" s="15"/>
      <c r="H2468" s="242" t="s">
        <v>1037</v>
      </c>
      <c r="I2468" s="141">
        <v>223</v>
      </c>
      <c r="J2468" s="141">
        <v>13455</v>
      </c>
      <c r="K2468" s="238">
        <f t="shared" si="203"/>
        <v>3000465</v>
      </c>
      <c r="L2468" s="25" t="s">
        <v>153</v>
      </c>
      <c r="M2468" s="25" t="s">
        <v>147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/>
      </c>
      <c r="Z2468" s="121"/>
    </row>
    <row r="2469" spans="1:26" ht="15.75" customHeight="1">
      <c r="A2469" s="125" t="str">
        <f>IF(B2469&lt;&gt;"",IF(AND(B2469&gt;=_TM1,B2469&lt;=_TM2,OR(TH!L2469="1111",TH!M2469="1111")),TH!D2469,""),"")</f>
        <v/>
      </c>
      <c r="B2469" s="11">
        <f t="shared" si="201"/>
        <v>12</v>
      </c>
      <c r="C2469" s="115">
        <f t="shared" si="202"/>
        <v>40890</v>
      </c>
      <c r="D2469" s="324" t="s">
        <v>1160</v>
      </c>
      <c r="E2469" s="345">
        <v>40890</v>
      </c>
      <c r="F2469" s="15" t="s">
        <v>575</v>
      </c>
      <c r="G2469" s="15"/>
      <c r="H2469" s="242" t="s">
        <v>1037</v>
      </c>
      <c r="I2469" s="141">
        <v>10</v>
      </c>
      <c r="J2469" s="141">
        <v>17374</v>
      </c>
      <c r="K2469" s="238">
        <f t="shared" si="203"/>
        <v>173740</v>
      </c>
      <c r="L2469" s="25" t="s">
        <v>153</v>
      </c>
      <c r="M2469" s="25" t="s">
        <v>147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/>
      </c>
      <c r="Z2469" s="121"/>
    </row>
    <row r="2470" spans="1:26" ht="15.75" customHeight="1">
      <c r="A2470" s="125" t="str">
        <f>IF(B2470&lt;&gt;"",IF(AND(B2470&gt;=_TM1,B2470&lt;=_TM2,OR(TH!L2470="1111",TH!M2470="1111")),TH!D2470,""),"")</f>
        <v/>
      </c>
      <c r="B2470" s="11">
        <f t="shared" si="201"/>
        <v>12</v>
      </c>
      <c r="C2470" s="115">
        <f t="shared" si="202"/>
        <v>40890</v>
      </c>
      <c r="D2470" s="324" t="s">
        <v>1160</v>
      </c>
      <c r="E2470" s="345">
        <v>40890</v>
      </c>
      <c r="F2470" s="15" t="s">
        <v>627</v>
      </c>
      <c r="G2470" s="15"/>
      <c r="H2470" s="242" t="s">
        <v>1037</v>
      </c>
      <c r="I2470" s="141">
        <v>20</v>
      </c>
      <c r="J2470" s="141">
        <v>15443</v>
      </c>
      <c r="K2470" s="238">
        <f t="shared" si="203"/>
        <v>308860</v>
      </c>
      <c r="L2470" s="25" t="s">
        <v>153</v>
      </c>
      <c r="M2470" s="25" t="s">
        <v>147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/>
      </c>
      <c r="Z2470" s="121"/>
    </row>
    <row r="2471" spans="1:26" ht="15.75" customHeight="1">
      <c r="A2471" s="125" t="str">
        <f>IF(B2471&lt;&gt;"",IF(AND(B2471&gt;=_TM1,B2471&lt;=_TM2,OR(TH!L2471="1111",TH!M2471="1111")),TH!D2471,""),"")</f>
        <v/>
      </c>
      <c r="B2471" s="11">
        <f t="shared" si="201"/>
        <v>12</v>
      </c>
      <c r="C2471" s="115">
        <f t="shared" si="202"/>
        <v>40892</v>
      </c>
      <c r="D2471" s="324" t="s">
        <v>1161</v>
      </c>
      <c r="E2471" s="345">
        <v>40892</v>
      </c>
      <c r="F2471" s="15" t="s">
        <v>632</v>
      </c>
      <c r="G2471" s="15"/>
      <c r="H2471" s="242" t="s">
        <v>1037</v>
      </c>
      <c r="I2471" s="141">
        <v>2</v>
      </c>
      <c r="J2471" s="141">
        <v>13455</v>
      </c>
      <c r="K2471" s="238">
        <f t="shared" si="203"/>
        <v>26910</v>
      </c>
      <c r="L2471" s="25" t="s">
        <v>153</v>
      </c>
      <c r="M2471" s="25" t="s">
        <v>147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/>
      </c>
      <c r="Z2471" s="121"/>
    </row>
    <row r="2472" spans="1:26" ht="15.75" customHeight="1">
      <c r="A2472" s="125" t="str">
        <f>IF(B2472&lt;&gt;"",IF(AND(B2472&gt;=_TM1,B2472&lt;=_TM2,OR(TH!L2472="1111",TH!M2472="1111")),TH!D2472,""),"")</f>
        <v/>
      </c>
      <c r="B2472" s="11">
        <f t="shared" si="201"/>
        <v>12</v>
      </c>
      <c r="C2472" s="115">
        <f t="shared" si="202"/>
        <v>40892</v>
      </c>
      <c r="D2472" s="324" t="s">
        <v>1161</v>
      </c>
      <c r="E2472" s="345">
        <v>40892</v>
      </c>
      <c r="F2472" s="15" t="s">
        <v>575</v>
      </c>
      <c r="G2472" s="15"/>
      <c r="H2472" s="242" t="s">
        <v>1037</v>
      </c>
      <c r="I2472" s="141">
        <v>379</v>
      </c>
      <c r="J2472" s="141">
        <v>17374</v>
      </c>
      <c r="K2472" s="238">
        <f t="shared" si="203"/>
        <v>6584746</v>
      </c>
      <c r="L2472" s="25" t="s">
        <v>153</v>
      </c>
      <c r="M2472" s="25" t="s">
        <v>147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/>
      </c>
      <c r="Z2472" s="121"/>
    </row>
    <row r="2473" spans="1:26" ht="15.75" customHeight="1">
      <c r="A2473" s="125" t="str">
        <f>IF(B2473&lt;&gt;"",IF(AND(B2473&gt;=_TM1,B2473&lt;=_TM2,OR(TH!L2473="1111",TH!M2473="1111")),TH!D2473,""),"")</f>
        <v/>
      </c>
      <c r="B2473" s="11">
        <f t="shared" si="201"/>
        <v>12</v>
      </c>
      <c r="C2473" s="115">
        <f t="shared" si="202"/>
        <v>40892</v>
      </c>
      <c r="D2473" s="324" t="s">
        <v>1161</v>
      </c>
      <c r="E2473" s="345">
        <v>40892</v>
      </c>
      <c r="F2473" s="15" t="s">
        <v>633</v>
      </c>
      <c r="G2473" s="15"/>
      <c r="H2473" s="242" t="s">
        <v>1037</v>
      </c>
      <c r="I2473" s="141">
        <v>82</v>
      </c>
      <c r="J2473" s="141">
        <v>16631</v>
      </c>
      <c r="K2473" s="238">
        <f t="shared" si="203"/>
        <v>1363742</v>
      </c>
      <c r="L2473" s="25" t="s">
        <v>153</v>
      </c>
      <c r="M2473" s="25" t="s">
        <v>147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/>
      </c>
      <c r="Z2473" s="121"/>
    </row>
    <row r="2474" spans="1:26" ht="15.75" customHeight="1">
      <c r="A2474" s="125" t="str">
        <f>IF(B2474&lt;&gt;"",IF(AND(B2474&gt;=_TM1,B2474&lt;=_TM2,OR(TH!L2474="1111",TH!M2474="1111")),TH!D2474,""),"")</f>
        <v/>
      </c>
      <c r="B2474" s="11">
        <f t="shared" si="201"/>
        <v>12</v>
      </c>
      <c r="C2474" s="115">
        <f t="shared" si="202"/>
        <v>40892</v>
      </c>
      <c r="D2474" s="324" t="s">
        <v>1161</v>
      </c>
      <c r="E2474" s="345">
        <v>40892</v>
      </c>
      <c r="F2474" s="15" t="s">
        <v>632</v>
      </c>
      <c r="G2474" s="15"/>
      <c r="H2474" s="242" t="s">
        <v>1037</v>
      </c>
      <c r="I2474" s="141">
        <v>72</v>
      </c>
      <c r="J2474" s="141">
        <v>13455</v>
      </c>
      <c r="K2474" s="238">
        <f t="shared" si="203"/>
        <v>968760</v>
      </c>
      <c r="L2474" s="25" t="s">
        <v>153</v>
      </c>
      <c r="M2474" s="25" t="s">
        <v>147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/>
      </c>
      <c r="Z2474" s="121"/>
    </row>
    <row r="2475" spans="1:26" ht="15.75" customHeight="1">
      <c r="A2475" s="125" t="str">
        <f>IF(B2475&lt;&gt;"",IF(AND(B2475&gt;=_TM1,B2475&lt;=_TM2,OR(TH!L2475="1111",TH!M2475="1111")),TH!D2475,""),"")</f>
        <v/>
      </c>
      <c r="B2475" s="11">
        <f t="shared" si="201"/>
        <v>12</v>
      </c>
      <c r="C2475" s="115">
        <f t="shared" si="202"/>
        <v>40892</v>
      </c>
      <c r="D2475" s="324" t="s">
        <v>1161</v>
      </c>
      <c r="E2475" s="345">
        <v>40892</v>
      </c>
      <c r="F2475" s="15" t="s">
        <v>632</v>
      </c>
      <c r="G2475" s="15"/>
      <c r="H2475" s="242" t="s">
        <v>1037</v>
      </c>
      <c r="I2475" s="141">
        <v>52</v>
      </c>
      <c r="J2475" s="141">
        <v>13455</v>
      </c>
      <c r="K2475" s="238">
        <f t="shared" si="203"/>
        <v>699660</v>
      </c>
      <c r="L2475" s="25" t="s">
        <v>153</v>
      </c>
      <c r="M2475" s="25" t="s">
        <v>147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/>
      </c>
      <c r="Z2475" s="121"/>
    </row>
    <row r="2476" spans="1:26" ht="15.75" customHeight="1">
      <c r="A2476" s="125" t="str">
        <f>IF(B2476&lt;&gt;"",IF(AND(B2476&gt;=_TM1,B2476&lt;=_TM2,OR(TH!L2476="1111",TH!M2476="1111")),TH!D2476,""),"")</f>
        <v/>
      </c>
      <c r="B2476" s="11">
        <f t="shared" si="201"/>
        <v>12</v>
      </c>
      <c r="C2476" s="115">
        <f t="shared" si="202"/>
        <v>40892</v>
      </c>
      <c r="D2476" s="324" t="s">
        <v>1161</v>
      </c>
      <c r="E2476" s="345">
        <v>40892</v>
      </c>
      <c r="F2476" s="15" t="s">
        <v>632</v>
      </c>
      <c r="G2476" s="15"/>
      <c r="H2476" s="242" t="s">
        <v>1037</v>
      </c>
      <c r="I2476" s="141">
        <v>51</v>
      </c>
      <c r="J2476" s="141">
        <v>13455</v>
      </c>
      <c r="K2476" s="238">
        <f t="shared" si="203"/>
        <v>686205</v>
      </c>
      <c r="L2476" s="25" t="s">
        <v>153</v>
      </c>
      <c r="M2476" s="25" t="s">
        <v>147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/>
      </c>
      <c r="Z2476" s="121"/>
    </row>
    <row r="2477" spans="1:26" ht="15.75" customHeight="1">
      <c r="A2477" s="125" t="str">
        <f>IF(B2477&lt;&gt;"",IF(AND(B2477&gt;=_TM1,B2477&lt;=_TM2,OR(TH!L2477="1111",TH!M2477="1111")),TH!D2477,""),"")</f>
        <v/>
      </c>
      <c r="B2477" s="11">
        <f t="shared" si="201"/>
        <v>12</v>
      </c>
      <c r="C2477" s="115">
        <f t="shared" si="202"/>
        <v>40892</v>
      </c>
      <c r="D2477" s="324" t="s">
        <v>1161</v>
      </c>
      <c r="E2477" s="345">
        <v>40892</v>
      </c>
      <c r="F2477" s="15" t="s">
        <v>622</v>
      </c>
      <c r="G2477" s="15"/>
      <c r="H2477" s="242" t="s">
        <v>1037</v>
      </c>
      <c r="I2477" s="141">
        <v>25.5</v>
      </c>
      <c r="J2477" s="141">
        <v>32878</v>
      </c>
      <c r="K2477" s="238">
        <f t="shared" si="203"/>
        <v>838389</v>
      </c>
      <c r="L2477" s="25" t="s">
        <v>153</v>
      </c>
      <c r="M2477" s="25" t="s">
        <v>147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/>
      </c>
      <c r="Z2477" s="121"/>
    </row>
    <row r="2478" spans="1:26" ht="15.75" customHeight="1">
      <c r="A2478" s="125" t="str">
        <f>IF(B2478&lt;&gt;"",IF(AND(B2478&gt;=_TM1,B2478&lt;=_TM2,OR(TH!L2478="1111",TH!M2478="1111")),TH!D2478,""),"")</f>
        <v/>
      </c>
      <c r="B2478" s="11">
        <f t="shared" si="201"/>
        <v>12</v>
      </c>
      <c r="C2478" s="115">
        <f t="shared" si="202"/>
        <v>40892</v>
      </c>
      <c r="D2478" s="324" t="s">
        <v>1161</v>
      </c>
      <c r="E2478" s="345">
        <v>40892</v>
      </c>
      <c r="F2478" s="15" t="s">
        <v>622</v>
      </c>
      <c r="G2478" s="15"/>
      <c r="H2478" s="242" t="s">
        <v>1037</v>
      </c>
      <c r="I2478" s="141">
        <v>28.5</v>
      </c>
      <c r="J2478" s="141">
        <v>32878</v>
      </c>
      <c r="K2478" s="238">
        <f t="shared" si="203"/>
        <v>937023</v>
      </c>
      <c r="L2478" s="25" t="s">
        <v>153</v>
      </c>
      <c r="M2478" s="25" t="s">
        <v>147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/>
      </c>
      <c r="Z2478" s="121"/>
    </row>
    <row r="2479" spans="1:26" ht="15.75" customHeight="1">
      <c r="A2479" s="125" t="str">
        <f>IF(B2479&lt;&gt;"",IF(AND(B2479&gt;=_TM1,B2479&lt;=_TM2,OR(TH!L2479="1111",TH!M2479="1111")),TH!D2479,""),"")</f>
        <v/>
      </c>
      <c r="B2479" s="11">
        <f t="shared" si="201"/>
        <v>12</v>
      </c>
      <c r="C2479" s="115">
        <f t="shared" si="202"/>
        <v>40892</v>
      </c>
      <c r="D2479" s="324" t="s">
        <v>1161</v>
      </c>
      <c r="E2479" s="345">
        <v>40892</v>
      </c>
      <c r="F2479" s="15" t="s">
        <v>575</v>
      </c>
      <c r="G2479" s="15"/>
      <c r="H2479" s="242" t="s">
        <v>1037</v>
      </c>
      <c r="I2479" s="141">
        <v>2</v>
      </c>
      <c r="J2479" s="141">
        <v>17374</v>
      </c>
      <c r="K2479" s="238">
        <f t="shared" si="203"/>
        <v>34748</v>
      </c>
      <c r="L2479" s="25" t="s">
        <v>153</v>
      </c>
      <c r="M2479" s="25" t="s">
        <v>147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/>
      </c>
      <c r="Z2479" s="121"/>
    </row>
    <row r="2480" spans="1:26" ht="15.75" customHeight="1">
      <c r="A2480" s="125" t="str">
        <f>IF(B2480&lt;&gt;"",IF(AND(B2480&gt;=_TM1,B2480&lt;=_TM2,OR(TH!L2480="1111",TH!M2480="1111")),TH!D2480,""),"")</f>
        <v/>
      </c>
      <c r="B2480" s="11">
        <f t="shared" si="201"/>
        <v>12</v>
      </c>
      <c r="C2480" s="115">
        <f t="shared" si="202"/>
        <v>40894</v>
      </c>
      <c r="D2480" s="324" t="s">
        <v>1162</v>
      </c>
      <c r="E2480" s="345">
        <v>40894</v>
      </c>
      <c r="F2480" s="15" t="s">
        <v>627</v>
      </c>
      <c r="G2480" s="15"/>
      <c r="H2480" s="242" t="s">
        <v>1037</v>
      </c>
      <c r="I2480" s="141">
        <v>7</v>
      </c>
      <c r="J2480" s="141">
        <v>15443</v>
      </c>
      <c r="K2480" s="238">
        <f t="shared" si="203"/>
        <v>108101</v>
      </c>
      <c r="L2480" s="25" t="s">
        <v>153</v>
      </c>
      <c r="M2480" s="25" t="s">
        <v>147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/>
      </c>
      <c r="Z2480" s="121"/>
    </row>
    <row r="2481" spans="1:26" ht="15.75" customHeight="1">
      <c r="A2481" s="125" t="str">
        <f>IF(B2481&lt;&gt;"",IF(AND(B2481&gt;=_TM1,B2481&lt;=_TM2,OR(TH!L2481="1111",TH!M2481="1111")),TH!D2481,""),"")</f>
        <v/>
      </c>
      <c r="B2481" s="11">
        <f t="shared" si="201"/>
        <v>12</v>
      </c>
      <c r="C2481" s="115">
        <f t="shared" si="202"/>
        <v>40894</v>
      </c>
      <c r="D2481" s="324" t="s">
        <v>1162</v>
      </c>
      <c r="E2481" s="345">
        <v>40894</v>
      </c>
      <c r="F2481" s="15" t="s">
        <v>575</v>
      </c>
      <c r="G2481" s="15"/>
      <c r="H2481" s="242" t="s">
        <v>1037</v>
      </c>
      <c r="I2481" s="141">
        <v>4</v>
      </c>
      <c r="J2481" s="141">
        <v>17374</v>
      </c>
      <c r="K2481" s="238">
        <f t="shared" si="203"/>
        <v>69496</v>
      </c>
      <c r="L2481" s="25" t="s">
        <v>153</v>
      </c>
      <c r="M2481" s="25" t="s">
        <v>147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/>
      </c>
      <c r="Z2481" s="121"/>
    </row>
    <row r="2482" spans="1:26" ht="15.75" customHeight="1">
      <c r="A2482" s="125" t="str">
        <f>IF(B2482&lt;&gt;"",IF(AND(B2482&gt;=_TM1,B2482&lt;=_TM2,OR(TH!L2482="1111",TH!M2482="1111")),TH!D2482,""),"")</f>
        <v/>
      </c>
      <c r="B2482" s="11">
        <f t="shared" si="201"/>
        <v>12</v>
      </c>
      <c r="C2482" s="115">
        <f t="shared" si="202"/>
        <v>40894</v>
      </c>
      <c r="D2482" s="324" t="s">
        <v>1162</v>
      </c>
      <c r="E2482" s="345">
        <v>40894</v>
      </c>
      <c r="F2482" s="15" t="s">
        <v>575</v>
      </c>
      <c r="G2482" s="15"/>
      <c r="H2482" s="242" t="s">
        <v>1037</v>
      </c>
      <c r="I2482" s="141">
        <v>4</v>
      </c>
      <c r="J2482" s="141">
        <v>17374</v>
      </c>
      <c r="K2482" s="238">
        <f t="shared" si="203"/>
        <v>69496</v>
      </c>
      <c r="L2482" s="25" t="s">
        <v>153</v>
      </c>
      <c r="M2482" s="25" t="s">
        <v>147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/>
      </c>
      <c r="Z2482" s="121"/>
    </row>
    <row r="2483" spans="1:26" ht="15.75" customHeight="1">
      <c r="A2483" s="125" t="str">
        <f>IF(B2483&lt;&gt;"",IF(AND(B2483&gt;=_TM1,B2483&lt;=_TM2,OR(TH!L2483="1111",TH!M2483="1111")),TH!D2483,""),"")</f>
        <v/>
      </c>
      <c r="B2483" s="11">
        <f t="shared" si="201"/>
        <v>12</v>
      </c>
      <c r="C2483" s="115">
        <f t="shared" si="202"/>
        <v>40894</v>
      </c>
      <c r="D2483" s="324" t="s">
        <v>1162</v>
      </c>
      <c r="E2483" s="345">
        <v>40894</v>
      </c>
      <c r="F2483" s="114" t="s">
        <v>484</v>
      </c>
      <c r="G2483" s="15"/>
      <c r="H2483" s="242" t="s">
        <v>1037</v>
      </c>
      <c r="I2483" s="141">
        <v>27</v>
      </c>
      <c r="J2483" s="141">
        <v>8620</v>
      </c>
      <c r="K2483" s="238">
        <f t="shared" si="203"/>
        <v>232740</v>
      </c>
      <c r="L2483" s="25" t="s">
        <v>153</v>
      </c>
      <c r="M2483" s="25" t="s">
        <v>147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/>
      </c>
      <c r="Z2483" s="121"/>
    </row>
    <row r="2484" spans="1:26" ht="15.75" customHeight="1">
      <c r="A2484" s="125" t="str">
        <f>IF(B2484&lt;&gt;"",IF(AND(B2484&gt;=_TM1,B2484&lt;=_TM2,OR(TH!L2484="1111",TH!M2484="1111")),TH!D2484,""),"")</f>
        <v/>
      </c>
      <c r="B2484" s="11">
        <f t="shared" si="201"/>
        <v>12</v>
      </c>
      <c r="C2484" s="115">
        <f t="shared" si="202"/>
        <v>40894</v>
      </c>
      <c r="D2484" s="324" t="s">
        <v>1162</v>
      </c>
      <c r="E2484" s="345">
        <v>40894</v>
      </c>
      <c r="F2484" s="15" t="s">
        <v>575</v>
      </c>
      <c r="G2484" s="15"/>
      <c r="H2484" s="242" t="s">
        <v>1037</v>
      </c>
      <c r="I2484" s="141">
        <v>1</v>
      </c>
      <c r="J2484" s="141">
        <v>17374</v>
      </c>
      <c r="K2484" s="238">
        <f t="shared" si="203"/>
        <v>17374</v>
      </c>
      <c r="L2484" s="25" t="s">
        <v>153</v>
      </c>
      <c r="M2484" s="25" t="s">
        <v>147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/>
      </c>
      <c r="Z2484" s="121"/>
    </row>
    <row r="2485" spans="1:26" ht="15.75" customHeight="1">
      <c r="A2485" s="125" t="str">
        <f>IF(B2485&lt;&gt;"",IF(AND(B2485&gt;=_TM1,B2485&lt;=_TM2,OR(TH!L2485="1111",TH!M2485="1111")),TH!D2485,""),"")</f>
        <v/>
      </c>
      <c r="B2485" s="11">
        <f t="shared" si="201"/>
        <v>12</v>
      </c>
      <c r="C2485" s="115">
        <f t="shared" si="202"/>
        <v>40894</v>
      </c>
      <c r="D2485" s="324" t="s">
        <v>1162</v>
      </c>
      <c r="E2485" s="345">
        <v>40894</v>
      </c>
      <c r="F2485" s="15" t="s">
        <v>575</v>
      </c>
      <c r="G2485" s="15"/>
      <c r="H2485" s="242" t="s">
        <v>1037</v>
      </c>
      <c r="I2485" s="141">
        <v>2</v>
      </c>
      <c r="J2485" s="141">
        <v>17374</v>
      </c>
      <c r="K2485" s="238">
        <f t="shared" si="203"/>
        <v>34748</v>
      </c>
      <c r="L2485" s="25" t="s">
        <v>153</v>
      </c>
      <c r="M2485" s="25" t="s">
        <v>147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/>
      </c>
      <c r="Z2485" s="121"/>
    </row>
    <row r="2486" spans="1:26" ht="15.75" customHeight="1">
      <c r="A2486" s="125" t="str">
        <f>IF(B2486&lt;&gt;"",IF(AND(B2486&gt;=_TM1,B2486&lt;=_TM2,OR(TH!L2486="1111",TH!M2486="1111")),TH!D2486,""),"")</f>
        <v/>
      </c>
      <c r="B2486" s="11">
        <f t="shared" si="201"/>
        <v>12</v>
      </c>
      <c r="C2486" s="115">
        <f t="shared" si="202"/>
        <v>40894</v>
      </c>
      <c r="D2486" s="324" t="s">
        <v>1162</v>
      </c>
      <c r="E2486" s="345">
        <v>40894</v>
      </c>
      <c r="F2486" s="15" t="s">
        <v>626</v>
      </c>
      <c r="G2486" s="15"/>
      <c r="H2486" s="242" t="s">
        <v>1037</v>
      </c>
      <c r="I2486" s="141">
        <v>5</v>
      </c>
      <c r="J2486" s="141">
        <v>16502</v>
      </c>
      <c r="K2486" s="238">
        <f t="shared" si="203"/>
        <v>82510</v>
      </c>
      <c r="L2486" s="25" t="s">
        <v>153</v>
      </c>
      <c r="M2486" s="25" t="s">
        <v>147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/>
      </c>
      <c r="Z2486" s="121"/>
    </row>
    <row r="2487" spans="1:26" ht="15.75" customHeight="1">
      <c r="A2487" s="125" t="str">
        <f>IF(B2487&lt;&gt;"",IF(AND(B2487&gt;=_TM1,B2487&lt;=_TM2,OR(TH!L2487="1111",TH!M2487="1111")),TH!D2487,""),"")</f>
        <v/>
      </c>
      <c r="B2487" s="11">
        <f t="shared" si="201"/>
        <v>12</v>
      </c>
      <c r="C2487" s="115">
        <f t="shared" si="202"/>
        <v>40894</v>
      </c>
      <c r="D2487" s="324" t="s">
        <v>1162</v>
      </c>
      <c r="E2487" s="345">
        <v>40894</v>
      </c>
      <c r="F2487" s="15" t="s">
        <v>622</v>
      </c>
      <c r="G2487" s="15"/>
      <c r="H2487" s="242" t="s">
        <v>1037</v>
      </c>
      <c r="I2487" s="141">
        <v>2</v>
      </c>
      <c r="J2487" s="141">
        <v>32878</v>
      </c>
      <c r="K2487" s="238">
        <f t="shared" si="203"/>
        <v>65756</v>
      </c>
      <c r="L2487" s="25" t="s">
        <v>153</v>
      </c>
      <c r="M2487" s="25" t="s">
        <v>147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/>
      </c>
      <c r="Z2487" s="121"/>
    </row>
    <row r="2488" spans="1:26" ht="15.75" customHeight="1">
      <c r="A2488" s="125" t="str">
        <f>IF(B2488&lt;&gt;"",IF(AND(B2488&gt;=_TM1,B2488&lt;=_TM2,OR(TH!L2488="1111",TH!M2488="1111")),TH!D2488,""),"")</f>
        <v/>
      </c>
      <c r="B2488" s="11">
        <f t="shared" si="201"/>
        <v>12</v>
      </c>
      <c r="C2488" s="115">
        <f t="shared" si="202"/>
        <v>40894</v>
      </c>
      <c r="D2488" s="324" t="s">
        <v>1162</v>
      </c>
      <c r="E2488" s="345">
        <v>40894</v>
      </c>
      <c r="F2488" s="114" t="s">
        <v>484</v>
      </c>
      <c r="G2488" s="15"/>
      <c r="H2488" s="242" t="s">
        <v>1037</v>
      </c>
      <c r="I2488" s="141">
        <v>1</v>
      </c>
      <c r="J2488" s="141">
        <v>8620</v>
      </c>
      <c r="K2488" s="238">
        <f t="shared" si="203"/>
        <v>8620</v>
      </c>
      <c r="L2488" s="25" t="s">
        <v>153</v>
      </c>
      <c r="M2488" s="25" t="s">
        <v>147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/>
      </c>
      <c r="Z2488" s="121"/>
    </row>
    <row r="2489" spans="1:26" ht="15.75" customHeight="1">
      <c r="A2489" s="125" t="str">
        <f>IF(B2489&lt;&gt;"",IF(AND(B2489&gt;=_TM1,B2489&lt;=_TM2,OR(TH!L2489="1111",TH!M2489="1111")),TH!D2489,""),"")</f>
        <v/>
      </c>
      <c r="B2489" s="11">
        <f t="shared" si="201"/>
        <v>12</v>
      </c>
      <c r="C2489" s="110">
        <v>40896</v>
      </c>
      <c r="D2489" s="110" t="s">
        <v>310</v>
      </c>
      <c r="E2489" s="355">
        <v>40896</v>
      </c>
      <c r="F2489" s="114" t="s">
        <v>312</v>
      </c>
      <c r="G2489" s="240" t="s">
        <v>307</v>
      </c>
      <c r="H2489" s="4" t="s">
        <v>711</v>
      </c>
      <c r="I2489" s="141"/>
      <c r="J2489" s="141"/>
      <c r="K2489" s="238">
        <v>18823000</v>
      </c>
      <c r="L2489" s="239" t="s">
        <v>23</v>
      </c>
      <c r="M2489" s="239" t="s">
        <v>237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/>
      </c>
      <c r="Z2489" s="121"/>
    </row>
    <row r="2490" spans="1:26" ht="15.75" customHeight="1">
      <c r="A2490" s="125" t="str">
        <f>IF(B2490&lt;&gt;"",IF(AND(B2490&gt;=_TM1,B2490&lt;=_TM2,OR(TH!L2490="1111",TH!M2490="1111")),TH!D2490,""),"")</f>
        <v>C20</v>
      </c>
      <c r="B2490" s="11">
        <f t="shared" si="201"/>
        <v>12</v>
      </c>
      <c r="C2490" s="115">
        <v>40896</v>
      </c>
      <c r="D2490" s="115" t="s">
        <v>647</v>
      </c>
      <c r="E2490" s="345">
        <v>40896</v>
      </c>
      <c r="F2490" s="116" t="s">
        <v>425</v>
      </c>
      <c r="G2490" s="224" t="s">
        <v>1291</v>
      </c>
      <c r="H2490" s="20" t="s">
        <v>428</v>
      </c>
      <c r="I2490" s="141"/>
      <c r="J2490" s="141"/>
      <c r="K2490" s="13">
        <v>318920</v>
      </c>
      <c r="L2490" s="118" t="s">
        <v>153</v>
      </c>
      <c r="M2490" s="118" t="s">
        <v>44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/>
      </c>
      <c r="Z2490" s="121">
        <v>12</v>
      </c>
    </row>
    <row r="2491" spans="1:26" ht="15.75" customHeight="1">
      <c r="A2491" s="125" t="str">
        <f>IF(B2491&lt;&gt;"",IF(AND(B2491&gt;=_TM1,B2491&lt;=_TM2,OR(TH!L2491="1111",TH!M2491="1111")),TH!D2491,""),"")</f>
        <v>C20</v>
      </c>
      <c r="B2491" s="11">
        <f t="shared" si="201"/>
        <v>12</v>
      </c>
      <c r="C2491" s="115">
        <v>40896</v>
      </c>
      <c r="D2491" s="115" t="s">
        <v>647</v>
      </c>
      <c r="E2491" s="345">
        <v>40896</v>
      </c>
      <c r="F2491" s="116" t="s">
        <v>426</v>
      </c>
      <c r="G2491" s="224" t="s">
        <v>1291</v>
      </c>
      <c r="H2491" s="20" t="s">
        <v>428</v>
      </c>
      <c r="I2491" s="141"/>
      <c r="J2491" s="141"/>
      <c r="K2491" s="13">
        <v>31892</v>
      </c>
      <c r="L2491" s="118" t="s">
        <v>9</v>
      </c>
      <c r="M2491" s="118" t="s">
        <v>44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/>
      </c>
      <c r="Z2491" s="121">
        <v>12</v>
      </c>
    </row>
    <row r="2492" spans="1:26" ht="15.75" customHeight="1">
      <c r="A2492" s="125" t="str">
        <f>IF(B2492&lt;&gt;"",IF(AND(B2492&gt;=_TM1,B2492&lt;=_TM2,OR(TH!L2492="1111",TH!M2492="1111")),TH!D2492,""),"")</f>
        <v/>
      </c>
      <c r="B2492" s="11">
        <f t="shared" si="201"/>
        <v>12</v>
      </c>
      <c r="C2492" s="115">
        <v>40896</v>
      </c>
      <c r="D2492" s="115" t="s">
        <v>923</v>
      </c>
      <c r="E2492" s="345">
        <v>40896</v>
      </c>
      <c r="F2492" s="116" t="s">
        <v>1293</v>
      </c>
      <c r="G2492" s="224" t="s">
        <v>1294</v>
      </c>
      <c r="H2492" s="4" t="s">
        <v>743</v>
      </c>
      <c r="I2492" s="141">
        <v>470</v>
      </c>
      <c r="J2492" s="141">
        <v>22000</v>
      </c>
      <c r="K2492" s="238">
        <v>10340000</v>
      </c>
      <c r="L2492" s="118" t="s">
        <v>237</v>
      </c>
      <c r="M2492" s="118" t="s">
        <v>163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/>
      </c>
      <c r="Z2492" s="121"/>
    </row>
    <row r="2493" spans="1:26" ht="15.75" customHeight="1">
      <c r="A2493" s="125" t="str">
        <f>IF(B2493&lt;&gt;"",IF(AND(B2493&gt;=_TM1,B2493&lt;=_TM2,OR(TH!L2493="1111",TH!M2493="1111")),TH!D2493,""),"")</f>
        <v/>
      </c>
      <c r="B2493" s="11">
        <f t="shared" si="201"/>
        <v>12</v>
      </c>
      <c r="C2493" s="115">
        <v>40896</v>
      </c>
      <c r="D2493" s="115" t="s">
        <v>923</v>
      </c>
      <c r="E2493" s="345">
        <v>40896</v>
      </c>
      <c r="F2493" s="116" t="s">
        <v>1289</v>
      </c>
      <c r="G2493" s="224" t="s">
        <v>1294</v>
      </c>
      <c r="H2493" s="4" t="s">
        <v>743</v>
      </c>
      <c r="I2493" s="141"/>
      <c r="J2493" s="141"/>
      <c r="K2493" s="238">
        <v>1034000</v>
      </c>
      <c r="L2493" s="118" t="s">
        <v>237</v>
      </c>
      <c r="M2493" s="118" t="s">
        <v>707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/>
      </c>
      <c r="Z2493" s="121"/>
    </row>
    <row r="2494" spans="1:26" ht="15.75" customHeight="1">
      <c r="A2494" s="125" t="str">
        <f>IF(B2494&lt;&gt;"",IF(AND(B2494&gt;=_TM1,B2494&lt;=_TM2,OR(TH!L2494="1111",TH!M2494="1111")),TH!D2494,""),"")</f>
        <v/>
      </c>
      <c r="B2494" s="11">
        <f t="shared" si="201"/>
        <v>12</v>
      </c>
      <c r="C2494" s="115">
        <f t="shared" ref="C2494:C2499" si="204">E2494</f>
        <v>40896</v>
      </c>
      <c r="D2494" s="324" t="s">
        <v>1363</v>
      </c>
      <c r="E2494" s="345">
        <v>40896</v>
      </c>
      <c r="F2494" s="15" t="s">
        <v>616</v>
      </c>
      <c r="G2494" s="15"/>
      <c r="H2494" s="242" t="s">
        <v>1037</v>
      </c>
      <c r="I2494" s="141">
        <v>2</v>
      </c>
      <c r="J2494" s="141">
        <v>27283</v>
      </c>
      <c r="K2494" s="238">
        <f t="shared" ref="K2494:K2499" si="205">ROUND(I2494*J2494,0)</f>
        <v>54566</v>
      </c>
      <c r="L2494" s="25" t="s">
        <v>153</v>
      </c>
      <c r="M2494" s="25" t="s">
        <v>147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/>
      </c>
      <c r="Z2494" s="121"/>
    </row>
    <row r="2495" spans="1:26" ht="15.75" customHeight="1">
      <c r="A2495" s="125" t="str">
        <f>IF(B2495&lt;&gt;"",IF(AND(B2495&gt;=_TM1,B2495&lt;=_TM2,OR(TH!L2495="1111",TH!M2495="1111")),TH!D2495,""),"")</f>
        <v/>
      </c>
      <c r="B2495" s="11">
        <f t="shared" si="201"/>
        <v>12</v>
      </c>
      <c r="C2495" s="115">
        <f t="shared" si="204"/>
        <v>40896</v>
      </c>
      <c r="D2495" s="324" t="s">
        <v>1363</v>
      </c>
      <c r="E2495" s="345">
        <v>40896</v>
      </c>
      <c r="F2495" s="15" t="s">
        <v>633</v>
      </c>
      <c r="G2495" s="15"/>
      <c r="H2495" s="242" t="s">
        <v>1037</v>
      </c>
      <c r="I2495" s="141">
        <v>227</v>
      </c>
      <c r="J2495" s="141">
        <v>16631</v>
      </c>
      <c r="K2495" s="238">
        <f t="shared" si="205"/>
        <v>3775237</v>
      </c>
      <c r="L2495" s="25" t="s">
        <v>153</v>
      </c>
      <c r="M2495" s="25" t="s">
        <v>147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/>
      </c>
      <c r="Z2495" s="121"/>
    </row>
    <row r="2496" spans="1:26" ht="15.75" customHeight="1">
      <c r="A2496" s="125" t="str">
        <f>IF(B2496&lt;&gt;"",IF(AND(B2496&gt;=_TM1,B2496&lt;=_TM2,OR(TH!L2496="1111",TH!M2496="1111")),TH!D2496,""),"")</f>
        <v/>
      </c>
      <c r="B2496" s="11">
        <f t="shared" si="201"/>
        <v>12</v>
      </c>
      <c r="C2496" s="115">
        <f t="shared" si="204"/>
        <v>40896</v>
      </c>
      <c r="D2496" s="324" t="s">
        <v>1363</v>
      </c>
      <c r="E2496" s="345">
        <v>40896</v>
      </c>
      <c r="F2496" s="15" t="s">
        <v>633</v>
      </c>
      <c r="G2496" s="15"/>
      <c r="H2496" s="242" t="s">
        <v>1037</v>
      </c>
      <c r="I2496" s="141">
        <v>195</v>
      </c>
      <c r="J2496" s="141">
        <v>16631</v>
      </c>
      <c r="K2496" s="238">
        <f t="shared" si="205"/>
        <v>3243045</v>
      </c>
      <c r="L2496" s="25" t="s">
        <v>153</v>
      </c>
      <c r="M2496" s="25" t="s">
        <v>147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/>
      </c>
      <c r="Z2496" s="121"/>
    </row>
    <row r="2497" spans="1:26" ht="15.75" customHeight="1">
      <c r="A2497" s="125" t="str">
        <f>IF(B2497&lt;&gt;"",IF(AND(B2497&gt;=_TM1,B2497&lt;=_TM2,OR(TH!L2497="1111",TH!M2497="1111")),TH!D2497,""),"")</f>
        <v/>
      </c>
      <c r="B2497" s="11">
        <f t="shared" si="201"/>
        <v>12</v>
      </c>
      <c r="C2497" s="115">
        <f t="shared" si="204"/>
        <v>40896</v>
      </c>
      <c r="D2497" s="324" t="s">
        <v>1363</v>
      </c>
      <c r="E2497" s="345">
        <v>40896</v>
      </c>
      <c r="F2497" s="15" t="s">
        <v>622</v>
      </c>
      <c r="G2497" s="15"/>
      <c r="H2497" s="242" t="s">
        <v>1037</v>
      </c>
      <c r="I2497" s="141">
        <v>116</v>
      </c>
      <c r="J2497" s="141">
        <v>32878</v>
      </c>
      <c r="K2497" s="238">
        <f t="shared" si="205"/>
        <v>3813848</v>
      </c>
      <c r="L2497" s="25" t="s">
        <v>153</v>
      </c>
      <c r="M2497" s="25" t="s">
        <v>147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/>
      </c>
      <c r="Z2497" s="121"/>
    </row>
    <row r="2498" spans="1:26" ht="15.75" customHeight="1">
      <c r="A2498" s="125" t="str">
        <f>IF(B2498&lt;&gt;"",IF(AND(B2498&gt;=_TM1,B2498&lt;=_TM2,OR(TH!L2498="1111",TH!M2498="1111")),TH!D2498,""),"")</f>
        <v/>
      </c>
      <c r="B2498" s="11">
        <f t="shared" si="201"/>
        <v>12</v>
      </c>
      <c r="C2498" s="115">
        <f t="shared" si="204"/>
        <v>40896</v>
      </c>
      <c r="D2498" s="21" t="s">
        <v>1349</v>
      </c>
      <c r="E2498" s="345">
        <v>40896</v>
      </c>
      <c r="F2498" s="217" t="s">
        <v>1293</v>
      </c>
      <c r="G2498" s="15"/>
      <c r="H2498" s="242" t="s">
        <v>1037</v>
      </c>
      <c r="I2498" s="141">
        <v>470</v>
      </c>
      <c r="J2498" s="141">
        <v>17737.506058185867</v>
      </c>
      <c r="K2498" s="238">
        <f t="shared" si="205"/>
        <v>8336628</v>
      </c>
      <c r="L2498" s="14" t="s">
        <v>155</v>
      </c>
      <c r="M2498" s="14" t="s">
        <v>153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/>
      </c>
      <c r="Z2498" s="121"/>
    </row>
    <row r="2499" spans="1:26" ht="15.75" customHeight="1">
      <c r="A2499" s="125" t="str">
        <f>IF(B2499&lt;&gt;"",IF(AND(B2499&gt;=_TM1,B2499&lt;=_TM2,OR(TH!L2499="1111",TH!M2499="1111")),TH!D2499,""),"")</f>
        <v/>
      </c>
      <c r="B2499" s="11">
        <f t="shared" si="201"/>
        <v>12</v>
      </c>
      <c r="C2499" s="115">
        <f t="shared" si="204"/>
        <v>40896</v>
      </c>
      <c r="D2499" s="12" t="s">
        <v>923</v>
      </c>
      <c r="E2499" s="345">
        <v>40896</v>
      </c>
      <c r="F2499" s="116" t="s">
        <v>1293</v>
      </c>
      <c r="G2499" s="224" t="s">
        <v>1294</v>
      </c>
      <c r="H2499" s="4" t="s">
        <v>743</v>
      </c>
      <c r="I2499" s="141">
        <v>470</v>
      </c>
      <c r="J2499" s="141">
        <v>17737.506058185867</v>
      </c>
      <c r="K2499" s="330">
        <f t="shared" si="205"/>
        <v>8336628</v>
      </c>
      <c r="L2499" s="319" t="s">
        <v>161</v>
      </c>
      <c r="M2499" s="319" t="s">
        <v>155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/>
      </c>
      <c r="Z2499" s="121"/>
    </row>
    <row r="2500" spans="1:26" ht="15.75" customHeight="1">
      <c r="A2500" s="125" t="str">
        <f>IF(B2500&lt;&gt;"",IF(AND(B2500&gt;=_TM1,B2500&lt;=_TM2,OR(TH!L2500="1111",TH!M2500="1111")),TH!D2500,""),"")</f>
        <v/>
      </c>
      <c r="B2500" s="11">
        <f t="shared" si="201"/>
        <v>12</v>
      </c>
      <c r="C2500" s="115">
        <v>40897</v>
      </c>
      <c r="D2500" s="115" t="s">
        <v>924</v>
      </c>
      <c r="E2500" s="345">
        <v>40897</v>
      </c>
      <c r="F2500" s="116" t="s">
        <v>1249</v>
      </c>
      <c r="G2500" s="224" t="s">
        <v>1297</v>
      </c>
      <c r="H2500" s="117" t="s">
        <v>709</v>
      </c>
      <c r="I2500" s="141">
        <v>2</v>
      </c>
      <c r="J2500" s="141">
        <v>9449</v>
      </c>
      <c r="K2500" s="238">
        <v>18898</v>
      </c>
      <c r="L2500" s="118" t="s">
        <v>237</v>
      </c>
      <c r="M2500" s="118" t="s">
        <v>163</v>
      </c>
      <c r="N2500" s="25" t="str">
        <f>IF(AND('331-CT'!$E$7=TH!H2500,OR(L2500="331",M2500="331")),"331",IF(AND(OR(L2500="131",M2500="131"),H2500='131-CT'!$E$7),"131",""))</f>
        <v>131</v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/>
      </c>
      <c r="Z2500" s="121"/>
    </row>
    <row r="2501" spans="1:26" ht="15.75" customHeight="1">
      <c r="A2501" s="125" t="str">
        <f>IF(B2501&lt;&gt;"",IF(AND(B2501&gt;=_TM1,B2501&lt;=_TM2,OR(TH!L2501="1111",TH!M2501="1111")),TH!D2501,""),"")</f>
        <v/>
      </c>
      <c r="B2501" s="11">
        <f t="shared" si="201"/>
        <v>12</v>
      </c>
      <c r="C2501" s="115">
        <v>40897</v>
      </c>
      <c r="D2501" s="115" t="s">
        <v>924</v>
      </c>
      <c r="E2501" s="345">
        <v>40897</v>
      </c>
      <c r="F2501" s="116" t="s">
        <v>1298</v>
      </c>
      <c r="G2501" s="224" t="s">
        <v>1297</v>
      </c>
      <c r="H2501" s="117" t="s">
        <v>709</v>
      </c>
      <c r="I2501" s="141">
        <v>5</v>
      </c>
      <c r="J2501" s="141">
        <v>8637</v>
      </c>
      <c r="K2501" s="238">
        <v>43185</v>
      </c>
      <c r="L2501" s="118" t="s">
        <v>237</v>
      </c>
      <c r="M2501" s="118" t="s">
        <v>163</v>
      </c>
      <c r="N2501" s="25" t="str">
        <f>IF(AND('331-CT'!$E$7=TH!H2501,OR(L2501="331",M2501="331")),"331",IF(AND(OR(L2501="131",M2501="131"),H2501='131-CT'!$E$7),"131",""))</f>
        <v>131</v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/>
      </c>
      <c r="Z2501" s="121"/>
    </row>
    <row r="2502" spans="1:26" ht="15.75" customHeight="1">
      <c r="A2502" s="125" t="str">
        <f>IF(B2502&lt;&gt;"",IF(AND(B2502&gt;=_TM1,B2502&lt;=_TM2,OR(TH!L2502="1111",TH!M2502="1111")),TH!D2502,""),"")</f>
        <v/>
      </c>
      <c r="B2502" s="11">
        <f t="shared" si="201"/>
        <v>12</v>
      </c>
      <c r="C2502" s="115">
        <v>40897</v>
      </c>
      <c r="D2502" s="115" t="s">
        <v>924</v>
      </c>
      <c r="E2502" s="345">
        <v>40897</v>
      </c>
      <c r="F2502" s="116" t="s">
        <v>724</v>
      </c>
      <c r="G2502" s="224" t="s">
        <v>1297</v>
      </c>
      <c r="H2502" s="117" t="s">
        <v>709</v>
      </c>
      <c r="I2502" s="141">
        <v>33</v>
      </c>
      <c r="J2502" s="141">
        <v>12946</v>
      </c>
      <c r="K2502" s="238">
        <v>427218</v>
      </c>
      <c r="L2502" s="118" t="s">
        <v>237</v>
      </c>
      <c r="M2502" s="118" t="s">
        <v>163</v>
      </c>
      <c r="N2502" s="25" t="str">
        <f>IF(AND('331-CT'!$E$7=TH!H2502,OR(L2502="331",M2502="331")),"331",IF(AND(OR(L2502="131",M2502="131"),H2502='131-CT'!$E$7),"131",""))</f>
        <v>131</v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/>
      </c>
      <c r="Z2502" s="121"/>
    </row>
    <row r="2503" spans="1:26" ht="15.75" customHeight="1">
      <c r="A2503" s="125" t="str">
        <f>IF(B2503&lt;&gt;"",IF(AND(B2503&gt;=_TM1,B2503&lt;=_TM2,OR(TH!L2503="1111",TH!M2503="1111")),TH!D2503,""),"")</f>
        <v/>
      </c>
      <c r="B2503" s="11">
        <f t="shared" si="201"/>
        <v>12</v>
      </c>
      <c r="C2503" s="115">
        <v>40897</v>
      </c>
      <c r="D2503" s="115" t="s">
        <v>924</v>
      </c>
      <c r="E2503" s="345">
        <v>40897</v>
      </c>
      <c r="F2503" s="116" t="s">
        <v>1299</v>
      </c>
      <c r="G2503" s="224" t="s">
        <v>1297</v>
      </c>
      <c r="H2503" s="117" t="s">
        <v>709</v>
      </c>
      <c r="I2503" s="141">
        <v>147</v>
      </c>
      <c r="J2503" s="141">
        <v>14013</v>
      </c>
      <c r="K2503" s="238">
        <v>2059911</v>
      </c>
      <c r="L2503" s="118" t="s">
        <v>237</v>
      </c>
      <c r="M2503" s="118" t="s">
        <v>163</v>
      </c>
      <c r="N2503" s="25" t="str">
        <f>IF(AND('331-CT'!$E$7=TH!H2503,OR(L2503="331",M2503="331")),"331",IF(AND(OR(L2503="131",M2503="131"),H2503='131-CT'!$E$7),"131",""))</f>
        <v>131</v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/>
      </c>
      <c r="Z2503" s="121"/>
    </row>
    <row r="2504" spans="1:26" ht="15.75" customHeight="1">
      <c r="A2504" s="125" t="str">
        <f>IF(B2504&lt;&gt;"",IF(AND(B2504&gt;=_TM1,B2504&lt;=_TM2,OR(TH!L2504="1111",TH!M2504="1111")),TH!D2504,""),"")</f>
        <v/>
      </c>
      <c r="B2504" s="11">
        <f t="shared" si="201"/>
        <v>12</v>
      </c>
      <c r="C2504" s="115">
        <v>40897</v>
      </c>
      <c r="D2504" s="115" t="s">
        <v>924</v>
      </c>
      <c r="E2504" s="345">
        <v>40897</v>
      </c>
      <c r="F2504" s="116" t="s">
        <v>1300</v>
      </c>
      <c r="G2504" s="224" t="s">
        <v>1297</v>
      </c>
      <c r="H2504" s="117" t="s">
        <v>709</v>
      </c>
      <c r="I2504" s="141">
        <v>52</v>
      </c>
      <c r="J2504" s="141">
        <v>17521</v>
      </c>
      <c r="K2504" s="238">
        <v>911092</v>
      </c>
      <c r="L2504" s="118" t="s">
        <v>237</v>
      </c>
      <c r="M2504" s="118" t="s">
        <v>163</v>
      </c>
      <c r="N2504" s="25" t="str">
        <f>IF(AND('331-CT'!$E$7=TH!H2504,OR(L2504="331",M2504="331")),"331",IF(AND(OR(L2504="131",M2504="131"),H2504='131-CT'!$E$7),"131",""))</f>
        <v>131</v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/>
      </c>
      <c r="Z2504" s="121"/>
    </row>
    <row r="2505" spans="1:26" ht="15.75" customHeight="1">
      <c r="A2505" s="125" t="str">
        <f>IF(B2505&lt;&gt;"",IF(AND(B2505&gt;=_TM1,B2505&lt;=_TM2,OR(TH!L2505="1111",TH!M2505="1111")),TH!D2505,""),"")</f>
        <v/>
      </c>
      <c r="B2505" s="11">
        <f t="shared" si="201"/>
        <v>12</v>
      </c>
      <c r="C2505" s="115">
        <v>40897</v>
      </c>
      <c r="D2505" s="115" t="s">
        <v>924</v>
      </c>
      <c r="E2505" s="345">
        <v>40897</v>
      </c>
      <c r="F2505" s="116" t="s">
        <v>1301</v>
      </c>
      <c r="G2505" s="224" t="s">
        <v>1297</v>
      </c>
      <c r="H2505" s="117" t="s">
        <v>709</v>
      </c>
      <c r="I2505" s="141">
        <v>61</v>
      </c>
      <c r="J2505" s="141">
        <v>18867</v>
      </c>
      <c r="K2505" s="238">
        <v>1150887</v>
      </c>
      <c r="L2505" s="118" t="s">
        <v>237</v>
      </c>
      <c r="M2505" s="118" t="s">
        <v>163</v>
      </c>
      <c r="N2505" s="25" t="str">
        <f>IF(AND('331-CT'!$E$7=TH!H2505,OR(L2505="331",M2505="331")),"331",IF(AND(OR(L2505="131",M2505="131"),H2505='131-CT'!$E$7),"131",""))</f>
        <v>131</v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/>
      </c>
      <c r="Z2505" s="121"/>
    </row>
    <row r="2506" spans="1:26" ht="15.75" customHeight="1">
      <c r="A2506" s="125" t="str">
        <f>IF(B2506&lt;&gt;"",IF(AND(B2506&gt;=_TM1,B2506&lt;=_TM2,OR(TH!L2506="1111",TH!M2506="1111")),TH!D2506,""),"")</f>
        <v/>
      </c>
      <c r="B2506" s="11">
        <f t="shared" si="201"/>
        <v>12</v>
      </c>
      <c r="C2506" s="115">
        <v>40897</v>
      </c>
      <c r="D2506" s="115" t="s">
        <v>924</v>
      </c>
      <c r="E2506" s="345">
        <v>40897</v>
      </c>
      <c r="F2506" s="116" t="s">
        <v>1302</v>
      </c>
      <c r="G2506" s="224" t="s">
        <v>1297</v>
      </c>
      <c r="H2506" s="117" t="s">
        <v>709</v>
      </c>
      <c r="I2506" s="141">
        <v>505</v>
      </c>
      <c r="J2506" s="141">
        <v>18984</v>
      </c>
      <c r="K2506" s="238">
        <v>9586920</v>
      </c>
      <c r="L2506" s="118" t="s">
        <v>237</v>
      </c>
      <c r="M2506" s="118" t="s">
        <v>163</v>
      </c>
      <c r="N2506" s="25" t="str">
        <f>IF(AND('331-CT'!$E$7=TH!H2506,OR(L2506="331",M2506="331")),"331",IF(AND(OR(L2506="131",M2506="131"),H2506='131-CT'!$E$7),"131",""))</f>
        <v>131</v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/>
      </c>
      <c r="Z2506" s="121"/>
    </row>
    <row r="2507" spans="1:26" ht="15.75" customHeight="1">
      <c r="A2507" s="125" t="str">
        <f>IF(B2507&lt;&gt;"",IF(AND(B2507&gt;=_TM1,B2507&lt;=_TM2,OR(TH!L2507="1111",TH!M2507="1111")),TH!D2507,""),"")</f>
        <v/>
      </c>
      <c r="B2507" s="11">
        <f t="shared" si="201"/>
        <v>12</v>
      </c>
      <c r="C2507" s="115">
        <v>40897</v>
      </c>
      <c r="D2507" s="115" t="s">
        <v>924</v>
      </c>
      <c r="E2507" s="345">
        <v>40897</v>
      </c>
      <c r="F2507" s="116" t="s">
        <v>1303</v>
      </c>
      <c r="G2507" s="224" t="s">
        <v>1297</v>
      </c>
      <c r="H2507" s="117" t="s">
        <v>709</v>
      </c>
      <c r="I2507" s="141">
        <v>61</v>
      </c>
      <c r="J2507" s="141">
        <v>12799</v>
      </c>
      <c r="K2507" s="238">
        <v>780739</v>
      </c>
      <c r="L2507" s="118" t="s">
        <v>237</v>
      </c>
      <c r="M2507" s="118" t="s">
        <v>163</v>
      </c>
      <c r="N2507" s="25" t="str">
        <f>IF(AND('331-CT'!$E$7=TH!H2507,OR(L2507="331",M2507="331")),"331",IF(AND(OR(L2507="131",M2507="131"),H2507='131-CT'!$E$7),"131",""))</f>
        <v>131</v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/>
      </c>
      <c r="Z2507" s="121"/>
    </row>
    <row r="2508" spans="1:26" ht="15.75" customHeight="1">
      <c r="A2508" s="125" t="str">
        <f>IF(B2508&lt;&gt;"",IF(AND(B2508&gt;=_TM1,B2508&lt;=_TM2,OR(TH!L2508="1111",TH!M2508="1111")),TH!D2508,""),"")</f>
        <v/>
      </c>
      <c r="B2508" s="11">
        <f t="shared" si="201"/>
        <v>12</v>
      </c>
      <c r="C2508" s="115">
        <v>40897</v>
      </c>
      <c r="D2508" s="115" t="s">
        <v>924</v>
      </c>
      <c r="E2508" s="345">
        <v>40897</v>
      </c>
      <c r="F2508" s="116" t="s">
        <v>723</v>
      </c>
      <c r="G2508" s="224" t="s">
        <v>1297</v>
      </c>
      <c r="H2508" s="117" t="s">
        <v>709</v>
      </c>
      <c r="I2508" s="141">
        <v>4</v>
      </c>
      <c r="J2508" s="141">
        <v>11321</v>
      </c>
      <c r="K2508" s="238">
        <v>45284</v>
      </c>
      <c r="L2508" s="118" t="s">
        <v>237</v>
      </c>
      <c r="M2508" s="118" t="s">
        <v>163</v>
      </c>
      <c r="N2508" s="25" t="str">
        <f>IF(AND('331-CT'!$E$7=TH!H2508,OR(L2508="331",M2508="331")),"331",IF(AND(OR(L2508="131",M2508="131"),H2508='131-CT'!$E$7),"131",""))</f>
        <v>131</v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/>
      </c>
      <c r="Z2508" s="121"/>
    </row>
    <row r="2509" spans="1:26" ht="15.75" customHeight="1">
      <c r="A2509" s="125" t="str">
        <f>IF(B2509&lt;&gt;"",IF(AND(B2509&gt;=_TM1,B2509&lt;=_TM2,OR(TH!L2509="1111",TH!M2509="1111")),TH!D2509,""),"")</f>
        <v/>
      </c>
      <c r="B2509" s="11">
        <f t="shared" si="201"/>
        <v>12</v>
      </c>
      <c r="C2509" s="115">
        <v>40897</v>
      </c>
      <c r="D2509" s="115" t="s">
        <v>924</v>
      </c>
      <c r="E2509" s="345">
        <v>40897</v>
      </c>
      <c r="F2509" s="116" t="s">
        <v>1304</v>
      </c>
      <c r="G2509" s="224" t="s">
        <v>1297</v>
      </c>
      <c r="H2509" s="117" t="s">
        <v>709</v>
      </c>
      <c r="I2509" s="141">
        <v>16</v>
      </c>
      <c r="J2509" s="141">
        <v>18928</v>
      </c>
      <c r="K2509" s="238">
        <v>302848</v>
      </c>
      <c r="L2509" s="118" t="s">
        <v>237</v>
      </c>
      <c r="M2509" s="118" t="s">
        <v>163</v>
      </c>
      <c r="N2509" s="25" t="str">
        <f>IF(AND('331-CT'!$E$7=TH!H2509,OR(L2509="331",M2509="331")),"331",IF(AND(OR(L2509="131",M2509="131"),H2509='131-CT'!$E$7),"131",""))</f>
        <v>131</v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/>
      </c>
      <c r="Z2509" s="121"/>
    </row>
    <row r="2510" spans="1:26" ht="15.75" customHeight="1">
      <c r="A2510" s="125" t="str">
        <f>IF(B2510&lt;&gt;"",IF(AND(B2510&gt;=_TM1,B2510&lt;=_TM2,OR(TH!L2510="1111",TH!M2510="1111")),TH!D2510,""),"")</f>
        <v/>
      </c>
      <c r="B2510" s="11">
        <f t="shared" si="201"/>
        <v>12</v>
      </c>
      <c r="C2510" s="115">
        <v>40897</v>
      </c>
      <c r="D2510" s="115" t="s">
        <v>924</v>
      </c>
      <c r="E2510" s="345">
        <v>40897</v>
      </c>
      <c r="F2510" s="116" t="s">
        <v>1305</v>
      </c>
      <c r="G2510" s="224" t="s">
        <v>1297</v>
      </c>
      <c r="H2510" s="117" t="s">
        <v>709</v>
      </c>
      <c r="I2510" s="141">
        <v>10</v>
      </c>
      <c r="J2510" s="141">
        <v>15524</v>
      </c>
      <c r="K2510" s="238">
        <v>155240</v>
      </c>
      <c r="L2510" s="118" t="s">
        <v>237</v>
      </c>
      <c r="M2510" s="118" t="s">
        <v>163</v>
      </c>
      <c r="N2510" s="25" t="str">
        <f>IF(AND('331-CT'!$E$7=TH!H2510,OR(L2510="331",M2510="331")),"331",IF(AND(OR(L2510="131",M2510="131"),H2510='131-CT'!$E$7),"131",""))</f>
        <v>131</v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/>
      </c>
      <c r="Z2510" s="121"/>
    </row>
    <row r="2511" spans="1:26" ht="15.75" customHeight="1">
      <c r="A2511" s="125" t="str">
        <f>IF(B2511&lt;&gt;"",IF(AND(B2511&gt;=_TM1,B2511&lt;=_TM2,OR(TH!L2511="1111",TH!M2511="1111")),TH!D2511,""),"")</f>
        <v/>
      </c>
      <c r="B2511" s="11">
        <f t="shared" si="201"/>
        <v>12</v>
      </c>
      <c r="C2511" s="115">
        <v>40897</v>
      </c>
      <c r="D2511" s="115" t="s">
        <v>924</v>
      </c>
      <c r="E2511" s="345">
        <v>40897</v>
      </c>
      <c r="F2511" s="116" t="s">
        <v>1306</v>
      </c>
      <c r="G2511" s="224" t="s">
        <v>1297</v>
      </c>
      <c r="H2511" s="117" t="s">
        <v>709</v>
      </c>
      <c r="I2511" s="141">
        <v>134</v>
      </c>
      <c r="J2511" s="141">
        <v>24159</v>
      </c>
      <c r="K2511" s="238">
        <v>3237306</v>
      </c>
      <c r="L2511" s="118" t="s">
        <v>237</v>
      </c>
      <c r="M2511" s="118" t="s">
        <v>163</v>
      </c>
      <c r="N2511" s="25" t="str">
        <f>IF(AND('331-CT'!$E$7=TH!H2511,OR(L2511="331",M2511="331")),"331",IF(AND(OR(L2511="131",M2511="131"),H2511='131-CT'!$E$7),"131",""))</f>
        <v>131</v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/>
      </c>
      <c r="Z2511" s="121"/>
    </row>
    <row r="2512" spans="1:26" ht="15.75" customHeight="1">
      <c r="A2512" s="125" t="str">
        <f>IF(B2512&lt;&gt;"",IF(AND(B2512&gt;=_TM1,B2512&lt;=_TM2,OR(TH!L2512="1111",TH!M2512="1111")),TH!D2512,""),"")</f>
        <v/>
      </c>
      <c r="B2512" s="11">
        <f t="shared" si="201"/>
        <v>12</v>
      </c>
      <c r="C2512" s="115">
        <v>40897</v>
      </c>
      <c r="D2512" s="115" t="s">
        <v>924</v>
      </c>
      <c r="E2512" s="345">
        <v>40897</v>
      </c>
      <c r="F2512" s="116" t="s">
        <v>1215</v>
      </c>
      <c r="G2512" s="224" t="s">
        <v>1297</v>
      </c>
      <c r="H2512" s="117" t="s">
        <v>709</v>
      </c>
      <c r="I2512" s="141">
        <v>223</v>
      </c>
      <c r="J2512" s="141">
        <v>14535</v>
      </c>
      <c r="K2512" s="238">
        <v>3241305</v>
      </c>
      <c r="L2512" s="118" t="s">
        <v>237</v>
      </c>
      <c r="M2512" s="118" t="s">
        <v>163</v>
      </c>
      <c r="N2512" s="25" t="str">
        <f>IF(AND('331-CT'!$E$7=TH!H2512,OR(L2512="331",M2512="331")),"331",IF(AND(OR(L2512="131",M2512="131"),H2512='131-CT'!$E$7),"131",""))</f>
        <v>131</v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/>
      </c>
      <c r="Z2512" s="121"/>
    </row>
    <row r="2513" spans="1:26" ht="15.75" customHeight="1">
      <c r="A2513" s="125" t="str">
        <f>IF(B2513&lt;&gt;"",IF(AND(B2513&gt;=_TM1,B2513&lt;=_TM2,OR(TH!L2513="1111",TH!M2513="1111")),TH!D2513,""),"")</f>
        <v/>
      </c>
      <c r="B2513" s="11">
        <f t="shared" si="201"/>
        <v>12</v>
      </c>
      <c r="C2513" s="115">
        <v>40897</v>
      </c>
      <c r="D2513" s="115" t="s">
        <v>924</v>
      </c>
      <c r="E2513" s="345">
        <v>40897</v>
      </c>
      <c r="F2513" s="116" t="s">
        <v>1307</v>
      </c>
      <c r="G2513" s="224" t="s">
        <v>1297</v>
      </c>
      <c r="H2513" s="117" t="s">
        <v>709</v>
      </c>
      <c r="I2513" s="141">
        <v>10</v>
      </c>
      <c r="J2513" s="141">
        <v>19562</v>
      </c>
      <c r="K2513" s="238">
        <v>195620</v>
      </c>
      <c r="L2513" s="118" t="s">
        <v>237</v>
      </c>
      <c r="M2513" s="118" t="s">
        <v>163</v>
      </c>
      <c r="N2513" s="25" t="str">
        <f>IF(AND('331-CT'!$E$7=TH!H2513,OR(L2513="331",M2513="331")),"331",IF(AND(OR(L2513="131",M2513="131"),H2513='131-CT'!$E$7),"131",""))</f>
        <v>131</v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/>
      </c>
      <c r="Z2513" s="121"/>
    </row>
    <row r="2514" spans="1:26" ht="15.75" customHeight="1">
      <c r="A2514" s="125" t="str">
        <f>IF(B2514&lt;&gt;"",IF(AND(B2514&gt;=_TM1,B2514&lt;=_TM2,OR(TH!L2514="1111",TH!M2514="1111")),TH!D2514,""),"")</f>
        <v/>
      </c>
      <c r="B2514" s="11">
        <f t="shared" si="201"/>
        <v>12</v>
      </c>
      <c r="C2514" s="115">
        <v>40897</v>
      </c>
      <c r="D2514" s="115" t="s">
        <v>924</v>
      </c>
      <c r="E2514" s="345">
        <v>40897</v>
      </c>
      <c r="F2514" s="116" t="s">
        <v>1212</v>
      </c>
      <c r="G2514" s="224" t="s">
        <v>1297</v>
      </c>
      <c r="H2514" s="117" t="s">
        <v>709</v>
      </c>
      <c r="I2514" s="141">
        <v>20</v>
      </c>
      <c r="J2514" s="141">
        <v>16832</v>
      </c>
      <c r="K2514" s="238">
        <v>336640</v>
      </c>
      <c r="L2514" s="118" t="s">
        <v>237</v>
      </c>
      <c r="M2514" s="118" t="s">
        <v>163</v>
      </c>
      <c r="N2514" s="25" t="str">
        <f>IF(AND('331-CT'!$E$7=TH!H2514,OR(L2514="331",M2514="331")),"331",IF(AND(OR(L2514="131",M2514="131"),H2514='131-CT'!$E$7),"131",""))</f>
        <v>131</v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/>
      </c>
      <c r="Z2514" s="121"/>
    </row>
    <row r="2515" spans="1:26" ht="15.75" customHeight="1">
      <c r="A2515" s="125" t="str">
        <f>IF(B2515&lt;&gt;"",IF(AND(B2515&gt;=_TM1,B2515&lt;=_TM2,OR(TH!L2515="1111",TH!M2515="1111")),TH!D2515,""),"")</f>
        <v/>
      </c>
      <c r="B2515" s="11">
        <f t="shared" si="201"/>
        <v>12</v>
      </c>
      <c r="C2515" s="115">
        <v>40897</v>
      </c>
      <c r="D2515" s="115" t="s">
        <v>924</v>
      </c>
      <c r="E2515" s="345">
        <v>40897</v>
      </c>
      <c r="F2515" s="116" t="s">
        <v>1243</v>
      </c>
      <c r="G2515" s="224" t="s">
        <v>1297</v>
      </c>
      <c r="H2515" s="117" t="s">
        <v>709</v>
      </c>
      <c r="I2515" s="141">
        <v>2</v>
      </c>
      <c r="J2515" s="141">
        <v>14836</v>
      </c>
      <c r="K2515" s="238">
        <v>29672</v>
      </c>
      <c r="L2515" s="118" t="s">
        <v>237</v>
      </c>
      <c r="M2515" s="118" t="s">
        <v>163</v>
      </c>
      <c r="N2515" s="25" t="str">
        <f>IF(AND('331-CT'!$E$7=TH!H2515,OR(L2515="331",M2515="331")),"331",IF(AND(OR(L2515="131",M2515="131"),H2515='131-CT'!$E$7),"131",""))</f>
        <v>131</v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/>
      </c>
      <c r="Z2515" s="121"/>
    </row>
    <row r="2516" spans="1:26" ht="15.75" customHeight="1">
      <c r="A2516" s="125" t="str">
        <f>IF(B2516&lt;&gt;"",IF(AND(B2516&gt;=_TM1,B2516&lt;=_TM2,OR(TH!L2516="1111",TH!M2516="1111")),TH!D2516,""),"")</f>
        <v/>
      </c>
      <c r="B2516" s="11">
        <f t="shared" si="201"/>
        <v>12</v>
      </c>
      <c r="C2516" s="115">
        <v>40897</v>
      </c>
      <c r="D2516" s="115" t="s">
        <v>924</v>
      </c>
      <c r="E2516" s="345">
        <v>40897</v>
      </c>
      <c r="F2516" s="116" t="s">
        <v>1308</v>
      </c>
      <c r="G2516" s="224" t="s">
        <v>1297</v>
      </c>
      <c r="H2516" s="117" t="s">
        <v>709</v>
      </c>
      <c r="I2516" s="141">
        <v>379</v>
      </c>
      <c r="J2516" s="141">
        <v>22739</v>
      </c>
      <c r="K2516" s="238">
        <v>8618081</v>
      </c>
      <c r="L2516" s="118" t="s">
        <v>237</v>
      </c>
      <c r="M2516" s="118" t="s">
        <v>163</v>
      </c>
      <c r="N2516" s="25" t="str">
        <f>IF(AND('331-CT'!$E$7=TH!H2516,OR(L2516="331",M2516="331")),"331",IF(AND(OR(L2516="131",M2516="131"),H2516='131-CT'!$E$7),"131",""))</f>
        <v>131</v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/>
      </c>
      <c r="Z2516" s="121"/>
    </row>
    <row r="2517" spans="1:26" ht="15.75" customHeight="1">
      <c r="A2517" s="125" t="str">
        <f>IF(B2517&lt;&gt;"",IF(AND(B2517&gt;=_TM1,B2517&lt;=_TM2,OR(TH!L2517="1111",TH!M2517="1111")),TH!D2517,""),"")</f>
        <v/>
      </c>
      <c r="B2517" s="11">
        <f t="shared" si="201"/>
        <v>12</v>
      </c>
      <c r="C2517" s="115">
        <v>40897</v>
      </c>
      <c r="D2517" s="115" t="s">
        <v>924</v>
      </c>
      <c r="E2517" s="345">
        <v>40897</v>
      </c>
      <c r="F2517" s="116" t="s">
        <v>1309</v>
      </c>
      <c r="G2517" s="224" t="s">
        <v>1297</v>
      </c>
      <c r="H2517" s="117" t="s">
        <v>709</v>
      </c>
      <c r="I2517" s="141">
        <v>82</v>
      </c>
      <c r="J2517" s="141">
        <v>23012</v>
      </c>
      <c r="K2517" s="238">
        <v>1886984</v>
      </c>
      <c r="L2517" s="118" t="s">
        <v>237</v>
      </c>
      <c r="M2517" s="118" t="s">
        <v>163</v>
      </c>
      <c r="N2517" s="25" t="str">
        <f>IF(AND('331-CT'!$E$7=TH!H2517,OR(L2517="331",M2517="331")),"331",IF(AND(OR(L2517="131",M2517="131"),H2517='131-CT'!$E$7),"131",""))</f>
        <v>131</v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/>
      </c>
      <c r="Z2517" s="121"/>
    </row>
    <row r="2518" spans="1:26" ht="15.75" customHeight="1">
      <c r="A2518" s="125" t="str">
        <f>IF(B2518&lt;&gt;"",IF(AND(B2518&gt;=_TM1,B2518&lt;=_TM2,OR(TH!L2518="1111",TH!M2518="1111")),TH!D2518,""),"")</f>
        <v/>
      </c>
      <c r="B2518" s="11">
        <f t="shared" si="201"/>
        <v>12</v>
      </c>
      <c r="C2518" s="115">
        <v>40897</v>
      </c>
      <c r="D2518" s="115" t="s">
        <v>924</v>
      </c>
      <c r="E2518" s="345">
        <v>40897</v>
      </c>
      <c r="F2518" s="116" t="s">
        <v>1310</v>
      </c>
      <c r="G2518" s="224" t="s">
        <v>1297</v>
      </c>
      <c r="H2518" s="117" t="s">
        <v>709</v>
      </c>
      <c r="I2518" s="141">
        <v>72</v>
      </c>
      <c r="J2518" s="141">
        <v>15805</v>
      </c>
      <c r="K2518" s="238">
        <v>1137960</v>
      </c>
      <c r="L2518" s="118" t="s">
        <v>237</v>
      </c>
      <c r="M2518" s="118" t="s">
        <v>163</v>
      </c>
      <c r="N2518" s="25" t="str">
        <f>IF(AND('331-CT'!$E$7=TH!H2518,OR(L2518="331",M2518="331")),"331",IF(AND(OR(L2518="131",M2518="131"),H2518='131-CT'!$E$7),"131",""))</f>
        <v>131</v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/>
      </c>
      <c r="Z2518" s="121"/>
    </row>
    <row r="2519" spans="1:26" ht="15.75" customHeight="1">
      <c r="A2519" s="125" t="str">
        <f>IF(B2519&lt;&gt;"",IF(AND(B2519&gt;=_TM1,B2519&lt;=_TM2,OR(TH!L2519="1111",TH!M2519="1111")),TH!D2519,""),"")</f>
        <v/>
      </c>
      <c r="B2519" s="11">
        <f t="shared" si="201"/>
        <v>12</v>
      </c>
      <c r="C2519" s="115">
        <v>40897</v>
      </c>
      <c r="D2519" s="115" t="s">
        <v>924</v>
      </c>
      <c r="E2519" s="345">
        <v>40897</v>
      </c>
      <c r="F2519" s="116" t="s">
        <v>1311</v>
      </c>
      <c r="G2519" s="224" t="s">
        <v>1297</v>
      </c>
      <c r="H2519" s="117" t="s">
        <v>709</v>
      </c>
      <c r="I2519" s="141">
        <v>52</v>
      </c>
      <c r="J2519" s="141">
        <v>15264</v>
      </c>
      <c r="K2519" s="238">
        <v>793728</v>
      </c>
      <c r="L2519" s="118" t="s">
        <v>237</v>
      </c>
      <c r="M2519" s="118" t="s">
        <v>163</v>
      </c>
      <c r="N2519" s="25" t="str">
        <f>IF(AND('331-CT'!$E$7=TH!H2519,OR(L2519="331",M2519="331")),"331",IF(AND(OR(L2519="131",M2519="131"),H2519='131-CT'!$E$7),"131",""))</f>
        <v>131</v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/>
      </c>
      <c r="Z2519" s="121"/>
    </row>
    <row r="2520" spans="1:26" ht="15.75" customHeight="1">
      <c r="A2520" s="125" t="str">
        <f>IF(B2520&lt;&gt;"",IF(AND(B2520&gt;=_TM1,B2520&lt;=_TM2,OR(TH!L2520="1111",TH!M2520="1111")),TH!D2520,""),"")</f>
        <v/>
      </c>
      <c r="B2520" s="11">
        <f t="shared" si="201"/>
        <v>12</v>
      </c>
      <c r="C2520" s="115">
        <v>40897</v>
      </c>
      <c r="D2520" s="115" t="s">
        <v>924</v>
      </c>
      <c r="E2520" s="345">
        <v>40897</v>
      </c>
      <c r="F2520" s="116" t="s">
        <v>1312</v>
      </c>
      <c r="G2520" s="224" t="s">
        <v>1297</v>
      </c>
      <c r="H2520" s="117" t="s">
        <v>709</v>
      </c>
      <c r="I2520" s="141">
        <v>51</v>
      </c>
      <c r="J2520" s="141">
        <v>16123</v>
      </c>
      <c r="K2520" s="238">
        <v>822273</v>
      </c>
      <c r="L2520" s="118" t="s">
        <v>237</v>
      </c>
      <c r="M2520" s="118" t="s">
        <v>163</v>
      </c>
      <c r="N2520" s="25" t="str">
        <f>IF(AND('331-CT'!$E$7=TH!H2520,OR(L2520="331",M2520="331")),"331",IF(AND(OR(L2520="131",M2520="131"),H2520='131-CT'!$E$7),"131",""))</f>
        <v>131</v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/>
      </c>
      <c r="Z2520" s="121"/>
    </row>
    <row r="2521" spans="1:26" ht="15.75" customHeight="1">
      <c r="A2521" s="125" t="str">
        <f>IF(B2521&lt;&gt;"",IF(AND(B2521&gt;=_TM1,B2521&lt;=_TM2,OR(TH!L2521="1111",TH!M2521="1111")),TH!D2521,""),"")</f>
        <v/>
      </c>
      <c r="B2521" s="11">
        <f t="shared" si="201"/>
        <v>12</v>
      </c>
      <c r="C2521" s="115">
        <v>40897</v>
      </c>
      <c r="D2521" s="115" t="s">
        <v>924</v>
      </c>
      <c r="E2521" s="345">
        <v>40897</v>
      </c>
      <c r="F2521" s="116" t="s">
        <v>1313</v>
      </c>
      <c r="G2521" s="224" t="s">
        <v>1297</v>
      </c>
      <c r="H2521" s="117" t="s">
        <v>709</v>
      </c>
      <c r="I2521" s="141">
        <v>51</v>
      </c>
      <c r="J2521" s="141">
        <v>19891</v>
      </c>
      <c r="K2521" s="238">
        <v>1014441</v>
      </c>
      <c r="L2521" s="118" t="s">
        <v>237</v>
      </c>
      <c r="M2521" s="118" t="s">
        <v>163</v>
      </c>
      <c r="N2521" s="25" t="str">
        <f>IF(AND('331-CT'!$E$7=TH!H2521,OR(L2521="331",M2521="331")),"331",IF(AND(OR(L2521="131",M2521="131"),H2521='131-CT'!$E$7),"131",""))</f>
        <v>131</v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/>
      </c>
      <c r="Z2521" s="121"/>
    </row>
    <row r="2522" spans="1:26" ht="15.75" customHeight="1">
      <c r="A2522" s="125" t="str">
        <f>IF(B2522&lt;&gt;"",IF(AND(B2522&gt;=_TM1,B2522&lt;=_TM2,OR(TH!L2522="1111",TH!M2522="1111")),TH!D2522,""),"")</f>
        <v/>
      </c>
      <c r="B2522" s="11">
        <f t="shared" si="201"/>
        <v>12</v>
      </c>
      <c r="C2522" s="115">
        <v>40897</v>
      </c>
      <c r="D2522" s="115" t="s">
        <v>924</v>
      </c>
      <c r="E2522" s="345">
        <v>40897</v>
      </c>
      <c r="F2522" s="116" t="s">
        <v>1314</v>
      </c>
      <c r="G2522" s="224" t="s">
        <v>1297</v>
      </c>
      <c r="H2522" s="117" t="s">
        <v>709</v>
      </c>
      <c r="I2522" s="141">
        <v>57</v>
      </c>
      <c r="J2522" s="141">
        <v>20859</v>
      </c>
      <c r="K2522" s="238">
        <v>1188963</v>
      </c>
      <c r="L2522" s="118" t="s">
        <v>237</v>
      </c>
      <c r="M2522" s="118" t="s">
        <v>163</v>
      </c>
      <c r="N2522" s="25" t="str">
        <f>IF(AND('331-CT'!$E$7=TH!H2522,OR(L2522="331",M2522="331")),"331",IF(AND(OR(L2522="131",M2522="131"),H2522='131-CT'!$E$7),"131",""))</f>
        <v>131</v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/>
      </c>
      <c r="Z2522" s="121"/>
    </row>
    <row r="2523" spans="1:26" ht="15.75" customHeight="1">
      <c r="A2523" s="125" t="str">
        <f>IF(B2523&lt;&gt;"",IF(AND(B2523&gt;=_TM1,B2523&lt;=_TM2,OR(TH!L2523="1111",TH!M2523="1111")),TH!D2523,""),"")</f>
        <v/>
      </c>
      <c r="B2523" s="11">
        <f t="shared" si="201"/>
        <v>12</v>
      </c>
      <c r="C2523" s="115">
        <v>40897</v>
      </c>
      <c r="D2523" s="115" t="s">
        <v>924</v>
      </c>
      <c r="E2523" s="345">
        <v>40897</v>
      </c>
      <c r="F2523" s="116" t="s">
        <v>1270</v>
      </c>
      <c r="G2523" s="224" t="s">
        <v>1297</v>
      </c>
      <c r="H2523" s="117" t="s">
        <v>709</v>
      </c>
      <c r="I2523" s="141">
        <v>150</v>
      </c>
      <c r="J2523" s="141">
        <v>963</v>
      </c>
      <c r="K2523" s="238">
        <v>144450</v>
      </c>
      <c r="L2523" s="118" t="s">
        <v>237</v>
      </c>
      <c r="M2523" s="118" t="s">
        <v>163</v>
      </c>
      <c r="N2523" s="25" t="str">
        <f>IF(AND('331-CT'!$E$7=TH!H2523,OR(L2523="331",M2523="331")),"331",IF(AND(OR(L2523="131",M2523="131"),H2523='131-CT'!$E$7),"131",""))</f>
        <v>131</v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/>
      </c>
      <c r="Z2523" s="121"/>
    </row>
    <row r="2524" spans="1:26" ht="15.75" customHeight="1">
      <c r="A2524" s="125" t="str">
        <f>IF(B2524&lt;&gt;"",IF(AND(B2524&gt;=_TM1,B2524&lt;=_TM2,OR(TH!L2524="1111",TH!M2524="1111")),TH!D2524,""),"")</f>
        <v/>
      </c>
      <c r="B2524" s="11">
        <f t="shared" si="201"/>
        <v>12</v>
      </c>
      <c r="C2524" s="115">
        <v>40897</v>
      </c>
      <c r="D2524" s="115" t="s">
        <v>924</v>
      </c>
      <c r="E2524" s="345">
        <v>40897</v>
      </c>
      <c r="F2524" s="116" t="s">
        <v>1261</v>
      </c>
      <c r="G2524" s="224" t="s">
        <v>1297</v>
      </c>
      <c r="H2524" s="117" t="s">
        <v>709</v>
      </c>
      <c r="I2524" s="141">
        <v>315</v>
      </c>
      <c r="J2524" s="141">
        <v>1025</v>
      </c>
      <c r="K2524" s="238">
        <v>322875</v>
      </c>
      <c r="L2524" s="118" t="s">
        <v>237</v>
      </c>
      <c r="M2524" s="118" t="s">
        <v>163</v>
      </c>
      <c r="N2524" s="25" t="str">
        <f>IF(AND('331-CT'!$E$7=TH!H2524,OR(L2524="331",M2524="331")),"331",IF(AND(OR(L2524="131",M2524="131"),H2524='131-CT'!$E$7),"131",""))</f>
        <v>131</v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/>
      </c>
      <c r="Z2524" s="121"/>
    </row>
    <row r="2525" spans="1:26" ht="15.75" customHeight="1">
      <c r="A2525" s="125" t="str">
        <f>IF(B2525&lt;&gt;"",IF(AND(B2525&gt;=_TM1,B2525&lt;=_TM2,OR(TH!L2525="1111",TH!M2525="1111")),TH!D2525,""),"")</f>
        <v/>
      </c>
      <c r="B2525" s="11">
        <f t="shared" ref="B2525:B2588" si="206">IF(C2525&lt;&gt;"",MONTH(C2525),"")</f>
        <v>12</v>
      </c>
      <c r="C2525" s="115">
        <v>40897</v>
      </c>
      <c r="D2525" s="115" t="s">
        <v>924</v>
      </c>
      <c r="E2525" s="345">
        <v>40897</v>
      </c>
      <c r="F2525" s="116" t="s">
        <v>1263</v>
      </c>
      <c r="G2525" s="224" t="s">
        <v>1297</v>
      </c>
      <c r="H2525" s="117" t="s">
        <v>709</v>
      </c>
      <c r="I2525" s="141">
        <v>120</v>
      </c>
      <c r="J2525" s="141">
        <v>1152</v>
      </c>
      <c r="K2525" s="238">
        <v>138240</v>
      </c>
      <c r="L2525" s="118" t="s">
        <v>237</v>
      </c>
      <c r="M2525" s="118" t="s">
        <v>163</v>
      </c>
      <c r="N2525" s="25" t="str">
        <f>IF(AND('331-CT'!$E$7=TH!H2525,OR(L2525="331",M2525="331")),"331",IF(AND(OR(L2525="131",M2525="131"),H2525='131-CT'!$E$7),"131",""))</f>
        <v>131</v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/>
      </c>
      <c r="Z2525" s="121"/>
    </row>
    <row r="2526" spans="1:26" ht="15.75" customHeight="1">
      <c r="A2526" s="125" t="str">
        <f>IF(B2526&lt;&gt;"",IF(AND(B2526&gt;=_TM1,B2526&lt;=_TM2,OR(TH!L2526="1111",TH!M2526="1111")),TH!D2526,""),"")</f>
        <v/>
      </c>
      <c r="B2526" s="11">
        <f t="shared" si="206"/>
        <v>12</v>
      </c>
      <c r="C2526" s="115">
        <v>40897</v>
      </c>
      <c r="D2526" s="115" t="s">
        <v>924</v>
      </c>
      <c r="E2526" s="345">
        <v>40897</v>
      </c>
      <c r="F2526" s="116" t="s">
        <v>1260</v>
      </c>
      <c r="G2526" s="224" t="s">
        <v>1297</v>
      </c>
      <c r="H2526" s="117" t="s">
        <v>709</v>
      </c>
      <c r="I2526" s="141">
        <v>120</v>
      </c>
      <c r="J2526" s="141">
        <v>1087</v>
      </c>
      <c r="K2526" s="238">
        <v>130440</v>
      </c>
      <c r="L2526" s="118" t="s">
        <v>237</v>
      </c>
      <c r="M2526" s="118" t="s">
        <v>163</v>
      </c>
      <c r="N2526" s="25" t="str">
        <f>IF(AND('331-CT'!$E$7=TH!H2526,OR(L2526="331",M2526="331")),"331",IF(AND(OR(L2526="131",M2526="131"),H2526='131-CT'!$E$7),"131",""))</f>
        <v>131</v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/>
      </c>
      <c r="Z2526" s="121"/>
    </row>
    <row r="2527" spans="1:26" ht="15.75" customHeight="1">
      <c r="A2527" s="125" t="str">
        <f>IF(B2527&lt;&gt;"",IF(AND(B2527&gt;=_TM1,B2527&lt;=_TM2,OR(TH!L2527="1111",TH!M2527="1111")),TH!D2527,""),"")</f>
        <v/>
      </c>
      <c r="B2527" s="11">
        <f t="shared" si="206"/>
        <v>12</v>
      </c>
      <c r="C2527" s="115">
        <v>40897</v>
      </c>
      <c r="D2527" s="115" t="s">
        <v>924</v>
      </c>
      <c r="E2527" s="345">
        <v>40897</v>
      </c>
      <c r="F2527" s="116" t="s">
        <v>1315</v>
      </c>
      <c r="G2527" s="224" t="s">
        <v>1297</v>
      </c>
      <c r="H2527" s="117" t="s">
        <v>709</v>
      </c>
      <c r="I2527" s="141">
        <v>272</v>
      </c>
      <c r="J2527" s="141">
        <v>1254</v>
      </c>
      <c r="K2527" s="238">
        <v>341088</v>
      </c>
      <c r="L2527" s="118" t="s">
        <v>237</v>
      </c>
      <c r="M2527" s="118" t="s">
        <v>163</v>
      </c>
      <c r="N2527" s="25" t="str">
        <f>IF(AND('331-CT'!$E$7=TH!H2527,OR(L2527="331",M2527="331")),"331",IF(AND(OR(L2527="131",M2527="131"),H2527='131-CT'!$E$7),"131",""))</f>
        <v>131</v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/>
      </c>
      <c r="Z2527" s="121"/>
    </row>
    <row r="2528" spans="1:26" ht="15.75" customHeight="1">
      <c r="A2528" s="125" t="str">
        <f>IF(B2528&lt;&gt;"",IF(AND(B2528&gt;=_TM1,B2528&lt;=_TM2,OR(TH!L2528="1111",TH!M2528="1111")),TH!D2528,""),"")</f>
        <v/>
      </c>
      <c r="B2528" s="11">
        <f t="shared" si="206"/>
        <v>12</v>
      </c>
      <c r="C2528" s="115">
        <v>40897</v>
      </c>
      <c r="D2528" s="115" t="s">
        <v>924</v>
      </c>
      <c r="E2528" s="345">
        <v>40897</v>
      </c>
      <c r="F2528" s="116" t="s">
        <v>1269</v>
      </c>
      <c r="G2528" s="224" t="s">
        <v>1297</v>
      </c>
      <c r="H2528" s="117" t="s">
        <v>709</v>
      </c>
      <c r="I2528" s="141">
        <v>30</v>
      </c>
      <c r="J2528" s="141">
        <v>1384</v>
      </c>
      <c r="K2528" s="238">
        <v>41520</v>
      </c>
      <c r="L2528" s="118" t="s">
        <v>237</v>
      </c>
      <c r="M2528" s="118" t="s">
        <v>163</v>
      </c>
      <c r="N2528" s="25" t="str">
        <f>IF(AND('331-CT'!$E$7=TH!H2528,OR(L2528="331",M2528="331")),"331",IF(AND(OR(L2528="131",M2528="131"),H2528='131-CT'!$E$7),"131",""))</f>
        <v>131</v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/>
      </c>
      <c r="Z2528" s="121"/>
    </row>
    <row r="2529" spans="1:26" ht="15.75" customHeight="1">
      <c r="A2529" s="125" t="str">
        <f>IF(B2529&lt;&gt;"",IF(AND(B2529&gt;=_TM1,B2529&lt;=_TM2,OR(TH!L2529="1111",TH!M2529="1111")),TH!D2529,""),"")</f>
        <v/>
      </c>
      <c r="B2529" s="11">
        <f t="shared" si="206"/>
        <v>12</v>
      </c>
      <c r="C2529" s="115">
        <v>40897</v>
      </c>
      <c r="D2529" s="115" t="s">
        <v>924</v>
      </c>
      <c r="E2529" s="345">
        <v>40897</v>
      </c>
      <c r="F2529" s="116" t="s">
        <v>1316</v>
      </c>
      <c r="G2529" s="224" t="s">
        <v>1297</v>
      </c>
      <c r="H2529" s="117" t="s">
        <v>709</v>
      </c>
      <c r="I2529" s="141">
        <v>60</v>
      </c>
      <c r="J2529" s="141">
        <v>1220</v>
      </c>
      <c r="K2529" s="238">
        <v>73200</v>
      </c>
      <c r="L2529" s="118" t="s">
        <v>237</v>
      </c>
      <c r="M2529" s="118" t="s">
        <v>163</v>
      </c>
      <c r="N2529" s="25" t="str">
        <f>IF(AND('331-CT'!$E$7=TH!H2529,OR(L2529="331",M2529="331")),"331",IF(AND(OR(L2529="131",M2529="131"),H2529='131-CT'!$E$7),"131",""))</f>
        <v>131</v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/>
      </c>
      <c r="Z2529" s="121"/>
    </row>
    <row r="2530" spans="1:26" ht="15.75" customHeight="1">
      <c r="A2530" s="125" t="str">
        <f>IF(B2530&lt;&gt;"",IF(AND(B2530&gt;=_TM1,B2530&lt;=_TM2,OR(TH!L2530="1111",TH!M2530="1111")),TH!D2530,""),"")</f>
        <v/>
      </c>
      <c r="B2530" s="11">
        <f t="shared" si="206"/>
        <v>12</v>
      </c>
      <c r="C2530" s="115">
        <v>40897</v>
      </c>
      <c r="D2530" s="115" t="s">
        <v>924</v>
      </c>
      <c r="E2530" s="345">
        <v>40897</v>
      </c>
      <c r="F2530" s="116" t="s">
        <v>1265</v>
      </c>
      <c r="G2530" s="224" t="s">
        <v>1297</v>
      </c>
      <c r="H2530" s="117" t="s">
        <v>709</v>
      </c>
      <c r="I2530" s="141">
        <v>150</v>
      </c>
      <c r="J2530" s="141">
        <v>1463</v>
      </c>
      <c r="K2530" s="238">
        <v>219450</v>
      </c>
      <c r="L2530" s="118" t="s">
        <v>237</v>
      </c>
      <c r="M2530" s="118" t="s">
        <v>163</v>
      </c>
      <c r="N2530" s="25" t="str">
        <f>IF(AND('331-CT'!$E$7=TH!H2530,OR(L2530="331",M2530="331")),"331",IF(AND(OR(L2530="131",M2530="131"),H2530='131-CT'!$E$7),"131",""))</f>
        <v>131</v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/>
      </c>
      <c r="Z2530" s="121"/>
    </row>
    <row r="2531" spans="1:26" ht="15.75" customHeight="1">
      <c r="A2531" s="125" t="str">
        <f>IF(B2531&lt;&gt;"",IF(AND(B2531&gt;=_TM1,B2531&lt;=_TM2,OR(TH!L2531="1111",TH!M2531="1111")),TH!D2531,""),"")</f>
        <v/>
      </c>
      <c r="B2531" s="11">
        <f t="shared" si="206"/>
        <v>12</v>
      </c>
      <c r="C2531" s="115">
        <v>40897</v>
      </c>
      <c r="D2531" s="115" t="s">
        <v>924</v>
      </c>
      <c r="E2531" s="345">
        <v>40897</v>
      </c>
      <c r="F2531" s="116" t="s">
        <v>1266</v>
      </c>
      <c r="G2531" s="224" t="s">
        <v>1297</v>
      </c>
      <c r="H2531" s="117" t="s">
        <v>709</v>
      </c>
      <c r="I2531" s="141">
        <v>136</v>
      </c>
      <c r="J2531" s="141">
        <v>1288</v>
      </c>
      <c r="K2531" s="238">
        <v>175168</v>
      </c>
      <c r="L2531" s="118" t="s">
        <v>237</v>
      </c>
      <c r="M2531" s="118" t="s">
        <v>163</v>
      </c>
      <c r="N2531" s="25" t="str">
        <f>IF(AND('331-CT'!$E$7=TH!H2531,OR(L2531="331",M2531="331")),"331",IF(AND(OR(L2531="131",M2531="131"),H2531='131-CT'!$E$7),"131",""))</f>
        <v>131</v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/>
      </c>
      <c r="Z2531" s="121"/>
    </row>
    <row r="2532" spans="1:26" ht="15.75" customHeight="1">
      <c r="A2532" s="125" t="str">
        <f>IF(B2532&lt;&gt;"",IF(AND(B2532&gt;=_TM1,B2532&lt;=_TM2,OR(TH!L2532="1111",TH!M2532="1111")),TH!D2532,""),"")</f>
        <v/>
      </c>
      <c r="B2532" s="11">
        <f t="shared" si="206"/>
        <v>12</v>
      </c>
      <c r="C2532" s="115">
        <v>40897</v>
      </c>
      <c r="D2532" s="115" t="s">
        <v>924</v>
      </c>
      <c r="E2532" s="345">
        <v>40897</v>
      </c>
      <c r="F2532" s="116" t="s">
        <v>1268</v>
      </c>
      <c r="G2532" s="224" t="s">
        <v>1297</v>
      </c>
      <c r="H2532" s="117" t="s">
        <v>709</v>
      </c>
      <c r="I2532" s="141">
        <v>15</v>
      </c>
      <c r="J2532" s="141">
        <v>1581</v>
      </c>
      <c r="K2532" s="238">
        <v>23715</v>
      </c>
      <c r="L2532" s="118" t="s">
        <v>237</v>
      </c>
      <c r="M2532" s="118" t="s">
        <v>163</v>
      </c>
      <c r="N2532" s="25" t="str">
        <f>IF(AND('331-CT'!$E$7=TH!H2532,OR(L2532="331",M2532="331")),"331",IF(AND(OR(L2532="131",M2532="131"),H2532='131-CT'!$E$7),"131",""))</f>
        <v>131</v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/>
      </c>
      <c r="Z2532" s="121"/>
    </row>
    <row r="2533" spans="1:26" ht="15.75" customHeight="1">
      <c r="A2533" s="125" t="str">
        <f>IF(B2533&lt;&gt;"",IF(AND(B2533&gt;=_TM1,B2533&lt;=_TM2,OR(TH!L2533="1111",TH!M2533="1111")),TH!D2533,""),"")</f>
        <v/>
      </c>
      <c r="B2533" s="11">
        <f t="shared" si="206"/>
        <v>12</v>
      </c>
      <c r="C2533" s="115">
        <v>40897</v>
      </c>
      <c r="D2533" s="115" t="s">
        <v>924</v>
      </c>
      <c r="E2533" s="345">
        <v>40897</v>
      </c>
      <c r="F2533" s="116" t="s">
        <v>1264</v>
      </c>
      <c r="G2533" s="224" t="s">
        <v>1297</v>
      </c>
      <c r="H2533" s="117" t="s">
        <v>709</v>
      </c>
      <c r="I2533" s="141">
        <v>75</v>
      </c>
      <c r="J2533" s="141">
        <v>1660</v>
      </c>
      <c r="K2533" s="238">
        <v>124500</v>
      </c>
      <c r="L2533" s="118" t="s">
        <v>237</v>
      </c>
      <c r="M2533" s="118" t="s">
        <v>163</v>
      </c>
      <c r="N2533" s="25" t="str">
        <f>IF(AND('331-CT'!$E$7=TH!H2533,OR(L2533="331",M2533="331")),"331",IF(AND(OR(L2533="131",M2533="131"),H2533='131-CT'!$E$7),"131",""))</f>
        <v>131</v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/>
      </c>
      <c r="Z2533" s="121"/>
    </row>
    <row r="2534" spans="1:26" ht="15.75" customHeight="1">
      <c r="A2534" s="125" t="str">
        <f>IF(B2534&lt;&gt;"",IF(AND(B2534&gt;=_TM1,B2534&lt;=_TM2,OR(TH!L2534="1111",TH!M2534="1111")),TH!D2534,""),"")</f>
        <v/>
      </c>
      <c r="B2534" s="11">
        <f t="shared" si="206"/>
        <v>12</v>
      </c>
      <c r="C2534" s="115">
        <v>40897</v>
      </c>
      <c r="D2534" s="115" t="s">
        <v>924</v>
      </c>
      <c r="E2534" s="345">
        <v>40897</v>
      </c>
      <c r="F2534" s="116" t="s">
        <v>1121</v>
      </c>
      <c r="G2534" s="224" t="s">
        <v>1297</v>
      </c>
      <c r="H2534" s="117" t="s">
        <v>709</v>
      </c>
      <c r="I2534" s="141"/>
      <c r="J2534" s="141"/>
      <c r="K2534" s="238">
        <v>3971984</v>
      </c>
      <c r="L2534" s="118" t="s">
        <v>237</v>
      </c>
      <c r="M2534" s="118" t="s">
        <v>707</v>
      </c>
      <c r="N2534" s="25" t="str">
        <f>IF(AND('331-CT'!$E$7=TH!H2534,OR(L2534="331",M2534="331")),"331",IF(AND(OR(L2534="131",M2534="131"),H2534='131-CT'!$E$7),"131",""))</f>
        <v>131</v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/>
      </c>
      <c r="Z2534" s="121"/>
    </row>
    <row r="2535" spans="1:26" ht="15.75" customHeight="1">
      <c r="A2535" s="125" t="str">
        <f>IF(B2535&lt;&gt;"",IF(AND(B2535&gt;=_TM1,B2535&lt;=_TM2,OR(TH!L2535="1111",TH!M2535="1111")),TH!D2535,""),"")</f>
        <v/>
      </c>
      <c r="B2535" s="11">
        <f t="shared" si="206"/>
        <v>12</v>
      </c>
      <c r="C2535" s="115">
        <f t="shared" ref="C2535:C2566" si="207">E2535</f>
        <v>40897</v>
      </c>
      <c r="D2535" s="324" t="s">
        <v>1364</v>
      </c>
      <c r="E2535" s="345">
        <v>40897</v>
      </c>
      <c r="F2535" s="15" t="s">
        <v>633</v>
      </c>
      <c r="G2535" s="15"/>
      <c r="H2535" s="242" t="s">
        <v>1037</v>
      </c>
      <c r="I2535" s="141">
        <v>19</v>
      </c>
      <c r="J2535" s="141">
        <v>16631</v>
      </c>
      <c r="K2535" s="238">
        <f t="shared" ref="K2535:K2566" si="208">ROUND(I2535*J2535,0)</f>
        <v>315989</v>
      </c>
      <c r="L2535" s="25" t="s">
        <v>153</v>
      </c>
      <c r="M2535" s="25" t="s">
        <v>147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/>
      </c>
      <c r="Z2535" s="121"/>
    </row>
    <row r="2536" spans="1:26" ht="15.75" customHeight="1">
      <c r="A2536" s="125" t="str">
        <f>IF(B2536&lt;&gt;"",IF(AND(B2536&gt;=_TM1,B2536&lt;=_TM2,OR(TH!L2536="1111",TH!M2536="1111")),TH!D2536,""),"")</f>
        <v/>
      </c>
      <c r="B2536" s="11">
        <f t="shared" si="206"/>
        <v>12</v>
      </c>
      <c r="C2536" s="115">
        <f t="shared" si="207"/>
        <v>40897</v>
      </c>
      <c r="D2536" s="324" t="s">
        <v>1364</v>
      </c>
      <c r="E2536" s="345">
        <v>40897</v>
      </c>
      <c r="F2536" s="114" t="s">
        <v>484</v>
      </c>
      <c r="G2536" s="15"/>
      <c r="H2536" s="242" t="s">
        <v>1037</v>
      </c>
      <c r="I2536" s="141">
        <v>261</v>
      </c>
      <c r="J2536" s="141">
        <v>8620</v>
      </c>
      <c r="K2536" s="238">
        <f t="shared" si="208"/>
        <v>2249820</v>
      </c>
      <c r="L2536" s="25" t="s">
        <v>153</v>
      </c>
      <c r="M2536" s="25" t="s">
        <v>147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/>
      </c>
      <c r="Z2536" s="121"/>
    </row>
    <row r="2537" spans="1:26" ht="15.75" customHeight="1">
      <c r="A2537" s="125" t="str">
        <f>IF(B2537&lt;&gt;"",IF(AND(B2537&gt;=_TM1,B2537&lt;=_TM2,OR(TH!L2537="1111",TH!M2537="1111")),TH!D2537,""),"")</f>
        <v/>
      </c>
      <c r="B2537" s="11">
        <f t="shared" si="206"/>
        <v>12</v>
      </c>
      <c r="C2537" s="115">
        <f t="shared" si="207"/>
        <v>40897</v>
      </c>
      <c r="D2537" s="324" t="s">
        <v>1364</v>
      </c>
      <c r="E2537" s="345">
        <v>40897</v>
      </c>
      <c r="F2537" s="15" t="s">
        <v>620</v>
      </c>
      <c r="G2537" s="15"/>
      <c r="H2537" s="242" t="s">
        <v>1037</v>
      </c>
      <c r="I2537" s="141">
        <v>21</v>
      </c>
      <c r="J2537" s="141">
        <v>25631</v>
      </c>
      <c r="K2537" s="238">
        <f t="shared" si="208"/>
        <v>538251</v>
      </c>
      <c r="L2537" s="25" t="s">
        <v>153</v>
      </c>
      <c r="M2537" s="25" t="s">
        <v>147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/>
      </c>
      <c r="Z2537" s="121"/>
    </row>
    <row r="2538" spans="1:26" ht="15.75" customHeight="1">
      <c r="A2538" s="125" t="str">
        <f>IF(B2538&lt;&gt;"",IF(AND(B2538&gt;=_TM1,B2538&lt;=_TM2,OR(TH!L2538="1111",TH!M2538="1111")),TH!D2538,""),"")</f>
        <v/>
      </c>
      <c r="B2538" s="11">
        <f t="shared" si="206"/>
        <v>12</v>
      </c>
      <c r="C2538" s="115">
        <f t="shared" si="207"/>
        <v>40897</v>
      </c>
      <c r="D2538" s="324" t="s">
        <v>1364</v>
      </c>
      <c r="E2538" s="345">
        <v>40897</v>
      </c>
      <c r="F2538" s="15" t="s">
        <v>632</v>
      </c>
      <c r="G2538" s="15"/>
      <c r="H2538" s="242" t="s">
        <v>1037</v>
      </c>
      <c r="I2538" s="141">
        <v>535</v>
      </c>
      <c r="J2538" s="141">
        <v>13455</v>
      </c>
      <c r="K2538" s="238">
        <f t="shared" si="208"/>
        <v>7198425</v>
      </c>
      <c r="L2538" s="25" t="s">
        <v>153</v>
      </c>
      <c r="M2538" s="25" t="s">
        <v>147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/>
      </c>
      <c r="Z2538" s="121"/>
    </row>
    <row r="2539" spans="1:26" ht="15.75" customHeight="1">
      <c r="A2539" s="125" t="str">
        <f>IF(B2539&lt;&gt;"",IF(AND(B2539&gt;=_TM1,B2539&lt;=_TM2,OR(TH!L2539="1111",TH!M2539="1111")),TH!D2539,""),"")</f>
        <v/>
      </c>
      <c r="B2539" s="11">
        <f t="shared" si="206"/>
        <v>12</v>
      </c>
      <c r="C2539" s="115">
        <f t="shared" si="207"/>
        <v>40897</v>
      </c>
      <c r="D2539" s="324" t="s">
        <v>1364</v>
      </c>
      <c r="E2539" s="345">
        <v>40897</v>
      </c>
      <c r="F2539" s="15" t="s">
        <v>632</v>
      </c>
      <c r="G2539" s="15"/>
      <c r="H2539" s="242" t="s">
        <v>1037</v>
      </c>
      <c r="I2539" s="141">
        <v>276</v>
      </c>
      <c r="J2539" s="141">
        <v>13455</v>
      </c>
      <c r="K2539" s="238">
        <f t="shared" si="208"/>
        <v>3713580</v>
      </c>
      <c r="L2539" s="25" t="s">
        <v>153</v>
      </c>
      <c r="M2539" s="25" t="s">
        <v>147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/>
      </c>
      <c r="Z2539" s="121"/>
    </row>
    <row r="2540" spans="1:26" ht="15.75" customHeight="1">
      <c r="A2540" s="125" t="str">
        <f>IF(B2540&lt;&gt;"",IF(AND(B2540&gt;=_TM1,B2540&lt;=_TM2,OR(TH!L2540="1111",TH!M2540="1111")),TH!D2540,""),"")</f>
        <v/>
      </c>
      <c r="B2540" s="11">
        <f t="shared" si="206"/>
        <v>12</v>
      </c>
      <c r="C2540" s="115">
        <f t="shared" si="207"/>
        <v>40897</v>
      </c>
      <c r="D2540" s="324" t="s">
        <v>1364</v>
      </c>
      <c r="E2540" s="345">
        <v>40897</v>
      </c>
      <c r="F2540" s="15" t="s">
        <v>622</v>
      </c>
      <c r="G2540" s="15"/>
      <c r="H2540" s="242" t="s">
        <v>1037</v>
      </c>
      <c r="I2540" s="141">
        <v>24</v>
      </c>
      <c r="J2540" s="141">
        <v>32878</v>
      </c>
      <c r="K2540" s="238">
        <f t="shared" si="208"/>
        <v>789072</v>
      </c>
      <c r="L2540" s="25" t="s">
        <v>153</v>
      </c>
      <c r="M2540" s="25" t="s">
        <v>147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/>
      </c>
      <c r="Z2540" s="121"/>
    </row>
    <row r="2541" spans="1:26" ht="15.75" customHeight="1">
      <c r="A2541" s="125" t="str">
        <f>IF(B2541&lt;&gt;"",IF(AND(B2541&gt;=_TM1,B2541&lt;=_TM2,OR(TH!L2541="1111",TH!M2541="1111")),TH!D2541,""),"")</f>
        <v/>
      </c>
      <c r="B2541" s="11">
        <f t="shared" si="206"/>
        <v>12</v>
      </c>
      <c r="C2541" s="115">
        <f t="shared" si="207"/>
        <v>40897</v>
      </c>
      <c r="D2541" s="324" t="s">
        <v>1365</v>
      </c>
      <c r="E2541" s="345">
        <v>40897</v>
      </c>
      <c r="F2541" s="15" t="s">
        <v>633</v>
      </c>
      <c r="G2541" s="15"/>
      <c r="H2541" s="242" t="s">
        <v>1037</v>
      </c>
      <c r="I2541" s="141">
        <v>260</v>
      </c>
      <c r="J2541" s="141">
        <v>16631</v>
      </c>
      <c r="K2541" s="238">
        <f t="shared" si="208"/>
        <v>4324060</v>
      </c>
      <c r="L2541" s="25" t="s">
        <v>153</v>
      </c>
      <c r="M2541" s="25" t="s">
        <v>147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/>
      </c>
      <c r="Z2541" s="121"/>
    </row>
    <row r="2542" spans="1:26" ht="15.75" customHeight="1">
      <c r="A2542" s="125" t="str">
        <f>IF(B2542&lt;&gt;"",IF(AND(B2542&gt;=_TM1,B2542&lt;=_TM2,OR(TH!L2542="1111",TH!M2542="1111")),TH!D2542,""),"")</f>
        <v/>
      </c>
      <c r="B2542" s="11">
        <f t="shared" si="206"/>
        <v>12</v>
      </c>
      <c r="C2542" s="115">
        <f t="shared" si="207"/>
        <v>40897</v>
      </c>
      <c r="D2542" s="324" t="s">
        <v>1365</v>
      </c>
      <c r="E2542" s="345">
        <v>40897</v>
      </c>
      <c r="F2542" s="15" t="s">
        <v>616</v>
      </c>
      <c r="G2542" s="15"/>
      <c r="H2542" s="242" t="s">
        <v>1037</v>
      </c>
      <c r="I2542" s="141">
        <v>7</v>
      </c>
      <c r="J2542" s="141">
        <v>27283</v>
      </c>
      <c r="K2542" s="238">
        <f t="shared" si="208"/>
        <v>190981</v>
      </c>
      <c r="L2542" s="25" t="s">
        <v>153</v>
      </c>
      <c r="M2542" s="25" t="s">
        <v>147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/>
      </c>
      <c r="Z2542" s="121"/>
    </row>
    <row r="2543" spans="1:26" ht="15.75" customHeight="1">
      <c r="A2543" s="125" t="str">
        <f>IF(B2543&lt;&gt;"",IF(AND(B2543&gt;=_TM1,B2543&lt;=_TM2,OR(TH!L2543="1111",TH!M2543="1111")),TH!D2543,""),"")</f>
        <v/>
      </c>
      <c r="B2543" s="11">
        <f t="shared" si="206"/>
        <v>12</v>
      </c>
      <c r="C2543" s="115">
        <f t="shared" si="207"/>
        <v>40897</v>
      </c>
      <c r="D2543" s="324" t="s">
        <v>1365</v>
      </c>
      <c r="E2543" s="345">
        <v>40897</v>
      </c>
      <c r="F2543" s="15" t="s">
        <v>616</v>
      </c>
      <c r="G2543" s="15"/>
      <c r="H2543" s="242" t="s">
        <v>1037</v>
      </c>
      <c r="I2543" s="141">
        <v>1</v>
      </c>
      <c r="J2543" s="141">
        <v>27283</v>
      </c>
      <c r="K2543" s="238">
        <f t="shared" si="208"/>
        <v>27283</v>
      </c>
      <c r="L2543" s="25" t="s">
        <v>153</v>
      </c>
      <c r="M2543" s="25" t="s">
        <v>147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/>
      </c>
      <c r="Z2543" s="121"/>
    </row>
    <row r="2544" spans="1:26" ht="15.75" customHeight="1">
      <c r="A2544" s="125" t="str">
        <f>IF(B2544&lt;&gt;"",IF(AND(B2544&gt;=_TM1,B2544&lt;=_TM2,OR(TH!L2544="1111",TH!M2544="1111")),TH!D2544,""),"")</f>
        <v/>
      </c>
      <c r="B2544" s="11">
        <f t="shared" si="206"/>
        <v>12</v>
      </c>
      <c r="C2544" s="115">
        <f t="shared" si="207"/>
        <v>40897</v>
      </c>
      <c r="D2544" s="324" t="s">
        <v>1365</v>
      </c>
      <c r="E2544" s="345">
        <v>40897</v>
      </c>
      <c r="F2544" s="15" t="s">
        <v>617</v>
      </c>
      <c r="G2544" s="15"/>
      <c r="H2544" s="242" t="s">
        <v>1037</v>
      </c>
      <c r="I2544" s="141">
        <v>3</v>
      </c>
      <c r="J2544" s="141">
        <v>31752</v>
      </c>
      <c r="K2544" s="238">
        <f t="shared" si="208"/>
        <v>95256</v>
      </c>
      <c r="L2544" s="25" t="s">
        <v>153</v>
      </c>
      <c r="M2544" s="25" t="s">
        <v>147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/>
      </c>
      <c r="Z2544" s="121"/>
    </row>
    <row r="2545" spans="1:26" ht="15.75" customHeight="1">
      <c r="A2545" s="125" t="str">
        <f>IF(B2545&lt;&gt;"",IF(AND(B2545&gt;=_TM1,B2545&lt;=_TM2,OR(TH!L2545="1111",TH!M2545="1111")),TH!D2545,""),"")</f>
        <v/>
      </c>
      <c r="B2545" s="11">
        <f t="shared" si="206"/>
        <v>12</v>
      </c>
      <c r="C2545" s="115">
        <f t="shared" si="207"/>
        <v>40897</v>
      </c>
      <c r="D2545" s="324" t="s">
        <v>1365</v>
      </c>
      <c r="E2545" s="345">
        <v>40897</v>
      </c>
      <c r="F2545" s="114" t="s">
        <v>484</v>
      </c>
      <c r="G2545" s="15"/>
      <c r="H2545" s="242" t="s">
        <v>1037</v>
      </c>
      <c r="I2545" s="141">
        <v>27</v>
      </c>
      <c r="J2545" s="141">
        <v>8620</v>
      </c>
      <c r="K2545" s="238">
        <f t="shared" si="208"/>
        <v>232740</v>
      </c>
      <c r="L2545" s="25" t="s">
        <v>153</v>
      </c>
      <c r="M2545" s="25" t="s">
        <v>147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/>
      </c>
      <c r="Z2545" s="121"/>
    </row>
    <row r="2546" spans="1:26" ht="15.75" customHeight="1">
      <c r="A2546" s="125" t="str">
        <f>IF(B2546&lt;&gt;"",IF(AND(B2546&gt;=_TM1,B2546&lt;=_TM2,OR(TH!L2546="1111",TH!M2546="1111")),TH!D2546,""),"")</f>
        <v/>
      </c>
      <c r="B2546" s="11">
        <f t="shared" si="206"/>
        <v>12</v>
      </c>
      <c r="C2546" s="115">
        <f t="shared" si="207"/>
        <v>40897</v>
      </c>
      <c r="D2546" s="324" t="s">
        <v>1365</v>
      </c>
      <c r="E2546" s="345">
        <v>40897</v>
      </c>
      <c r="F2546" s="15" t="s">
        <v>616</v>
      </c>
      <c r="G2546" s="15"/>
      <c r="H2546" s="242" t="s">
        <v>1037</v>
      </c>
      <c r="I2546" s="141">
        <v>9</v>
      </c>
      <c r="J2546" s="141">
        <v>27283</v>
      </c>
      <c r="K2546" s="238">
        <f t="shared" si="208"/>
        <v>245547</v>
      </c>
      <c r="L2546" s="25" t="s">
        <v>153</v>
      </c>
      <c r="M2546" s="25" t="s">
        <v>147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/>
      </c>
      <c r="Z2546" s="121"/>
    </row>
    <row r="2547" spans="1:26" ht="15.75" customHeight="1">
      <c r="A2547" s="125" t="str">
        <f>IF(B2547&lt;&gt;"",IF(AND(B2547&gt;=_TM1,B2547&lt;=_TM2,OR(TH!L2547="1111",TH!M2547="1111")),TH!D2547,""),"")</f>
        <v/>
      </c>
      <c r="B2547" s="11">
        <f t="shared" si="206"/>
        <v>12</v>
      </c>
      <c r="C2547" s="115">
        <f t="shared" si="207"/>
        <v>40897</v>
      </c>
      <c r="D2547" s="21" t="s">
        <v>1350</v>
      </c>
      <c r="E2547" s="345">
        <v>40897</v>
      </c>
      <c r="F2547" s="15" t="s">
        <v>1249</v>
      </c>
      <c r="G2547" s="15"/>
      <c r="H2547" s="242" t="s">
        <v>1037</v>
      </c>
      <c r="I2547" s="141">
        <v>2</v>
      </c>
      <c r="J2547" s="141">
        <v>10011.508185845443</v>
      </c>
      <c r="K2547" s="238">
        <f t="shared" si="208"/>
        <v>20023</v>
      </c>
      <c r="L2547" s="14" t="s">
        <v>155</v>
      </c>
      <c r="M2547" s="14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/>
      </c>
      <c r="Z2547" s="121"/>
    </row>
    <row r="2548" spans="1:26" ht="15.75" customHeight="1">
      <c r="A2548" s="125" t="str">
        <f>IF(B2548&lt;&gt;"",IF(AND(B2548&gt;=_TM1,B2548&lt;=_TM2,OR(TH!L2548="1111",TH!M2548="1111")),TH!D2548,""),"")</f>
        <v/>
      </c>
      <c r="B2548" s="11">
        <f t="shared" si="206"/>
        <v>12</v>
      </c>
      <c r="C2548" s="115">
        <f t="shared" si="207"/>
        <v>40897</v>
      </c>
      <c r="D2548" s="21" t="s">
        <v>1350</v>
      </c>
      <c r="E2548" s="345">
        <v>40897</v>
      </c>
      <c r="F2548" s="15" t="s">
        <v>1298</v>
      </c>
      <c r="G2548" s="15"/>
      <c r="H2548" s="242" t="s">
        <v>1037</v>
      </c>
      <c r="I2548" s="141">
        <v>5</v>
      </c>
      <c r="J2548" s="141">
        <v>7873.9081858454419</v>
      </c>
      <c r="K2548" s="238">
        <f t="shared" si="208"/>
        <v>39370</v>
      </c>
      <c r="L2548" s="14" t="s">
        <v>155</v>
      </c>
      <c r="M2548" s="14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/>
      </c>
      <c r="Z2548" s="121"/>
    </row>
    <row r="2549" spans="1:26" ht="15.75" customHeight="1">
      <c r="A2549" s="125" t="str">
        <f>IF(B2549&lt;&gt;"",IF(AND(B2549&gt;=_TM1,B2549&lt;=_TM2,OR(TH!L2549="1111",TH!M2549="1111")),TH!D2549,""),"")</f>
        <v/>
      </c>
      <c r="B2549" s="11">
        <f t="shared" si="206"/>
        <v>12</v>
      </c>
      <c r="C2549" s="115">
        <f t="shared" si="207"/>
        <v>40897</v>
      </c>
      <c r="D2549" s="21" t="s">
        <v>1350</v>
      </c>
      <c r="E2549" s="345">
        <v>40897</v>
      </c>
      <c r="F2549" s="15" t="s">
        <v>724</v>
      </c>
      <c r="G2549" s="15"/>
      <c r="H2549" s="242" t="s">
        <v>1037</v>
      </c>
      <c r="I2549" s="141">
        <v>33</v>
      </c>
      <c r="J2549" s="141">
        <v>11882.477882815141</v>
      </c>
      <c r="K2549" s="238">
        <f t="shared" si="208"/>
        <v>392122</v>
      </c>
      <c r="L2549" s="14" t="s">
        <v>155</v>
      </c>
      <c r="M2549" s="14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/>
      </c>
      <c r="Z2549" s="121"/>
    </row>
    <row r="2550" spans="1:26" ht="15.75" customHeight="1">
      <c r="A2550" s="125" t="str">
        <f>IF(B2550&lt;&gt;"",IF(AND(B2550&gt;=_TM1,B2550&lt;=_TM2,OR(TH!L2550="1111",TH!M2550="1111")),TH!D2550,""),"")</f>
        <v/>
      </c>
      <c r="B2550" s="11">
        <f t="shared" si="206"/>
        <v>12</v>
      </c>
      <c r="C2550" s="115">
        <f t="shared" si="207"/>
        <v>40897</v>
      </c>
      <c r="D2550" s="21" t="s">
        <v>1350</v>
      </c>
      <c r="E2550" s="345">
        <v>40897</v>
      </c>
      <c r="F2550" s="15" t="s">
        <v>1299</v>
      </c>
      <c r="G2550" s="15"/>
      <c r="H2550" s="242" t="s">
        <v>1037</v>
      </c>
      <c r="I2550" s="141">
        <v>147</v>
      </c>
      <c r="J2550" s="141">
        <v>14753.501383124356</v>
      </c>
      <c r="K2550" s="238">
        <f t="shared" si="208"/>
        <v>2168765</v>
      </c>
      <c r="L2550" s="14" t="s">
        <v>155</v>
      </c>
      <c r="M2550" s="14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/>
      </c>
      <c r="Z2550" s="121"/>
    </row>
    <row r="2551" spans="1:26" ht="15.75" customHeight="1">
      <c r="A2551" s="125" t="str">
        <f>IF(B2551&lt;&gt;"",IF(AND(B2551&gt;=_TM1,B2551&lt;=_TM2,OR(TH!L2551="1111",TH!M2551="1111")),TH!D2551,""),"")</f>
        <v/>
      </c>
      <c r="B2551" s="11">
        <f t="shared" si="206"/>
        <v>12</v>
      </c>
      <c r="C2551" s="115">
        <f t="shared" si="207"/>
        <v>40897</v>
      </c>
      <c r="D2551" s="21" t="s">
        <v>1350</v>
      </c>
      <c r="E2551" s="345">
        <v>40897</v>
      </c>
      <c r="F2551" s="15" t="s">
        <v>1300</v>
      </c>
      <c r="G2551" s="15"/>
      <c r="H2551" s="242" t="s">
        <v>1037</v>
      </c>
      <c r="I2551" s="141">
        <v>52</v>
      </c>
      <c r="J2551" s="141">
        <v>14753.488955076211</v>
      </c>
      <c r="K2551" s="238">
        <f t="shared" si="208"/>
        <v>767181</v>
      </c>
      <c r="L2551" s="14" t="s">
        <v>155</v>
      </c>
      <c r="M2551" s="14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/>
      </c>
      <c r="Z2551" s="121"/>
    </row>
    <row r="2552" spans="1:26" ht="15.75" customHeight="1">
      <c r="A2552" s="125" t="str">
        <f>IF(B2552&lt;&gt;"",IF(AND(B2552&gt;=_TM1,B2552&lt;=_TM2,OR(TH!L2552="1111",TH!M2552="1111")),TH!D2552,""),"")</f>
        <v/>
      </c>
      <c r="B2552" s="11">
        <f t="shared" si="206"/>
        <v>12</v>
      </c>
      <c r="C2552" s="115">
        <f t="shared" si="207"/>
        <v>40897</v>
      </c>
      <c r="D2552" s="21" t="s">
        <v>1350</v>
      </c>
      <c r="E2552" s="345">
        <v>40897</v>
      </c>
      <c r="F2552" s="15" t="s">
        <v>1301</v>
      </c>
      <c r="G2552" s="15"/>
      <c r="H2552" s="242" t="s">
        <v>1037</v>
      </c>
      <c r="I2552" s="141">
        <v>61</v>
      </c>
      <c r="J2552" s="141">
        <v>17800.49179240282</v>
      </c>
      <c r="K2552" s="238">
        <f t="shared" si="208"/>
        <v>1085830</v>
      </c>
      <c r="L2552" s="14" t="s">
        <v>155</v>
      </c>
      <c r="M2552" s="14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/>
      </c>
      <c r="Z2552" s="121"/>
    </row>
    <row r="2553" spans="1:26" ht="15.75" customHeight="1">
      <c r="A2553" s="125" t="str">
        <f>IF(B2553&lt;&gt;"",IF(AND(B2553&gt;=_TM1,B2553&lt;=_TM2,OR(TH!L2553="1111",TH!M2553="1111")),TH!D2553,""),"")</f>
        <v/>
      </c>
      <c r="B2553" s="11">
        <f t="shared" si="206"/>
        <v>12</v>
      </c>
      <c r="C2553" s="115">
        <f t="shared" si="207"/>
        <v>40897</v>
      </c>
      <c r="D2553" s="21" t="s">
        <v>1350</v>
      </c>
      <c r="E2553" s="345">
        <v>40897</v>
      </c>
      <c r="F2553" s="15" t="s">
        <v>1302</v>
      </c>
      <c r="G2553" s="15"/>
      <c r="H2553" s="242" t="s">
        <v>1037</v>
      </c>
      <c r="I2553" s="141">
        <v>505</v>
      </c>
      <c r="J2553" s="141">
        <v>17929.50620564742</v>
      </c>
      <c r="K2553" s="238">
        <f t="shared" si="208"/>
        <v>9054401</v>
      </c>
      <c r="L2553" s="14" t="s">
        <v>155</v>
      </c>
      <c r="M2553" s="14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/>
      </c>
      <c r="Z2553" s="121"/>
    </row>
    <row r="2554" spans="1:26" ht="15.75" customHeight="1">
      <c r="A2554" s="125" t="str">
        <f>IF(B2554&lt;&gt;"",IF(AND(B2554&gt;=_TM1,B2554&lt;=_TM2,OR(TH!L2554="1111",TH!M2554="1111")),TH!D2554,""),"")</f>
        <v/>
      </c>
      <c r="B2554" s="11">
        <f t="shared" si="206"/>
        <v>12</v>
      </c>
      <c r="C2554" s="115">
        <f t="shared" si="207"/>
        <v>40897</v>
      </c>
      <c r="D2554" s="21" t="s">
        <v>1350</v>
      </c>
      <c r="E2554" s="345">
        <v>40897</v>
      </c>
      <c r="F2554" s="15" t="s">
        <v>1303</v>
      </c>
      <c r="G2554" s="15"/>
      <c r="H2554" s="242" t="s">
        <v>1037</v>
      </c>
      <c r="I2554" s="141">
        <v>61</v>
      </c>
      <c r="J2554" s="141">
        <v>11252.49179240282</v>
      </c>
      <c r="K2554" s="238">
        <f t="shared" si="208"/>
        <v>686402</v>
      </c>
      <c r="L2554" s="14" t="s">
        <v>155</v>
      </c>
      <c r="M2554" s="14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/>
      </c>
      <c r="Z2554" s="121"/>
    </row>
    <row r="2555" spans="1:26" ht="15.75" customHeight="1">
      <c r="A2555" s="125" t="str">
        <f>IF(B2555&lt;&gt;"",IF(AND(B2555&gt;=_TM1,B2555&lt;=_TM2,OR(TH!L2555="1111",TH!M2555="1111")),TH!D2555,""),"")</f>
        <v/>
      </c>
      <c r="B2555" s="11">
        <f t="shared" si="206"/>
        <v>12</v>
      </c>
      <c r="C2555" s="115">
        <f t="shared" si="207"/>
        <v>40897</v>
      </c>
      <c r="D2555" s="21" t="s">
        <v>1350</v>
      </c>
      <c r="E2555" s="345">
        <v>40897</v>
      </c>
      <c r="F2555" s="15" t="s">
        <v>723</v>
      </c>
      <c r="G2555" s="15"/>
      <c r="H2555" s="242" t="s">
        <v>1037</v>
      </c>
      <c r="I2555" s="141">
        <v>4</v>
      </c>
      <c r="J2555" s="141">
        <v>10011.758185845443</v>
      </c>
      <c r="K2555" s="238">
        <f t="shared" si="208"/>
        <v>40047</v>
      </c>
      <c r="L2555" s="14" t="s">
        <v>155</v>
      </c>
      <c r="M2555" s="14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/>
      </c>
      <c r="Z2555" s="121"/>
    </row>
    <row r="2556" spans="1:26" ht="15.75" customHeight="1">
      <c r="A2556" s="125" t="str">
        <f>IF(B2556&lt;&gt;"",IF(AND(B2556&gt;=_TM1,B2556&lt;=_TM2,OR(TH!L2556="1111",TH!M2556="1111")),TH!D2556,""),"")</f>
        <v/>
      </c>
      <c r="B2556" s="11">
        <f t="shared" si="206"/>
        <v>12</v>
      </c>
      <c r="C2556" s="115">
        <f t="shared" si="207"/>
        <v>40897</v>
      </c>
      <c r="D2556" s="21" t="s">
        <v>1351</v>
      </c>
      <c r="E2556" s="345">
        <v>40897</v>
      </c>
      <c r="F2556" s="15" t="s">
        <v>1304</v>
      </c>
      <c r="G2556" s="15"/>
      <c r="H2556" s="242" t="s">
        <v>1037</v>
      </c>
      <c r="I2556" s="141">
        <v>16</v>
      </c>
      <c r="J2556" s="141">
        <v>18725.445685845447</v>
      </c>
      <c r="K2556" s="238">
        <f t="shared" si="208"/>
        <v>299607</v>
      </c>
      <c r="L2556" s="14" t="s">
        <v>155</v>
      </c>
      <c r="M2556" s="14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/>
      </c>
      <c r="Z2556" s="121"/>
    </row>
    <row r="2557" spans="1:26" ht="15.75" customHeight="1">
      <c r="A2557" s="125" t="str">
        <f>IF(B2557&lt;&gt;"",IF(AND(B2557&gt;=_TM1,B2557&lt;=_TM2,OR(TH!L2557="1111",TH!M2557="1111")),TH!D2557,""),"")</f>
        <v/>
      </c>
      <c r="B2557" s="11">
        <f t="shared" si="206"/>
        <v>12</v>
      </c>
      <c r="C2557" s="115">
        <f t="shared" si="207"/>
        <v>40897</v>
      </c>
      <c r="D2557" s="21" t="s">
        <v>1351</v>
      </c>
      <c r="E2557" s="345">
        <v>40897</v>
      </c>
      <c r="F2557" s="15" t="s">
        <v>1305</v>
      </c>
      <c r="G2557" s="15"/>
      <c r="H2557" s="242" t="s">
        <v>1037</v>
      </c>
      <c r="I2557" s="141">
        <v>10</v>
      </c>
      <c r="J2557" s="141">
        <v>16741.408185845445</v>
      </c>
      <c r="K2557" s="238">
        <f t="shared" si="208"/>
        <v>167414</v>
      </c>
      <c r="L2557" s="14" t="s">
        <v>155</v>
      </c>
      <c r="M2557" s="14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/>
      </c>
      <c r="Z2557" s="121"/>
    </row>
    <row r="2558" spans="1:26" ht="15.75" customHeight="1">
      <c r="A2558" s="125" t="str">
        <f>IF(B2558&lt;&gt;"",IF(AND(B2558&gt;=_TM1,B2558&lt;=_TM2,OR(TH!L2558="1111",TH!M2558="1111")),TH!D2558,""),"")</f>
        <v/>
      </c>
      <c r="B2558" s="11">
        <f t="shared" si="206"/>
        <v>12</v>
      </c>
      <c r="C2558" s="115">
        <f t="shared" si="207"/>
        <v>40897</v>
      </c>
      <c r="D2558" s="21" t="s">
        <v>1351</v>
      </c>
      <c r="E2558" s="345">
        <v>40897</v>
      </c>
      <c r="F2558" s="15" t="s">
        <v>1306</v>
      </c>
      <c r="G2558" s="15"/>
      <c r="H2558" s="242" t="s">
        <v>1037</v>
      </c>
      <c r="I2558" s="141">
        <v>134</v>
      </c>
      <c r="J2558" s="141">
        <v>21727.829081367832</v>
      </c>
      <c r="K2558" s="238">
        <f t="shared" si="208"/>
        <v>2911529</v>
      </c>
      <c r="L2558" s="14" t="s">
        <v>155</v>
      </c>
      <c r="M2558" s="14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/>
      </c>
      <c r="Z2558" s="121"/>
    </row>
    <row r="2559" spans="1:26" ht="15.75" customHeight="1">
      <c r="A2559" s="125" t="str">
        <f>IF(B2559&lt;&gt;"",IF(AND(B2559&gt;=_TM1,B2559&lt;=_TM2,OR(TH!L2559="1111",TH!M2559="1111")),TH!D2559,""),"")</f>
        <v/>
      </c>
      <c r="B2559" s="11">
        <f t="shared" si="206"/>
        <v>12</v>
      </c>
      <c r="C2559" s="115">
        <f t="shared" si="207"/>
        <v>40897</v>
      </c>
      <c r="D2559" s="21" t="s">
        <v>1351</v>
      </c>
      <c r="E2559" s="345">
        <v>40897</v>
      </c>
      <c r="F2559" s="15" t="s">
        <v>1215</v>
      </c>
      <c r="G2559" s="15"/>
      <c r="H2559" s="242" t="s">
        <v>1037</v>
      </c>
      <c r="I2559" s="141">
        <v>223</v>
      </c>
      <c r="J2559" s="141">
        <v>14753.503701540511</v>
      </c>
      <c r="K2559" s="238">
        <f t="shared" si="208"/>
        <v>3290031</v>
      </c>
      <c r="L2559" s="14" t="s">
        <v>155</v>
      </c>
      <c r="M2559" s="14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/>
      </c>
      <c r="Z2559" s="121"/>
    </row>
    <row r="2560" spans="1:26" ht="15.75" customHeight="1">
      <c r="A2560" s="125" t="str">
        <f>IF(B2560&lt;&gt;"",IF(AND(B2560&gt;=_TM1,B2560&lt;=_TM2,OR(TH!L2560="1111",TH!M2560="1111")),TH!D2560,""),"")</f>
        <v/>
      </c>
      <c r="B2560" s="11">
        <f t="shared" si="206"/>
        <v>12</v>
      </c>
      <c r="C2560" s="115">
        <f t="shared" si="207"/>
        <v>40897</v>
      </c>
      <c r="D2560" s="21" t="s">
        <v>1351</v>
      </c>
      <c r="E2560" s="345">
        <v>40897</v>
      </c>
      <c r="F2560" s="15" t="s">
        <v>1307</v>
      </c>
      <c r="G2560" s="15"/>
      <c r="H2560" s="242" t="s">
        <v>1037</v>
      </c>
      <c r="I2560" s="141">
        <v>10</v>
      </c>
      <c r="J2560" s="141">
        <v>18672.408185845445</v>
      </c>
      <c r="K2560" s="238">
        <f t="shared" si="208"/>
        <v>186724</v>
      </c>
      <c r="L2560" s="14" t="s">
        <v>155</v>
      </c>
      <c r="M2560" s="14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/>
      </c>
      <c r="Z2560" s="121"/>
    </row>
    <row r="2561" spans="1:26" ht="15.75" customHeight="1">
      <c r="A2561" s="125" t="str">
        <f>IF(B2561&lt;&gt;"",IF(AND(B2561&gt;=_TM1,B2561&lt;=_TM2,OR(TH!L2561="1111",TH!M2561="1111")),TH!D2561,""),"")</f>
        <v/>
      </c>
      <c r="B2561" s="11">
        <f t="shared" si="206"/>
        <v>12</v>
      </c>
      <c r="C2561" s="115">
        <f t="shared" si="207"/>
        <v>40897</v>
      </c>
      <c r="D2561" s="21" t="s">
        <v>1351</v>
      </c>
      <c r="E2561" s="345">
        <v>40897</v>
      </c>
      <c r="F2561" s="15" t="s">
        <v>1212</v>
      </c>
      <c r="G2561" s="15"/>
      <c r="H2561" s="242" t="s">
        <v>1037</v>
      </c>
      <c r="I2561" s="141">
        <v>20</v>
      </c>
      <c r="J2561" s="141">
        <v>16741.458185845444</v>
      </c>
      <c r="K2561" s="238">
        <f t="shared" si="208"/>
        <v>334829</v>
      </c>
      <c r="L2561" s="14" t="s">
        <v>155</v>
      </c>
      <c r="M2561" s="14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/>
      </c>
      <c r="Z2561" s="121"/>
    </row>
    <row r="2562" spans="1:26" ht="15.75" customHeight="1">
      <c r="A2562" s="125" t="str">
        <f>IF(B2562&lt;&gt;"",IF(AND(B2562&gt;=_TM1,B2562&lt;=_TM2,OR(TH!L2562="1111",TH!M2562="1111")),TH!D2562,""),"")</f>
        <v/>
      </c>
      <c r="B2562" s="11">
        <f t="shared" si="206"/>
        <v>12</v>
      </c>
      <c r="C2562" s="115">
        <f t="shared" si="207"/>
        <v>40897</v>
      </c>
      <c r="D2562" s="21" t="s">
        <v>1352</v>
      </c>
      <c r="E2562" s="115">
        <v>40897</v>
      </c>
      <c r="F2562" s="15" t="s">
        <v>1243</v>
      </c>
      <c r="G2562" s="15"/>
      <c r="H2562" s="242" t="s">
        <v>1037</v>
      </c>
      <c r="I2562" s="141">
        <v>2</v>
      </c>
      <c r="J2562" s="141">
        <v>14753.008185845443</v>
      </c>
      <c r="K2562" s="238">
        <f t="shared" si="208"/>
        <v>29506</v>
      </c>
      <c r="L2562" s="14" t="s">
        <v>155</v>
      </c>
      <c r="M2562" s="14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/>
      </c>
      <c r="Z2562" s="121"/>
    </row>
    <row r="2563" spans="1:26" ht="15.75" customHeight="1">
      <c r="A2563" s="125" t="str">
        <f>IF(B2563&lt;&gt;"",IF(AND(B2563&gt;=_TM1,B2563&lt;=_TM2,OR(TH!L2563="1111",TH!M2563="1111")),TH!D2563,""),"")</f>
        <v/>
      </c>
      <c r="B2563" s="11">
        <f t="shared" si="206"/>
        <v>12</v>
      </c>
      <c r="C2563" s="115">
        <f t="shared" si="207"/>
        <v>40897</v>
      </c>
      <c r="D2563" s="21" t="s">
        <v>1352</v>
      </c>
      <c r="E2563" s="115">
        <v>40897</v>
      </c>
      <c r="F2563" s="15" t="s">
        <v>1308</v>
      </c>
      <c r="G2563" s="15"/>
      <c r="H2563" s="242" t="s">
        <v>1037</v>
      </c>
      <c r="I2563" s="141">
        <v>379</v>
      </c>
      <c r="J2563" s="141">
        <v>18672.505547323013</v>
      </c>
      <c r="K2563" s="238">
        <f t="shared" si="208"/>
        <v>7076880</v>
      </c>
      <c r="L2563" s="14" t="s">
        <v>155</v>
      </c>
      <c r="M2563" s="14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/>
      </c>
      <c r="Z2563" s="121"/>
    </row>
    <row r="2564" spans="1:26" ht="15.75" customHeight="1">
      <c r="A2564" s="125" t="str">
        <f>IF(B2564&lt;&gt;"",IF(AND(B2564&gt;=_TM1,B2564&lt;=_TM2,OR(TH!L2564="1111",TH!M2564="1111")),TH!D2564,""),"")</f>
        <v/>
      </c>
      <c r="B2564" s="11">
        <f t="shared" si="206"/>
        <v>12</v>
      </c>
      <c r="C2564" s="115">
        <f t="shared" si="207"/>
        <v>40897</v>
      </c>
      <c r="D2564" s="21" t="s">
        <v>1352</v>
      </c>
      <c r="E2564" s="115">
        <v>40897</v>
      </c>
      <c r="F2564" s="15" t="s">
        <v>1309</v>
      </c>
      <c r="G2564" s="15"/>
      <c r="H2564" s="242" t="s">
        <v>1037</v>
      </c>
      <c r="I2564" s="141">
        <v>82</v>
      </c>
      <c r="J2564" s="141">
        <v>17929.495990723492</v>
      </c>
      <c r="K2564" s="238">
        <f t="shared" si="208"/>
        <v>1470219</v>
      </c>
      <c r="L2564" s="14" t="s">
        <v>155</v>
      </c>
      <c r="M2564" s="14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/>
      </c>
      <c r="Z2564" s="121"/>
    </row>
    <row r="2565" spans="1:26" ht="15.75" customHeight="1">
      <c r="A2565" s="125" t="str">
        <f>IF(B2565&lt;&gt;"",IF(AND(B2565&gt;=_TM1,B2565&lt;=_TM2,OR(TH!L2565="1111",TH!M2565="1111")),TH!D2565,""),"")</f>
        <v/>
      </c>
      <c r="B2565" s="11">
        <f t="shared" si="206"/>
        <v>12</v>
      </c>
      <c r="C2565" s="115">
        <f t="shared" si="207"/>
        <v>40897</v>
      </c>
      <c r="D2565" s="21" t="s">
        <v>1352</v>
      </c>
      <c r="E2565" s="115">
        <v>40897</v>
      </c>
      <c r="F2565" s="15" t="s">
        <v>1310</v>
      </c>
      <c r="G2565" s="15"/>
      <c r="H2565" s="242" t="s">
        <v>1037</v>
      </c>
      <c r="I2565" s="141">
        <v>72</v>
      </c>
      <c r="J2565" s="141">
        <v>14753.494296956553</v>
      </c>
      <c r="K2565" s="238">
        <f t="shared" si="208"/>
        <v>1062252</v>
      </c>
      <c r="L2565" s="14" t="s">
        <v>155</v>
      </c>
      <c r="M2565" s="14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/>
      </c>
      <c r="Z2565" s="121"/>
    </row>
    <row r="2566" spans="1:26" ht="15.75" customHeight="1">
      <c r="A2566" s="125" t="str">
        <f>IF(B2566&lt;&gt;"",IF(AND(B2566&gt;=_TM1,B2566&lt;=_TM2,OR(TH!L2566="1111",TH!M2566="1111")),TH!D2566,""),"")</f>
        <v/>
      </c>
      <c r="B2566" s="11">
        <f t="shared" si="206"/>
        <v>12</v>
      </c>
      <c r="C2566" s="115">
        <f t="shared" si="207"/>
        <v>40897</v>
      </c>
      <c r="D2566" s="21" t="s">
        <v>1352</v>
      </c>
      <c r="E2566" s="115">
        <v>40897</v>
      </c>
      <c r="F2566" s="15" t="s">
        <v>1311</v>
      </c>
      <c r="G2566" s="15"/>
      <c r="H2566" s="242" t="s">
        <v>1037</v>
      </c>
      <c r="I2566" s="141">
        <v>52</v>
      </c>
      <c r="J2566" s="141">
        <v>14753.488955076211</v>
      </c>
      <c r="K2566" s="238">
        <f t="shared" si="208"/>
        <v>767181</v>
      </c>
      <c r="L2566" s="14" t="s">
        <v>155</v>
      </c>
      <c r="M2566" s="14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/>
      </c>
      <c r="Z2566" s="121"/>
    </row>
    <row r="2567" spans="1:26" ht="15.75" customHeight="1">
      <c r="A2567" s="125" t="str">
        <f>IF(B2567&lt;&gt;"",IF(AND(B2567&gt;=_TM1,B2567&lt;=_TM2,OR(TH!L2567="1111",TH!M2567="1111")),TH!D2567,""),"")</f>
        <v/>
      </c>
      <c r="B2567" s="11">
        <f t="shared" si="206"/>
        <v>12</v>
      </c>
      <c r="C2567" s="115">
        <f t="shared" ref="C2567:C2598" si="209">E2567</f>
        <v>40897</v>
      </c>
      <c r="D2567" s="21" t="s">
        <v>1352</v>
      </c>
      <c r="E2567" s="115">
        <v>40897</v>
      </c>
      <c r="F2567" s="15" t="s">
        <v>1312</v>
      </c>
      <c r="G2567" s="15"/>
      <c r="H2567" s="242" t="s">
        <v>1037</v>
      </c>
      <c r="I2567" s="141">
        <v>51</v>
      </c>
      <c r="J2567" s="141">
        <v>14753.488578002303</v>
      </c>
      <c r="K2567" s="238">
        <f t="shared" ref="K2567:K2598" si="210">ROUND(I2567*J2567,0)</f>
        <v>752428</v>
      </c>
      <c r="L2567" s="14" t="s">
        <v>155</v>
      </c>
      <c r="M2567" s="14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/>
      </c>
      <c r="Z2567" s="121"/>
    </row>
    <row r="2568" spans="1:26" ht="15.75" customHeight="1">
      <c r="A2568" s="125" t="str">
        <f>IF(B2568&lt;&gt;"",IF(AND(B2568&gt;=_TM1,B2568&lt;=_TM2,OR(TH!L2568="1111",TH!M2568="1111")),TH!D2568,""),"")</f>
        <v/>
      </c>
      <c r="B2568" s="11">
        <f t="shared" si="206"/>
        <v>12</v>
      </c>
      <c r="C2568" s="115">
        <f t="shared" si="209"/>
        <v>40897</v>
      </c>
      <c r="D2568" s="21" t="s">
        <v>1352</v>
      </c>
      <c r="E2568" s="115">
        <v>40897</v>
      </c>
      <c r="F2568" s="15" t="s">
        <v>1313</v>
      </c>
      <c r="G2568" s="15"/>
      <c r="H2568" s="242" t="s">
        <v>1037</v>
      </c>
      <c r="I2568" s="141">
        <v>51</v>
      </c>
      <c r="J2568" s="141">
        <v>17737.488578002303</v>
      </c>
      <c r="K2568" s="238">
        <f t="shared" si="210"/>
        <v>904612</v>
      </c>
      <c r="L2568" s="14" t="s">
        <v>155</v>
      </c>
      <c r="M2568" s="14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/>
      </c>
      <c r="Z2568" s="121"/>
    </row>
    <row r="2569" spans="1:26" ht="15.75" customHeight="1">
      <c r="A2569" s="125" t="str">
        <f>IF(B2569&lt;&gt;"",IF(AND(B2569&gt;=_TM1,B2569&lt;=_TM2,OR(TH!L2569="1111",TH!M2569="1111")),TH!D2569,""),"")</f>
        <v/>
      </c>
      <c r="B2569" s="11">
        <f t="shared" si="206"/>
        <v>12</v>
      </c>
      <c r="C2569" s="115">
        <f t="shared" si="209"/>
        <v>40897</v>
      </c>
      <c r="D2569" s="21" t="s">
        <v>1352</v>
      </c>
      <c r="E2569" s="115">
        <v>40897</v>
      </c>
      <c r="F2569" s="15" t="s">
        <v>1314</v>
      </c>
      <c r="G2569" s="15"/>
      <c r="H2569" s="242" t="s">
        <v>1037</v>
      </c>
      <c r="I2569" s="141">
        <v>57</v>
      </c>
      <c r="J2569" s="141">
        <v>17737.490641985794</v>
      </c>
      <c r="K2569" s="238">
        <f t="shared" si="210"/>
        <v>1011037</v>
      </c>
      <c r="L2569" s="14" t="s">
        <v>155</v>
      </c>
      <c r="M2569" s="14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/>
      </c>
      <c r="Z2569" s="121"/>
    </row>
    <row r="2570" spans="1:26" ht="15.75" customHeight="1">
      <c r="A2570" s="125" t="str">
        <f>IF(B2570&lt;&gt;"",IF(AND(B2570&gt;=_TM1,B2570&lt;=_TM2,OR(TH!L2570="1111",TH!M2570="1111")),TH!D2570,""),"")</f>
        <v/>
      </c>
      <c r="B2570" s="11">
        <f t="shared" si="206"/>
        <v>12</v>
      </c>
      <c r="C2570" s="115">
        <f t="shared" si="209"/>
        <v>40897</v>
      </c>
      <c r="D2570" s="21" t="s">
        <v>1353</v>
      </c>
      <c r="E2570" s="115">
        <v>40897</v>
      </c>
      <c r="F2570" s="15" t="s">
        <v>1270</v>
      </c>
      <c r="G2570" s="15"/>
      <c r="H2570" s="242" t="s">
        <v>1037</v>
      </c>
      <c r="I2570" s="141">
        <v>150</v>
      </c>
      <c r="J2570" s="141">
        <v>1530.1548525121093</v>
      </c>
      <c r="K2570" s="238">
        <f t="shared" si="210"/>
        <v>229523</v>
      </c>
      <c r="L2570" s="14" t="s">
        <v>155</v>
      </c>
      <c r="M2570" s="14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/>
      </c>
      <c r="Z2570" s="121"/>
    </row>
    <row r="2571" spans="1:26" ht="15.75" customHeight="1">
      <c r="A2571" s="125" t="str">
        <f>IF(B2571&lt;&gt;"",IF(AND(B2571&gt;=_TM1,B2571&lt;=_TM2,OR(TH!L2571="1111",TH!M2571="1111")),TH!D2571,""),"")</f>
        <v/>
      </c>
      <c r="B2571" s="11">
        <f t="shared" si="206"/>
        <v>12</v>
      </c>
      <c r="C2571" s="115">
        <f t="shared" si="209"/>
        <v>40897</v>
      </c>
      <c r="D2571" s="21" t="s">
        <v>1353</v>
      </c>
      <c r="E2571" s="115">
        <v>40897</v>
      </c>
      <c r="F2571" s="15" t="s">
        <v>1261</v>
      </c>
      <c r="G2571" s="15"/>
      <c r="H2571" s="242" t="s">
        <v>1037</v>
      </c>
      <c r="I2571" s="141">
        <v>315</v>
      </c>
      <c r="J2571" s="141">
        <v>1641.6827890200459</v>
      </c>
      <c r="K2571" s="238">
        <f t="shared" si="210"/>
        <v>517130</v>
      </c>
      <c r="L2571" s="14" t="s">
        <v>155</v>
      </c>
      <c r="M2571" s="14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/>
      </c>
      <c r="Z2571" s="121"/>
    </row>
    <row r="2572" spans="1:26" ht="15.75" customHeight="1">
      <c r="A2572" s="125" t="str">
        <f>IF(B2572&lt;&gt;"",IF(AND(B2572&gt;=_TM1,B2572&lt;=_TM2,OR(TH!L2572="1111",TH!M2572="1111")),TH!D2572,""),"")</f>
        <v/>
      </c>
      <c r="B2572" s="11">
        <f t="shared" si="206"/>
        <v>12</v>
      </c>
      <c r="C2572" s="115">
        <f t="shared" si="209"/>
        <v>40897</v>
      </c>
      <c r="D2572" s="21" t="s">
        <v>1353</v>
      </c>
      <c r="E2572" s="115">
        <v>40897</v>
      </c>
      <c r="F2572" s="15" t="s">
        <v>1263</v>
      </c>
      <c r="G2572" s="15"/>
      <c r="H2572" s="242" t="s">
        <v>1037</v>
      </c>
      <c r="I2572" s="141">
        <v>120</v>
      </c>
      <c r="J2572" s="141">
        <v>1877.6331858454428</v>
      </c>
      <c r="K2572" s="238">
        <f t="shared" si="210"/>
        <v>225316</v>
      </c>
      <c r="L2572" s="14" t="s">
        <v>155</v>
      </c>
      <c r="M2572" s="14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/>
      </c>
      <c r="Z2572" s="121"/>
    </row>
    <row r="2573" spans="1:26" ht="15.75" customHeight="1">
      <c r="A2573" s="125" t="str">
        <f>IF(B2573&lt;&gt;"",IF(AND(B2573&gt;=_TM1,B2573&lt;=_TM2,OR(TH!L2573="1111",TH!M2573="1111")),TH!D2573,""),"")</f>
        <v/>
      </c>
      <c r="B2573" s="11">
        <f t="shared" si="206"/>
        <v>12</v>
      </c>
      <c r="C2573" s="115">
        <f t="shared" si="209"/>
        <v>40897</v>
      </c>
      <c r="D2573" s="21" t="s">
        <v>1353</v>
      </c>
      <c r="E2573" s="115">
        <v>40897</v>
      </c>
      <c r="F2573" s="15" t="s">
        <v>1260</v>
      </c>
      <c r="G2573" s="15"/>
      <c r="H2573" s="242" t="s">
        <v>1037</v>
      </c>
      <c r="I2573" s="141">
        <v>120</v>
      </c>
      <c r="J2573" s="141">
        <v>1877.6331858454428</v>
      </c>
      <c r="K2573" s="238">
        <f t="shared" si="210"/>
        <v>225316</v>
      </c>
      <c r="L2573" s="14" t="s">
        <v>155</v>
      </c>
      <c r="M2573" s="14" t="s">
        <v>153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/>
      </c>
      <c r="Z2573" s="121"/>
    </row>
    <row r="2574" spans="1:26" ht="15.75" customHeight="1">
      <c r="A2574" s="125" t="str">
        <f>IF(B2574&lt;&gt;"",IF(AND(B2574&gt;=_TM1,B2574&lt;=_TM2,OR(TH!L2574="1111",TH!M2574="1111")),TH!D2574,""),"")</f>
        <v/>
      </c>
      <c r="B2574" s="11">
        <f t="shared" si="206"/>
        <v>12</v>
      </c>
      <c r="C2574" s="115">
        <f t="shared" si="209"/>
        <v>40897</v>
      </c>
      <c r="D2574" s="21" t="s">
        <v>1353</v>
      </c>
      <c r="E2574" s="115">
        <v>40897</v>
      </c>
      <c r="F2574" s="15" t="s">
        <v>1315</v>
      </c>
      <c r="G2574" s="15"/>
      <c r="H2574" s="242" t="s">
        <v>1037</v>
      </c>
      <c r="I2574" s="141">
        <v>272</v>
      </c>
      <c r="J2574" s="141">
        <v>2154.1662740807369</v>
      </c>
      <c r="K2574" s="238">
        <f t="shared" si="210"/>
        <v>585933</v>
      </c>
      <c r="L2574" s="14" t="s">
        <v>155</v>
      </c>
      <c r="M2574" s="14" t="s">
        <v>153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/>
      </c>
      <c r="Z2574" s="121"/>
    </row>
    <row r="2575" spans="1:26" ht="15.75" customHeight="1">
      <c r="A2575" s="125" t="str">
        <f>IF(B2575&lt;&gt;"",IF(AND(B2575&gt;=_TM1,B2575&lt;=_TM2,OR(TH!L2575="1111",TH!M2575="1111")),TH!D2575,""),"")</f>
        <v/>
      </c>
      <c r="B2575" s="11">
        <f t="shared" si="206"/>
        <v>12</v>
      </c>
      <c r="C2575" s="115">
        <f t="shared" si="209"/>
        <v>40897</v>
      </c>
      <c r="D2575" s="21" t="s">
        <v>1353</v>
      </c>
      <c r="E2575" s="115">
        <v>40897</v>
      </c>
      <c r="F2575" s="15" t="s">
        <v>1269</v>
      </c>
      <c r="G2575" s="15"/>
      <c r="H2575" s="242" t="s">
        <v>1037</v>
      </c>
      <c r="I2575" s="141">
        <v>30</v>
      </c>
      <c r="J2575" s="141">
        <v>1877.6081858454427</v>
      </c>
      <c r="K2575" s="238">
        <f t="shared" si="210"/>
        <v>56328</v>
      </c>
      <c r="L2575" s="14" t="s">
        <v>155</v>
      </c>
      <c r="M2575" s="14" t="s">
        <v>153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/>
      </c>
      <c r="Z2575" s="121"/>
    </row>
    <row r="2576" spans="1:26" ht="15.75" customHeight="1">
      <c r="A2576" s="125" t="str">
        <f>IF(B2576&lt;&gt;"",IF(AND(B2576&gt;=_TM1,B2576&lt;=_TM2,OR(TH!L2576="1111",TH!M2576="1111")),TH!D2576,""),"")</f>
        <v/>
      </c>
      <c r="B2576" s="11">
        <f t="shared" si="206"/>
        <v>12</v>
      </c>
      <c r="C2576" s="115">
        <f t="shared" si="209"/>
        <v>40897</v>
      </c>
      <c r="D2576" s="21" t="s">
        <v>1353</v>
      </c>
      <c r="E2576" s="115">
        <v>40897</v>
      </c>
      <c r="F2576" s="15" t="s">
        <v>1316</v>
      </c>
      <c r="G2576" s="15"/>
      <c r="H2576" s="242" t="s">
        <v>1037</v>
      </c>
      <c r="I2576" s="141">
        <v>60</v>
      </c>
      <c r="J2576" s="141">
        <v>1877.6248525121093</v>
      </c>
      <c r="K2576" s="238">
        <f t="shared" si="210"/>
        <v>112657</v>
      </c>
      <c r="L2576" s="14" t="s">
        <v>155</v>
      </c>
      <c r="M2576" s="14" t="s">
        <v>153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/>
      </c>
      <c r="Z2576" s="121"/>
    </row>
    <row r="2577" spans="1:26" ht="15.75" customHeight="1">
      <c r="A2577" s="125" t="str">
        <f>IF(B2577&lt;&gt;"",IF(AND(B2577&gt;=_TM1,B2577&lt;=_TM2,OR(TH!L2577="1111",TH!M2577="1111")),TH!D2577,""),"")</f>
        <v/>
      </c>
      <c r="B2577" s="11">
        <f t="shared" si="206"/>
        <v>12</v>
      </c>
      <c r="C2577" s="115">
        <f t="shared" si="209"/>
        <v>40897</v>
      </c>
      <c r="D2577" s="21" t="s">
        <v>1354</v>
      </c>
      <c r="E2577" s="115">
        <v>40897</v>
      </c>
      <c r="F2577" s="15" t="s">
        <v>1265</v>
      </c>
      <c r="G2577" s="15"/>
      <c r="H2577" s="242" t="s">
        <v>1037</v>
      </c>
      <c r="I2577" s="141">
        <v>150</v>
      </c>
      <c r="J2577" s="141">
        <v>1848.5681858454427</v>
      </c>
      <c r="K2577" s="238">
        <f t="shared" si="210"/>
        <v>277285</v>
      </c>
      <c r="L2577" s="14" t="s">
        <v>155</v>
      </c>
      <c r="M2577" s="14" t="s">
        <v>153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/>
      </c>
      <c r="Z2577" s="121"/>
    </row>
    <row r="2578" spans="1:26" ht="15.75" customHeight="1">
      <c r="A2578" s="125" t="str">
        <f>IF(B2578&lt;&gt;"",IF(AND(B2578&gt;=_TM1,B2578&lt;=_TM2,OR(TH!L2578="1111",TH!M2578="1111")),TH!D2578,""),"")</f>
        <v/>
      </c>
      <c r="B2578" s="11">
        <f t="shared" si="206"/>
        <v>12</v>
      </c>
      <c r="C2578" s="115">
        <f t="shared" si="209"/>
        <v>40897</v>
      </c>
      <c r="D2578" s="21" t="s">
        <v>1354</v>
      </c>
      <c r="E2578" s="115">
        <v>40897</v>
      </c>
      <c r="F2578" s="15" t="s">
        <v>1266</v>
      </c>
      <c r="G2578" s="15"/>
      <c r="H2578" s="242" t="s">
        <v>1037</v>
      </c>
      <c r="I2578" s="141">
        <v>136</v>
      </c>
      <c r="J2578" s="141">
        <v>1782.0008329042664</v>
      </c>
      <c r="K2578" s="238">
        <f t="shared" si="210"/>
        <v>242352</v>
      </c>
      <c r="L2578" s="14" t="s">
        <v>155</v>
      </c>
      <c r="M2578" s="14" t="s">
        <v>153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121"/>
    </row>
    <row r="2579" spans="1:26" ht="15.75" customHeight="1">
      <c r="A2579" s="125" t="str">
        <f>IF(B2579&lt;&gt;"",IF(AND(B2579&gt;=_TM1,B2579&lt;=_TM2,OR(TH!L2579="1111",TH!M2579="1111")),TH!D2579,""),"")</f>
        <v/>
      </c>
      <c r="B2579" s="11">
        <f t="shared" si="206"/>
        <v>12</v>
      </c>
      <c r="C2579" s="115">
        <f t="shared" si="209"/>
        <v>40897</v>
      </c>
      <c r="D2579" s="21" t="s">
        <v>1354</v>
      </c>
      <c r="E2579" s="115">
        <v>40897</v>
      </c>
      <c r="F2579" s="15" t="s">
        <v>1268</v>
      </c>
      <c r="G2579" s="15"/>
      <c r="H2579" s="242" t="s">
        <v>1037</v>
      </c>
      <c r="I2579" s="141">
        <v>15</v>
      </c>
      <c r="J2579" s="141">
        <v>1873.1081858454427</v>
      </c>
      <c r="K2579" s="238">
        <f t="shared" si="210"/>
        <v>28097</v>
      </c>
      <c r="L2579" s="14" t="s">
        <v>155</v>
      </c>
      <c r="M2579" s="14" t="s">
        <v>153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121"/>
    </row>
    <row r="2580" spans="1:26" ht="15.75" customHeight="1">
      <c r="A2580" s="125" t="str">
        <f>IF(B2580&lt;&gt;"",IF(AND(B2580&gt;=_TM1,B2580&lt;=_TM2,OR(TH!L2580="1111",TH!M2580="1111")),TH!D2580,""),"")</f>
        <v/>
      </c>
      <c r="B2580" s="11">
        <f t="shared" si="206"/>
        <v>12</v>
      </c>
      <c r="C2580" s="115">
        <f t="shared" si="209"/>
        <v>40897</v>
      </c>
      <c r="D2580" s="21" t="s">
        <v>1354</v>
      </c>
      <c r="E2580" s="115">
        <v>40897</v>
      </c>
      <c r="F2580" s="15" t="s">
        <v>1264</v>
      </c>
      <c r="G2580" s="15"/>
      <c r="H2580" s="242" t="s">
        <v>1037</v>
      </c>
      <c r="I2580" s="141">
        <v>75</v>
      </c>
      <c r="J2580" s="141">
        <v>2026.0415191787761</v>
      </c>
      <c r="K2580" s="238">
        <f t="shared" si="210"/>
        <v>151953</v>
      </c>
      <c r="L2580" s="14" t="s">
        <v>155</v>
      </c>
      <c r="M2580" s="14" t="s">
        <v>153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121"/>
    </row>
    <row r="2581" spans="1:26" ht="15.75" customHeight="1">
      <c r="A2581" s="125" t="str">
        <f>IF(B2581&lt;&gt;"",IF(AND(B2581&gt;=_TM1,B2581&lt;=_TM2,OR(TH!L2581="1111",TH!M2581="1111")),TH!D2581,""),"")</f>
        <v/>
      </c>
      <c r="B2581" s="11">
        <f t="shared" si="206"/>
        <v>12</v>
      </c>
      <c r="C2581" s="115">
        <f t="shared" si="209"/>
        <v>40897</v>
      </c>
      <c r="D2581" s="12" t="s">
        <v>924</v>
      </c>
      <c r="E2581" s="115">
        <v>40897</v>
      </c>
      <c r="F2581" s="116" t="s">
        <v>1249</v>
      </c>
      <c r="G2581" s="224" t="s">
        <v>1297</v>
      </c>
      <c r="H2581" s="117" t="s">
        <v>709</v>
      </c>
      <c r="I2581" s="141">
        <v>2</v>
      </c>
      <c r="J2581" s="141">
        <v>10011.508185845443</v>
      </c>
      <c r="K2581" s="330">
        <f t="shared" si="210"/>
        <v>20023</v>
      </c>
      <c r="L2581" s="319" t="s">
        <v>161</v>
      </c>
      <c r="M2581" s="319" t="s">
        <v>155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121"/>
    </row>
    <row r="2582" spans="1:26" ht="15.75" customHeight="1">
      <c r="A2582" s="125" t="str">
        <f>IF(B2582&lt;&gt;"",IF(AND(B2582&gt;=_TM1,B2582&lt;=_TM2,OR(TH!L2582="1111",TH!M2582="1111")),TH!D2582,""),"")</f>
        <v/>
      </c>
      <c r="B2582" s="11">
        <f t="shared" si="206"/>
        <v>12</v>
      </c>
      <c r="C2582" s="115">
        <f t="shared" si="209"/>
        <v>40897</v>
      </c>
      <c r="D2582" s="12" t="s">
        <v>924</v>
      </c>
      <c r="E2582" s="115">
        <v>40897</v>
      </c>
      <c r="F2582" s="116" t="s">
        <v>1298</v>
      </c>
      <c r="G2582" s="224" t="s">
        <v>1297</v>
      </c>
      <c r="H2582" s="117" t="s">
        <v>709</v>
      </c>
      <c r="I2582" s="141">
        <v>5</v>
      </c>
      <c r="J2582" s="141">
        <v>7873.9081858454419</v>
      </c>
      <c r="K2582" s="330">
        <f t="shared" si="210"/>
        <v>39370</v>
      </c>
      <c r="L2582" s="319" t="s">
        <v>161</v>
      </c>
      <c r="M2582" s="319" t="s">
        <v>155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121"/>
    </row>
    <row r="2583" spans="1:26" ht="15.75" customHeight="1">
      <c r="A2583" s="125" t="str">
        <f>IF(B2583&lt;&gt;"",IF(AND(B2583&gt;=_TM1,B2583&lt;=_TM2,OR(TH!L2583="1111",TH!M2583="1111")),TH!D2583,""),"")</f>
        <v/>
      </c>
      <c r="B2583" s="11">
        <f t="shared" si="206"/>
        <v>12</v>
      </c>
      <c r="C2583" s="115">
        <f t="shared" si="209"/>
        <v>40897</v>
      </c>
      <c r="D2583" s="12" t="s">
        <v>924</v>
      </c>
      <c r="E2583" s="115">
        <v>40897</v>
      </c>
      <c r="F2583" s="116" t="s">
        <v>724</v>
      </c>
      <c r="G2583" s="224" t="s">
        <v>1297</v>
      </c>
      <c r="H2583" s="117" t="s">
        <v>709</v>
      </c>
      <c r="I2583" s="141">
        <v>33</v>
      </c>
      <c r="J2583" s="141">
        <v>11882.477882815141</v>
      </c>
      <c r="K2583" s="330">
        <f t="shared" si="210"/>
        <v>392122</v>
      </c>
      <c r="L2583" s="319" t="s">
        <v>161</v>
      </c>
      <c r="M2583" s="319" t="s">
        <v>155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121"/>
    </row>
    <row r="2584" spans="1:26" ht="15.75" customHeight="1">
      <c r="A2584" s="125" t="str">
        <f>IF(B2584&lt;&gt;"",IF(AND(B2584&gt;=_TM1,B2584&lt;=_TM2,OR(TH!L2584="1111",TH!M2584="1111")),TH!D2584,""),"")</f>
        <v/>
      </c>
      <c r="B2584" s="11">
        <f t="shared" si="206"/>
        <v>12</v>
      </c>
      <c r="C2584" s="115">
        <f t="shared" si="209"/>
        <v>40897</v>
      </c>
      <c r="D2584" s="12" t="s">
        <v>924</v>
      </c>
      <c r="E2584" s="115">
        <v>40897</v>
      </c>
      <c r="F2584" s="116" t="s">
        <v>1299</v>
      </c>
      <c r="G2584" s="224" t="s">
        <v>1297</v>
      </c>
      <c r="H2584" s="117" t="s">
        <v>709</v>
      </c>
      <c r="I2584" s="141">
        <v>147</v>
      </c>
      <c r="J2584" s="141">
        <v>14753.501383124356</v>
      </c>
      <c r="K2584" s="330">
        <f t="shared" si="210"/>
        <v>2168765</v>
      </c>
      <c r="L2584" s="319" t="s">
        <v>161</v>
      </c>
      <c r="M2584" s="319" t="s">
        <v>155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121"/>
    </row>
    <row r="2585" spans="1:26" ht="15.75" customHeight="1">
      <c r="A2585" s="125" t="str">
        <f>IF(B2585&lt;&gt;"",IF(AND(B2585&gt;=_TM1,B2585&lt;=_TM2,OR(TH!L2585="1111",TH!M2585="1111")),TH!D2585,""),"")</f>
        <v/>
      </c>
      <c r="B2585" s="11">
        <f t="shared" si="206"/>
        <v>12</v>
      </c>
      <c r="C2585" s="115">
        <f t="shared" si="209"/>
        <v>40897</v>
      </c>
      <c r="D2585" s="12" t="s">
        <v>924</v>
      </c>
      <c r="E2585" s="115">
        <v>40897</v>
      </c>
      <c r="F2585" s="116" t="s">
        <v>1300</v>
      </c>
      <c r="G2585" s="224" t="s">
        <v>1297</v>
      </c>
      <c r="H2585" s="117" t="s">
        <v>709</v>
      </c>
      <c r="I2585" s="141">
        <v>52</v>
      </c>
      <c r="J2585" s="141">
        <v>14753.488955076211</v>
      </c>
      <c r="K2585" s="330">
        <f t="shared" si="210"/>
        <v>767181</v>
      </c>
      <c r="L2585" s="319" t="s">
        <v>161</v>
      </c>
      <c r="M2585" s="319" t="s">
        <v>155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121"/>
    </row>
    <row r="2586" spans="1:26" ht="15.75" customHeight="1">
      <c r="A2586" s="125" t="str">
        <f>IF(B2586&lt;&gt;"",IF(AND(B2586&gt;=_TM1,B2586&lt;=_TM2,OR(TH!L2586="1111",TH!M2586="1111")),TH!D2586,""),"")</f>
        <v/>
      </c>
      <c r="B2586" s="11">
        <f t="shared" si="206"/>
        <v>12</v>
      </c>
      <c r="C2586" s="115">
        <f t="shared" si="209"/>
        <v>40897</v>
      </c>
      <c r="D2586" s="12" t="s">
        <v>924</v>
      </c>
      <c r="E2586" s="115">
        <v>40897</v>
      </c>
      <c r="F2586" s="116" t="s">
        <v>1301</v>
      </c>
      <c r="G2586" s="224" t="s">
        <v>1297</v>
      </c>
      <c r="H2586" s="117" t="s">
        <v>709</v>
      </c>
      <c r="I2586" s="141">
        <v>61</v>
      </c>
      <c r="J2586" s="141">
        <v>17800.49179240282</v>
      </c>
      <c r="K2586" s="330">
        <f t="shared" si="210"/>
        <v>1085830</v>
      </c>
      <c r="L2586" s="319" t="s">
        <v>161</v>
      </c>
      <c r="M2586" s="319" t="s">
        <v>155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121"/>
    </row>
    <row r="2587" spans="1:26" ht="15.75" customHeight="1">
      <c r="A2587" s="125" t="str">
        <f>IF(B2587&lt;&gt;"",IF(AND(B2587&gt;=_TM1,B2587&lt;=_TM2,OR(TH!L2587="1111",TH!M2587="1111")),TH!D2587,""),"")</f>
        <v/>
      </c>
      <c r="B2587" s="11">
        <f t="shared" si="206"/>
        <v>12</v>
      </c>
      <c r="C2587" s="115">
        <f t="shared" si="209"/>
        <v>40897</v>
      </c>
      <c r="D2587" s="12" t="s">
        <v>924</v>
      </c>
      <c r="E2587" s="115">
        <v>40897</v>
      </c>
      <c r="F2587" s="116" t="s">
        <v>1302</v>
      </c>
      <c r="G2587" s="224" t="s">
        <v>1297</v>
      </c>
      <c r="H2587" s="117" t="s">
        <v>709</v>
      </c>
      <c r="I2587" s="141">
        <v>505</v>
      </c>
      <c r="J2587" s="141">
        <v>17929.50620564742</v>
      </c>
      <c r="K2587" s="330">
        <f t="shared" si="210"/>
        <v>9054401</v>
      </c>
      <c r="L2587" s="319" t="s">
        <v>161</v>
      </c>
      <c r="M2587" s="319" t="s">
        <v>155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121"/>
    </row>
    <row r="2588" spans="1:26" ht="15.75" customHeight="1">
      <c r="A2588" s="125" t="str">
        <f>IF(B2588&lt;&gt;"",IF(AND(B2588&gt;=_TM1,B2588&lt;=_TM2,OR(TH!L2588="1111",TH!M2588="1111")),TH!D2588,""),"")</f>
        <v/>
      </c>
      <c r="B2588" s="11">
        <f t="shared" si="206"/>
        <v>12</v>
      </c>
      <c r="C2588" s="115">
        <f t="shared" si="209"/>
        <v>40897</v>
      </c>
      <c r="D2588" s="12" t="s">
        <v>924</v>
      </c>
      <c r="E2588" s="115">
        <v>40897</v>
      </c>
      <c r="F2588" s="116" t="s">
        <v>1303</v>
      </c>
      <c r="G2588" s="224" t="s">
        <v>1297</v>
      </c>
      <c r="H2588" s="117" t="s">
        <v>709</v>
      </c>
      <c r="I2588" s="141">
        <v>61</v>
      </c>
      <c r="J2588" s="141">
        <v>11252.49179240282</v>
      </c>
      <c r="K2588" s="330">
        <f t="shared" si="210"/>
        <v>686402</v>
      </c>
      <c r="L2588" s="319" t="s">
        <v>161</v>
      </c>
      <c r="M2588" s="319" t="s">
        <v>155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121"/>
    </row>
    <row r="2589" spans="1:26" ht="15.75" customHeight="1">
      <c r="A2589" s="125" t="str">
        <f>IF(B2589&lt;&gt;"",IF(AND(B2589&gt;=_TM1,B2589&lt;=_TM2,OR(TH!L2589="1111",TH!M2589="1111")),TH!D2589,""),"")</f>
        <v/>
      </c>
      <c r="B2589" s="11">
        <f t="shared" ref="B2589:B2652" si="211">IF(C2589&lt;&gt;"",MONTH(C2589),"")</f>
        <v>12</v>
      </c>
      <c r="C2589" s="115">
        <f t="shared" si="209"/>
        <v>40897</v>
      </c>
      <c r="D2589" s="12" t="s">
        <v>924</v>
      </c>
      <c r="E2589" s="115">
        <v>40897</v>
      </c>
      <c r="F2589" s="116" t="s">
        <v>723</v>
      </c>
      <c r="G2589" s="224" t="s">
        <v>1297</v>
      </c>
      <c r="H2589" s="117" t="s">
        <v>709</v>
      </c>
      <c r="I2589" s="141">
        <v>4</v>
      </c>
      <c r="J2589" s="141">
        <v>10011.758185845443</v>
      </c>
      <c r="K2589" s="330">
        <f t="shared" si="210"/>
        <v>40047</v>
      </c>
      <c r="L2589" s="319" t="s">
        <v>161</v>
      </c>
      <c r="M2589" s="319" t="s">
        <v>155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121"/>
    </row>
    <row r="2590" spans="1:26" ht="15.75" customHeight="1">
      <c r="A2590" s="125" t="str">
        <f>IF(B2590&lt;&gt;"",IF(AND(B2590&gt;=_TM1,B2590&lt;=_TM2,OR(TH!L2590="1111",TH!M2590="1111")),TH!D2590,""),"")</f>
        <v/>
      </c>
      <c r="B2590" s="11">
        <f t="shared" si="211"/>
        <v>12</v>
      </c>
      <c r="C2590" s="115">
        <f t="shared" si="209"/>
        <v>40897</v>
      </c>
      <c r="D2590" s="12" t="s">
        <v>924</v>
      </c>
      <c r="E2590" s="115">
        <v>40897</v>
      </c>
      <c r="F2590" s="116" t="s">
        <v>1304</v>
      </c>
      <c r="G2590" s="224" t="s">
        <v>1297</v>
      </c>
      <c r="H2590" s="117" t="s">
        <v>709</v>
      </c>
      <c r="I2590" s="141">
        <v>16</v>
      </c>
      <c r="J2590" s="141">
        <v>18725.445685845447</v>
      </c>
      <c r="K2590" s="330">
        <f t="shared" si="210"/>
        <v>299607</v>
      </c>
      <c r="L2590" s="319" t="s">
        <v>161</v>
      </c>
      <c r="M2590" s="319" t="s">
        <v>155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121"/>
    </row>
    <row r="2591" spans="1:26" ht="15.75" customHeight="1">
      <c r="A2591" s="125" t="str">
        <f>IF(B2591&lt;&gt;"",IF(AND(B2591&gt;=_TM1,B2591&lt;=_TM2,OR(TH!L2591="1111",TH!M2591="1111")),TH!D2591,""),"")</f>
        <v/>
      </c>
      <c r="B2591" s="11">
        <f t="shared" si="211"/>
        <v>12</v>
      </c>
      <c r="C2591" s="115">
        <f t="shared" si="209"/>
        <v>40897</v>
      </c>
      <c r="D2591" s="12" t="s">
        <v>924</v>
      </c>
      <c r="E2591" s="115">
        <v>40897</v>
      </c>
      <c r="F2591" s="116" t="s">
        <v>1305</v>
      </c>
      <c r="G2591" s="224" t="s">
        <v>1297</v>
      </c>
      <c r="H2591" s="117" t="s">
        <v>709</v>
      </c>
      <c r="I2591" s="141">
        <v>10</v>
      </c>
      <c r="J2591" s="141">
        <v>16741.408185845445</v>
      </c>
      <c r="K2591" s="330">
        <f t="shared" si="210"/>
        <v>167414</v>
      </c>
      <c r="L2591" s="319" t="s">
        <v>161</v>
      </c>
      <c r="M2591" s="319" t="s">
        <v>155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121"/>
    </row>
    <row r="2592" spans="1:26" ht="15.75" customHeight="1">
      <c r="A2592" s="125" t="str">
        <f>IF(B2592&lt;&gt;"",IF(AND(B2592&gt;=_TM1,B2592&lt;=_TM2,OR(TH!L2592="1111",TH!M2592="1111")),TH!D2592,""),"")</f>
        <v/>
      </c>
      <c r="B2592" s="11">
        <f t="shared" si="211"/>
        <v>12</v>
      </c>
      <c r="C2592" s="115">
        <f t="shared" si="209"/>
        <v>40897</v>
      </c>
      <c r="D2592" s="12" t="s">
        <v>924</v>
      </c>
      <c r="E2592" s="115">
        <v>40897</v>
      </c>
      <c r="F2592" s="116" t="s">
        <v>1306</v>
      </c>
      <c r="G2592" s="224" t="s">
        <v>1297</v>
      </c>
      <c r="H2592" s="117" t="s">
        <v>709</v>
      </c>
      <c r="I2592" s="141">
        <v>134</v>
      </c>
      <c r="J2592" s="141">
        <v>21727.829081367832</v>
      </c>
      <c r="K2592" s="330">
        <f t="shared" si="210"/>
        <v>2911529</v>
      </c>
      <c r="L2592" s="319" t="s">
        <v>161</v>
      </c>
      <c r="M2592" s="319" t="s">
        <v>155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121"/>
    </row>
    <row r="2593" spans="1:26" ht="15.75" customHeight="1">
      <c r="A2593" s="125" t="str">
        <f>IF(B2593&lt;&gt;"",IF(AND(B2593&gt;=_TM1,B2593&lt;=_TM2,OR(TH!L2593="1111",TH!M2593="1111")),TH!D2593,""),"")</f>
        <v/>
      </c>
      <c r="B2593" s="11">
        <f t="shared" si="211"/>
        <v>12</v>
      </c>
      <c r="C2593" s="115">
        <f t="shared" si="209"/>
        <v>40897</v>
      </c>
      <c r="D2593" s="12" t="s">
        <v>924</v>
      </c>
      <c r="E2593" s="115">
        <v>40897</v>
      </c>
      <c r="F2593" s="116" t="s">
        <v>1215</v>
      </c>
      <c r="G2593" s="224" t="s">
        <v>1297</v>
      </c>
      <c r="H2593" s="117" t="s">
        <v>709</v>
      </c>
      <c r="I2593" s="141">
        <v>223</v>
      </c>
      <c r="J2593" s="141">
        <v>14753.503701540511</v>
      </c>
      <c r="K2593" s="330">
        <f t="shared" si="210"/>
        <v>3290031</v>
      </c>
      <c r="L2593" s="319" t="s">
        <v>161</v>
      </c>
      <c r="M2593" s="319" t="s">
        <v>155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121"/>
    </row>
    <row r="2594" spans="1:26" ht="15.75" customHeight="1">
      <c r="A2594" s="125" t="str">
        <f>IF(B2594&lt;&gt;"",IF(AND(B2594&gt;=_TM1,B2594&lt;=_TM2,OR(TH!L2594="1111",TH!M2594="1111")),TH!D2594,""),"")</f>
        <v/>
      </c>
      <c r="B2594" s="11">
        <f t="shared" si="211"/>
        <v>12</v>
      </c>
      <c r="C2594" s="115">
        <f t="shared" si="209"/>
        <v>40897</v>
      </c>
      <c r="D2594" s="12" t="s">
        <v>924</v>
      </c>
      <c r="E2594" s="115">
        <v>40897</v>
      </c>
      <c r="F2594" s="116" t="s">
        <v>1307</v>
      </c>
      <c r="G2594" s="224" t="s">
        <v>1297</v>
      </c>
      <c r="H2594" s="117" t="s">
        <v>709</v>
      </c>
      <c r="I2594" s="141">
        <v>10</v>
      </c>
      <c r="J2594" s="141">
        <v>18672.408185845445</v>
      </c>
      <c r="K2594" s="330">
        <f t="shared" si="210"/>
        <v>186724</v>
      </c>
      <c r="L2594" s="319" t="s">
        <v>161</v>
      </c>
      <c r="M2594" s="319" t="s">
        <v>155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121"/>
    </row>
    <row r="2595" spans="1:26" ht="15.75" customHeight="1">
      <c r="A2595" s="125" t="str">
        <f>IF(B2595&lt;&gt;"",IF(AND(B2595&gt;=_TM1,B2595&lt;=_TM2,OR(TH!L2595="1111",TH!M2595="1111")),TH!D2595,""),"")</f>
        <v/>
      </c>
      <c r="B2595" s="11">
        <f t="shared" si="211"/>
        <v>12</v>
      </c>
      <c r="C2595" s="115">
        <f t="shared" si="209"/>
        <v>40897</v>
      </c>
      <c r="D2595" s="12" t="s">
        <v>924</v>
      </c>
      <c r="E2595" s="115">
        <v>40897</v>
      </c>
      <c r="F2595" s="116" t="s">
        <v>1212</v>
      </c>
      <c r="G2595" s="224" t="s">
        <v>1297</v>
      </c>
      <c r="H2595" s="117" t="s">
        <v>709</v>
      </c>
      <c r="I2595" s="141">
        <v>20</v>
      </c>
      <c r="J2595" s="141">
        <v>16741.458185845444</v>
      </c>
      <c r="K2595" s="330">
        <f t="shared" si="210"/>
        <v>334829</v>
      </c>
      <c r="L2595" s="319" t="s">
        <v>161</v>
      </c>
      <c r="M2595" s="319" t="s">
        <v>155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121"/>
    </row>
    <row r="2596" spans="1:26" ht="15.75" customHeight="1">
      <c r="A2596" s="125" t="str">
        <f>IF(B2596&lt;&gt;"",IF(AND(B2596&gt;=_TM1,B2596&lt;=_TM2,OR(TH!L2596="1111",TH!M2596="1111")),TH!D2596,""),"")</f>
        <v/>
      </c>
      <c r="B2596" s="11">
        <f t="shared" si="211"/>
        <v>12</v>
      </c>
      <c r="C2596" s="115">
        <f t="shared" si="209"/>
        <v>40897</v>
      </c>
      <c r="D2596" s="12" t="s">
        <v>924</v>
      </c>
      <c r="E2596" s="115">
        <v>40897</v>
      </c>
      <c r="F2596" s="116" t="s">
        <v>1243</v>
      </c>
      <c r="G2596" s="224" t="s">
        <v>1297</v>
      </c>
      <c r="H2596" s="117" t="s">
        <v>709</v>
      </c>
      <c r="I2596" s="141">
        <v>2</v>
      </c>
      <c r="J2596" s="141">
        <v>14753.008185845443</v>
      </c>
      <c r="K2596" s="330">
        <f t="shared" si="210"/>
        <v>29506</v>
      </c>
      <c r="L2596" s="319" t="s">
        <v>161</v>
      </c>
      <c r="M2596" s="319" t="s">
        <v>155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121"/>
    </row>
    <row r="2597" spans="1:26" ht="15.75" customHeight="1">
      <c r="A2597" s="125" t="str">
        <f>IF(B2597&lt;&gt;"",IF(AND(B2597&gt;=_TM1,B2597&lt;=_TM2,OR(TH!L2597="1111",TH!M2597="1111")),TH!D2597,""),"")</f>
        <v/>
      </c>
      <c r="B2597" s="11">
        <f t="shared" si="211"/>
        <v>12</v>
      </c>
      <c r="C2597" s="115">
        <f t="shared" si="209"/>
        <v>40897</v>
      </c>
      <c r="D2597" s="12" t="s">
        <v>924</v>
      </c>
      <c r="E2597" s="115">
        <v>40897</v>
      </c>
      <c r="F2597" s="116" t="s">
        <v>1308</v>
      </c>
      <c r="G2597" s="224" t="s">
        <v>1297</v>
      </c>
      <c r="H2597" s="117" t="s">
        <v>709</v>
      </c>
      <c r="I2597" s="141">
        <v>379</v>
      </c>
      <c r="J2597" s="141">
        <v>18672.505547323013</v>
      </c>
      <c r="K2597" s="330">
        <f t="shared" si="210"/>
        <v>7076880</v>
      </c>
      <c r="L2597" s="319" t="s">
        <v>161</v>
      </c>
      <c r="M2597" s="319" t="s">
        <v>155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121"/>
    </row>
    <row r="2598" spans="1:26" ht="15.75" customHeight="1">
      <c r="A2598" s="125" t="str">
        <f>IF(B2598&lt;&gt;"",IF(AND(B2598&gt;=_TM1,B2598&lt;=_TM2,OR(TH!L2598="1111",TH!M2598="1111")),TH!D2598,""),"")</f>
        <v/>
      </c>
      <c r="B2598" s="11">
        <f t="shared" si="211"/>
        <v>12</v>
      </c>
      <c r="C2598" s="115">
        <f t="shared" si="209"/>
        <v>40897</v>
      </c>
      <c r="D2598" s="12" t="s">
        <v>924</v>
      </c>
      <c r="E2598" s="115">
        <v>40897</v>
      </c>
      <c r="F2598" s="116" t="s">
        <v>1309</v>
      </c>
      <c r="G2598" s="224" t="s">
        <v>1297</v>
      </c>
      <c r="H2598" s="117" t="s">
        <v>709</v>
      </c>
      <c r="I2598" s="141">
        <v>82</v>
      </c>
      <c r="J2598" s="141">
        <v>17929.495990723492</v>
      </c>
      <c r="K2598" s="330">
        <f t="shared" si="210"/>
        <v>1470219</v>
      </c>
      <c r="L2598" s="319" t="s">
        <v>161</v>
      </c>
      <c r="M2598" s="319" t="s">
        <v>155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121"/>
    </row>
    <row r="2599" spans="1:26" ht="15.75" customHeight="1">
      <c r="A2599" s="125" t="str">
        <f>IF(B2599&lt;&gt;"",IF(AND(B2599&gt;=_TM1,B2599&lt;=_TM2,OR(TH!L2599="1111",TH!M2599="1111")),TH!D2599,""),"")</f>
        <v/>
      </c>
      <c r="B2599" s="11">
        <f t="shared" si="211"/>
        <v>12</v>
      </c>
      <c r="C2599" s="115">
        <f t="shared" ref="C2599:C2614" si="212">E2599</f>
        <v>40897</v>
      </c>
      <c r="D2599" s="12" t="s">
        <v>924</v>
      </c>
      <c r="E2599" s="115">
        <v>40897</v>
      </c>
      <c r="F2599" s="116" t="s">
        <v>1310</v>
      </c>
      <c r="G2599" s="224" t="s">
        <v>1297</v>
      </c>
      <c r="H2599" s="117" t="s">
        <v>709</v>
      </c>
      <c r="I2599" s="141">
        <v>72</v>
      </c>
      <c r="J2599" s="141">
        <v>14753.494296956553</v>
      </c>
      <c r="K2599" s="330">
        <f t="shared" ref="K2599:K2614" si="213">ROUND(I2599*J2599,0)</f>
        <v>1062252</v>
      </c>
      <c r="L2599" s="319" t="s">
        <v>161</v>
      </c>
      <c r="M2599" s="319" t="s">
        <v>155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121"/>
    </row>
    <row r="2600" spans="1:26" ht="15.75" customHeight="1">
      <c r="A2600" s="125" t="str">
        <f>IF(B2600&lt;&gt;"",IF(AND(B2600&gt;=_TM1,B2600&lt;=_TM2,OR(TH!L2600="1111",TH!M2600="1111")),TH!D2600,""),"")</f>
        <v/>
      </c>
      <c r="B2600" s="11">
        <f t="shared" si="211"/>
        <v>12</v>
      </c>
      <c r="C2600" s="115">
        <f t="shared" si="212"/>
        <v>40897</v>
      </c>
      <c r="D2600" s="12" t="s">
        <v>924</v>
      </c>
      <c r="E2600" s="115">
        <v>40897</v>
      </c>
      <c r="F2600" s="116" t="s">
        <v>1311</v>
      </c>
      <c r="G2600" s="224" t="s">
        <v>1297</v>
      </c>
      <c r="H2600" s="117" t="s">
        <v>709</v>
      </c>
      <c r="I2600" s="141">
        <v>52</v>
      </c>
      <c r="J2600" s="141">
        <v>14753.488955076211</v>
      </c>
      <c r="K2600" s="330">
        <f t="shared" si="213"/>
        <v>767181</v>
      </c>
      <c r="L2600" s="319" t="s">
        <v>161</v>
      </c>
      <c r="M2600" s="319" t="s">
        <v>155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121"/>
    </row>
    <row r="2601" spans="1:26" ht="15.75" customHeight="1">
      <c r="A2601" s="125" t="str">
        <f>IF(B2601&lt;&gt;"",IF(AND(B2601&gt;=_TM1,B2601&lt;=_TM2,OR(TH!L2601="1111",TH!M2601="1111")),TH!D2601,""),"")</f>
        <v/>
      </c>
      <c r="B2601" s="11">
        <f t="shared" si="211"/>
        <v>12</v>
      </c>
      <c r="C2601" s="115">
        <f t="shared" si="212"/>
        <v>40897</v>
      </c>
      <c r="D2601" s="12" t="s">
        <v>924</v>
      </c>
      <c r="E2601" s="115">
        <v>40897</v>
      </c>
      <c r="F2601" s="116" t="s">
        <v>1312</v>
      </c>
      <c r="G2601" s="224" t="s">
        <v>1297</v>
      </c>
      <c r="H2601" s="117" t="s">
        <v>709</v>
      </c>
      <c r="I2601" s="141">
        <v>51</v>
      </c>
      <c r="J2601" s="141">
        <v>14753.488578002303</v>
      </c>
      <c r="K2601" s="330">
        <f t="shared" si="213"/>
        <v>752428</v>
      </c>
      <c r="L2601" s="319" t="s">
        <v>161</v>
      </c>
      <c r="M2601" s="319" t="s">
        <v>155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121"/>
    </row>
    <row r="2602" spans="1:26" ht="15.75" customHeight="1">
      <c r="A2602" s="125" t="str">
        <f>IF(B2602&lt;&gt;"",IF(AND(B2602&gt;=_TM1,B2602&lt;=_TM2,OR(TH!L2602="1111",TH!M2602="1111")),TH!D2602,""),"")</f>
        <v/>
      </c>
      <c r="B2602" s="11">
        <f t="shared" si="211"/>
        <v>12</v>
      </c>
      <c r="C2602" s="115">
        <f t="shared" si="212"/>
        <v>40897</v>
      </c>
      <c r="D2602" s="12" t="s">
        <v>924</v>
      </c>
      <c r="E2602" s="115">
        <v>40897</v>
      </c>
      <c r="F2602" s="116" t="s">
        <v>1313</v>
      </c>
      <c r="G2602" s="224" t="s">
        <v>1297</v>
      </c>
      <c r="H2602" s="117" t="s">
        <v>709</v>
      </c>
      <c r="I2602" s="141">
        <v>51</v>
      </c>
      <c r="J2602" s="141">
        <v>17737.488578002303</v>
      </c>
      <c r="K2602" s="330">
        <f t="shared" si="213"/>
        <v>904612</v>
      </c>
      <c r="L2602" s="319" t="s">
        <v>161</v>
      </c>
      <c r="M2602" s="319" t="s">
        <v>155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121"/>
    </row>
    <row r="2603" spans="1:26" ht="15.75" customHeight="1">
      <c r="A2603" s="125" t="str">
        <f>IF(B2603&lt;&gt;"",IF(AND(B2603&gt;=_TM1,B2603&lt;=_TM2,OR(TH!L2603="1111",TH!M2603="1111")),TH!D2603,""),"")</f>
        <v/>
      </c>
      <c r="B2603" s="11">
        <f t="shared" si="211"/>
        <v>12</v>
      </c>
      <c r="C2603" s="115">
        <f t="shared" si="212"/>
        <v>40897</v>
      </c>
      <c r="D2603" s="12" t="s">
        <v>924</v>
      </c>
      <c r="E2603" s="115">
        <v>40897</v>
      </c>
      <c r="F2603" s="116" t="s">
        <v>1314</v>
      </c>
      <c r="G2603" s="224" t="s">
        <v>1297</v>
      </c>
      <c r="H2603" s="117" t="s">
        <v>709</v>
      </c>
      <c r="I2603" s="141">
        <v>57</v>
      </c>
      <c r="J2603" s="141">
        <v>17737.490641985794</v>
      </c>
      <c r="K2603" s="330">
        <f t="shared" si="213"/>
        <v>1011037</v>
      </c>
      <c r="L2603" s="319" t="s">
        <v>161</v>
      </c>
      <c r="M2603" s="319" t="s">
        <v>155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121"/>
    </row>
    <row r="2604" spans="1:26" ht="15.75" customHeight="1">
      <c r="A2604" s="125" t="str">
        <f>IF(B2604&lt;&gt;"",IF(AND(B2604&gt;=_TM1,B2604&lt;=_TM2,OR(TH!L2604="1111",TH!M2604="1111")),TH!D2604,""),"")</f>
        <v/>
      </c>
      <c r="B2604" s="11">
        <f t="shared" si="211"/>
        <v>12</v>
      </c>
      <c r="C2604" s="115">
        <f t="shared" si="212"/>
        <v>40897</v>
      </c>
      <c r="D2604" s="12" t="s">
        <v>924</v>
      </c>
      <c r="E2604" s="115">
        <v>40897</v>
      </c>
      <c r="F2604" s="116" t="s">
        <v>1270</v>
      </c>
      <c r="G2604" s="224" t="s">
        <v>1297</v>
      </c>
      <c r="H2604" s="117" t="s">
        <v>709</v>
      </c>
      <c r="I2604" s="141">
        <v>150</v>
      </c>
      <c r="J2604" s="141">
        <v>1530.1548525121093</v>
      </c>
      <c r="K2604" s="330">
        <f t="shared" si="213"/>
        <v>229523</v>
      </c>
      <c r="L2604" s="319" t="s">
        <v>161</v>
      </c>
      <c r="M2604" s="319" t="s">
        <v>155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121"/>
    </row>
    <row r="2605" spans="1:26" ht="15.75" customHeight="1">
      <c r="A2605" s="125" t="str">
        <f>IF(B2605&lt;&gt;"",IF(AND(B2605&gt;=_TM1,B2605&lt;=_TM2,OR(TH!L2605="1111",TH!M2605="1111")),TH!D2605,""),"")</f>
        <v/>
      </c>
      <c r="B2605" s="11">
        <f t="shared" si="211"/>
        <v>12</v>
      </c>
      <c r="C2605" s="115">
        <f t="shared" si="212"/>
        <v>40897</v>
      </c>
      <c r="D2605" s="12" t="s">
        <v>924</v>
      </c>
      <c r="E2605" s="115">
        <v>40897</v>
      </c>
      <c r="F2605" s="116" t="s">
        <v>1261</v>
      </c>
      <c r="G2605" s="224" t="s">
        <v>1297</v>
      </c>
      <c r="H2605" s="117" t="s">
        <v>709</v>
      </c>
      <c r="I2605" s="141">
        <v>315</v>
      </c>
      <c r="J2605" s="141">
        <v>1641.6827890200459</v>
      </c>
      <c r="K2605" s="330">
        <f t="shared" si="213"/>
        <v>517130</v>
      </c>
      <c r="L2605" s="319" t="s">
        <v>161</v>
      </c>
      <c r="M2605" s="319" t="s">
        <v>155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121"/>
    </row>
    <row r="2606" spans="1:26" ht="15.75" customHeight="1">
      <c r="A2606" s="125" t="str">
        <f>IF(B2606&lt;&gt;"",IF(AND(B2606&gt;=_TM1,B2606&lt;=_TM2,OR(TH!L2606="1111",TH!M2606="1111")),TH!D2606,""),"")</f>
        <v/>
      </c>
      <c r="B2606" s="11">
        <f t="shared" si="211"/>
        <v>12</v>
      </c>
      <c r="C2606" s="115">
        <f t="shared" si="212"/>
        <v>40897</v>
      </c>
      <c r="D2606" s="12" t="s">
        <v>924</v>
      </c>
      <c r="E2606" s="115">
        <v>40897</v>
      </c>
      <c r="F2606" s="116" t="s">
        <v>1263</v>
      </c>
      <c r="G2606" s="224" t="s">
        <v>1297</v>
      </c>
      <c r="H2606" s="117" t="s">
        <v>709</v>
      </c>
      <c r="I2606" s="141">
        <v>120</v>
      </c>
      <c r="J2606" s="141">
        <v>1877.6331858454428</v>
      </c>
      <c r="K2606" s="330">
        <f t="shared" si="213"/>
        <v>225316</v>
      </c>
      <c r="L2606" s="319" t="s">
        <v>161</v>
      </c>
      <c r="M2606" s="319" t="s">
        <v>155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121"/>
    </row>
    <row r="2607" spans="1:26" ht="15.75" customHeight="1">
      <c r="A2607" s="125" t="str">
        <f>IF(B2607&lt;&gt;"",IF(AND(B2607&gt;=_TM1,B2607&lt;=_TM2,OR(TH!L2607="1111",TH!M2607="1111")),TH!D2607,""),"")</f>
        <v/>
      </c>
      <c r="B2607" s="11">
        <f t="shared" si="211"/>
        <v>12</v>
      </c>
      <c r="C2607" s="115">
        <f t="shared" si="212"/>
        <v>40897</v>
      </c>
      <c r="D2607" s="12" t="s">
        <v>924</v>
      </c>
      <c r="E2607" s="115">
        <v>40897</v>
      </c>
      <c r="F2607" s="116" t="s">
        <v>1260</v>
      </c>
      <c r="G2607" s="224" t="s">
        <v>1297</v>
      </c>
      <c r="H2607" s="117" t="s">
        <v>709</v>
      </c>
      <c r="I2607" s="141">
        <v>120</v>
      </c>
      <c r="J2607" s="141">
        <v>1877.6331858454428</v>
      </c>
      <c r="K2607" s="330">
        <f t="shared" si="213"/>
        <v>225316</v>
      </c>
      <c r="L2607" s="319" t="s">
        <v>161</v>
      </c>
      <c r="M2607" s="319" t="s">
        <v>155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121"/>
    </row>
    <row r="2608" spans="1:26" ht="15.75" customHeight="1">
      <c r="A2608" s="125" t="str">
        <f>IF(B2608&lt;&gt;"",IF(AND(B2608&gt;=_TM1,B2608&lt;=_TM2,OR(TH!L2608="1111",TH!M2608="1111")),TH!D2608,""),"")</f>
        <v/>
      </c>
      <c r="B2608" s="11">
        <f t="shared" si="211"/>
        <v>12</v>
      </c>
      <c r="C2608" s="115">
        <f t="shared" si="212"/>
        <v>40897</v>
      </c>
      <c r="D2608" s="12" t="s">
        <v>924</v>
      </c>
      <c r="E2608" s="115">
        <v>40897</v>
      </c>
      <c r="F2608" s="116" t="s">
        <v>1315</v>
      </c>
      <c r="G2608" s="224" t="s">
        <v>1297</v>
      </c>
      <c r="H2608" s="117" t="s">
        <v>709</v>
      </c>
      <c r="I2608" s="141">
        <v>272</v>
      </c>
      <c r="J2608" s="141">
        <v>2154.1662740807369</v>
      </c>
      <c r="K2608" s="330">
        <f t="shared" si="213"/>
        <v>585933</v>
      </c>
      <c r="L2608" s="319" t="s">
        <v>161</v>
      </c>
      <c r="M2608" s="319" t="s">
        <v>155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121"/>
    </row>
    <row r="2609" spans="1:26" ht="15.75" customHeight="1">
      <c r="A2609" s="125" t="str">
        <f>IF(B2609&lt;&gt;"",IF(AND(B2609&gt;=_TM1,B2609&lt;=_TM2,OR(TH!L2609="1111",TH!M2609="1111")),TH!D2609,""),"")</f>
        <v/>
      </c>
      <c r="B2609" s="11">
        <f t="shared" si="211"/>
        <v>12</v>
      </c>
      <c r="C2609" s="115">
        <f t="shared" si="212"/>
        <v>40897</v>
      </c>
      <c r="D2609" s="12" t="s">
        <v>924</v>
      </c>
      <c r="E2609" s="115">
        <v>40897</v>
      </c>
      <c r="F2609" s="116" t="s">
        <v>1269</v>
      </c>
      <c r="G2609" s="224" t="s">
        <v>1297</v>
      </c>
      <c r="H2609" s="117" t="s">
        <v>709</v>
      </c>
      <c r="I2609" s="141">
        <v>30</v>
      </c>
      <c r="J2609" s="141">
        <v>1877.6081858454427</v>
      </c>
      <c r="K2609" s="330">
        <f t="shared" si="213"/>
        <v>56328</v>
      </c>
      <c r="L2609" s="319" t="s">
        <v>161</v>
      </c>
      <c r="M2609" s="319" t="s">
        <v>155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121"/>
    </row>
    <row r="2610" spans="1:26" ht="15.75" customHeight="1">
      <c r="A2610" s="125" t="str">
        <f>IF(B2610&lt;&gt;"",IF(AND(B2610&gt;=_TM1,B2610&lt;=_TM2,OR(TH!L2610="1111",TH!M2610="1111")),TH!D2610,""),"")</f>
        <v/>
      </c>
      <c r="B2610" s="11">
        <f t="shared" si="211"/>
        <v>12</v>
      </c>
      <c r="C2610" s="115">
        <f t="shared" si="212"/>
        <v>40897</v>
      </c>
      <c r="D2610" s="12" t="s">
        <v>924</v>
      </c>
      <c r="E2610" s="115">
        <v>40897</v>
      </c>
      <c r="F2610" s="116" t="s">
        <v>1316</v>
      </c>
      <c r="G2610" s="224" t="s">
        <v>1297</v>
      </c>
      <c r="H2610" s="117" t="s">
        <v>709</v>
      </c>
      <c r="I2610" s="141">
        <v>60</v>
      </c>
      <c r="J2610" s="141">
        <v>1877.6248525121093</v>
      </c>
      <c r="K2610" s="330">
        <f t="shared" si="213"/>
        <v>112657</v>
      </c>
      <c r="L2610" s="319" t="s">
        <v>161</v>
      </c>
      <c r="M2610" s="319" t="s">
        <v>155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121"/>
    </row>
    <row r="2611" spans="1:26" ht="15.75" customHeight="1">
      <c r="A2611" s="125" t="str">
        <f>IF(B2611&lt;&gt;"",IF(AND(B2611&gt;=_TM1,B2611&lt;=_TM2,OR(TH!L2611="1111",TH!M2611="1111")),TH!D2611,""),"")</f>
        <v/>
      </c>
      <c r="B2611" s="11">
        <f t="shared" si="211"/>
        <v>12</v>
      </c>
      <c r="C2611" s="115">
        <f t="shared" si="212"/>
        <v>40897</v>
      </c>
      <c r="D2611" s="12" t="s">
        <v>924</v>
      </c>
      <c r="E2611" s="115">
        <v>40897</v>
      </c>
      <c r="F2611" s="116" t="s">
        <v>1265</v>
      </c>
      <c r="G2611" s="224" t="s">
        <v>1297</v>
      </c>
      <c r="H2611" s="117" t="s">
        <v>709</v>
      </c>
      <c r="I2611" s="141">
        <v>150</v>
      </c>
      <c r="J2611" s="141">
        <v>1848.5681858454427</v>
      </c>
      <c r="K2611" s="330">
        <f t="shared" si="213"/>
        <v>277285</v>
      </c>
      <c r="L2611" s="319" t="s">
        <v>161</v>
      </c>
      <c r="M2611" s="319" t="s">
        <v>155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121"/>
    </row>
    <row r="2612" spans="1:26" ht="15.75" customHeight="1">
      <c r="A2612" s="125" t="str">
        <f>IF(B2612&lt;&gt;"",IF(AND(B2612&gt;=_TM1,B2612&lt;=_TM2,OR(TH!L2612="1111",TH!M2612="1111")),TH!D2612,""),"")</f>
        <v/>
      </c>
      <c r="B2612" s="11">
        <f t="shared" si="211"/>
        <v>12</v>
      </c>
      <c r="C2612" s="115">
        <f t="shared" si="212"/>
        <v>40897</v>
      </c>
      <c r="D2612" s="12" t="s">
        <v>924</v>
      </c>
      <c r="E2612" s="115">
        <v>40897</v>
      </c>
      <c r="F2612" s="116" t="s">
        <v>1266</v>
      </c>
      <c r="G2612" s="224" t="s">
        <v>1297</v>
      </c>
      <c r="H2612" s="117" t="s">
        <v>709</v>
      </c>
      <c r="I2612" s="141">
        <v>136</v>
      </c>
      <c r="J2612" s="141">
        <v>1782.0008329042664</v>
      </c>
      <c r="K2612" s="330">
        <f t="shared" si="213"/>
        <v>242352</v>
      </c>
      <c r="L2612" s="319" t="s">
        <v>161</v>
      </c>
      <c r="M2612" s="319" t="s">
        <v>155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121"/>
    </row>
    <row r="2613" spans="1:26" ht="15.75" customHeight="1">
      <c r="A2613" s="125" t="str">
        <f>IF(B2613&lt;&gt;"",IF(AND(B2613&gt;=_TM1,B2613&lt;=_TM2,OR(TH!L2613="1111",TH!M2613="1111")),TH!D2613,""),"")</f>
        <v/>
      </c>
      <c r="B2613" s="11">
        <f t="shared" si="211"/>
        <v>12</v>
      </c>
      <c r="C2613" s="115">
        <f t="shared" si="212"/>
        <v>40897</v>
      </c>
      <c r="D2613" s="12" t="s">
        <v>924</v>
      </c>
      <c r="E2613" s="115">
        <v>40897</v>
      </c>
      <c r="F2613" s="116" t="s">
        <v>1268</v>
      </c>
      <c r="G2613" s="224" t="s">
        <v>1297</v>
      </c>
      <c r="H2613" s="117" t="s">
        <v>709</v>
      </c>
      <c r="I2613" s="141">
        <v>15</v>
      </c>
      <c r="J2613" s="141">
        <v>1873.1081858454427</v>
      </c>
      <c r="K2613" s="330">
        <f t="shared" si="213"/>
        <v>28097</v>
      </c>
      <c r="L2613" s="319" t="s">
        <v>161</v>
      </c>
      <c r="M2613" s="319" t="s">
        <v>155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121"/>
    </row>
    <row r="2614" spans="1:26" ht="15.75" customHeight="1">
      <c r="A2614" s="125" t="str">
        <f>IF(B2614&lt;&gt;"",IF(AND(B2614&gt;=_TM1,B2614&lt;=_TM2,OR(TH!L2614="1111",TH!M2614="1111")),TH!D2614,""),"")</f>
        <v/>
      </c>
      <c r="B2614" s="11">
        <f t="shared" si="211"/>
        <v>12</v>
      </c>
      <c r="C2614" s="115">
        <f t="shared" si="212"/>
        <v>40897</v>
      </c>
      <c r="D2614" s="12" t="s">
        <v>924</v>
      </c>
      <c r="E2614" s="115">
        <v>40897</v>
      </c>
      <c r="F2614" s="116" t="s">
        <v>1264</v>
      </c>
      <c r="G2614" s="224" t="s">
        <v>1297</v>
      </c>
      <c r="H2614" s="117" t="s">
        <v>709</v>
      </c>
      <c r="I2614" s="141">
        <v>75</v>
      </c>
      <c r="J2614" s="141">
        <v>2026.0415191787761</v>
      </c>
      <c r="K2614" s="330">
        <f t="shared" si="213"/>
        <v>151953</v>
      </c>
      <c r="L2614" s="319" t="s">
        <v>161</v>
      </c>
      <c r="M2614" s="319" t="s">
        <v>155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121"/>
    </row>
    <row r="2615" spans="1:26" ht="15.75" customHeight="1">
      <c r="A2615" s="125" t="str">
        <f>IF(B2615&lt;&gt;"",IF(AND(B2615&gt;=_TM1,B2615&lt;=_TM2,OR(TH!L2615="1111",TH!M2615="1111")),TH!D2615,""),"")</f>
        <v/>
      </c>
      <c r="B2615" s="11">
        <f t="shared" si="211"/>
        <v>12</v>
      </c>
      <c r="C2615" s="115">
        <v>40898</v>
      </c>
      <c r="D2615" s="115" t="s">
        <v>925</v>
      </c>
      <c r="E2615" s="115">
        <v>40898</v>
      </c>
      <c r="F2615" s="116" t="s">
        <v>1309</v>
      </c>
      <c r="G2615" s="224" t="s">
        <v>1317</v>
      </c>
      <c r="H2615" s="117" t="s">
        <v>709</v>
      </c>
      <c r="I2615" s="141">
        <v>227</v>
      </c>
      <c r="J2615" s="141">
        <v>23012</v>
      </c>
      <c r="K2615" s="238">
        <v>5223724</v>
      </c>
      <c r="L2615" s="118" t="s">
        <v>237</v>
      </c>
      <c r="M2615" s="118" t="s">
        <v>163</v>
      </c>
      <c r="N2615" s="25" t="str">
        <f>IF(AND('331-CT'!$E$7=TH!H2615,OR(L2615="331",M2615="331")),"331",IF(AND(OR(L2615="131",M2615="131"),H2615='131-CT'!$E$7),"131",""))</f>
        <v>131</v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121"/>
    </row>
    <row r="2616" spans="1:26" ht="15.75" customHeight="1">
      <c r="A2616" s="125" t="str">
        <f>IF(B2616&lt;&gt;"",IF(AND(B2616&gt;=_TM1,B2616&lt;=_TM2,OR(TH!L2616="1111",TH!M2616="1111")),TH!D2616,""),"")</f>
        <v/>
      </c>
      <c r="B2616" s="11">
        <f t="shared" si="211"/>
        <v>12</v>
      </c>
      <c r="C2616" s="115">
        <v>40898</v>
      </c>
      <c r="D2616" s="115" t="s">
        <v>925</v>
      </c>
      <c r="E2616" s="115">
        <v>40898</v>
      </c>
      <c r="F2616" s="116" t="s">
        <v>1304</v>
      </c>
      <c r="G2616" s="224" t="s">
        <v>1317</v>
      </c>
      <c r="H2616" s="117" t="s">
        <v>709</v>
      </c>
      <c r="I2616" s="141">
        <v>195</v>
      </c>
      <c r="J2616" s="141">
        <v>18928</v>
      </c>
      <c r="K2616" s="238">
        <v>3690960</v>
      </c>
      <c r="L2616" s="118" t="s">
        <v>237</v>
      </c>
      <c r="M2616" s="118" t="s">
        <v>163</v>
      </c>
      <c r="N2616" s="25" t="str">
        <f>IF(AND('331-CT'!$E$7=TH!H2616,OR(L2616="331",M2616="331")),"331",IF(AND(OR(L2616="131",M2616="131"),H2616='131-CT'!$E$7),"131",""))</f>
        <v>131</v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121"/>
    </row>
    <row r="2617" spans="1:26" ht="15.75" customHeight="1">
      <c r="A2617" s="125" t="str">
        <f>IF(B2617&lt;&gt;"",IF(AND(B2617&gt;=_TM1,B2617&lt;=_TM2,OR(TH!L2617="1111",TH!M2617="1111")),TH!D2617,""),"")</f>
        <v/>
      </c>
      <c r="B2617" s="11">
        <f t="shared" si="211"/>
        <v>12</v>
      </c>
      <c r="C2617" s="115">
        <v>40898</v>
      </c>
      <c r="D2617" s="115" t="s">
        <v>925</v>
      </c>
      <c r="E2617" s="115">
        <v>40898</v>
      </c>
      <c r="F2617" s="116" t="s">
        <v>1318</v>
      </c>
      <c r="G2617" s="224" t="s">
        <v>1317</v>
      </c>
      <c r="H2617" s="117" t="s">
        <v>709</v>
      </c>
      <c r="I2617" s="141">
        <v>232</v>
      </c>
      <c r="J2617" s="141">
        <v>20070</v>
      </c>
      <c r="K2617" s="238">
        <v>4656240</v>
      </c>
      <c r="L2617" s="118" t="s">
        <v>237</v>
      </c>
      <c r="M2617" s="118" t="s">
        <v>163</v>
      </c>
      <c r="N2617" s="25" t="str">
        <f>IF(AND('331-CT'!$E$7=TH!H2617,OR(L2617="331",M2617="331")),"331",IF(AND(OR(L2617="131",M2617="131"),H2617='131-CT'!$E$7),"131",""))</f>
        <v>131</v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121"/>
    </row>
    <row r="2618" spans="1:26" ht="15.75" customHeight="1">
      <c r="A2618" s="125" t="str">
        <f>IF(B2618&lt;&gt;"",IF(AND(B2618&gt;=_TM1,B2618&lt;=_TM2,OR(TH!L2618="1111",TH!M2618="1111")),TH!D2618,""),"")</f>
        <v/>
      </c>
      <c r="B2618" s="11">
        <f t="shared" si="211"/>
        <v>12</v>
      </c>
      <c r="C2618" s="115">
        <v>40898</v>
      </c>
      <c r="D2618" s="115" t="s">
        <v>925</v>
      </c>
      <c r="E2618" s="115">
        <v>40898</v>
      </c>
      <c r="F2618" s="116" t="s">
        <v>1121</v>
      </c>
      <c r="G2618" s="224" t="s">
        <v>1317</v>
      </c>
      <c r="H2618" s="117" t="s">
        <v>709</v>
      </c>
      <c r="I2618" s="141"/>
      <c r="J2618" s="141"/>
      <c r="K2618" s="238">
        <v>1357092</v>
      </c>
      <c r="L2618" s="118" t="s">
        <v>237</v>
      </c>
      <c r="M2618" s="118" t="s">
        <v>707</v>
      </c>
      <c r="N2618" s="25" t="str">
        <f>IF(AND('331-CT'!$E$7=TH!H2618,OR(L2618="331",M2618="331")),"331",IF(AND(OR(L2618="131",M2618="131"),H2618='131-CT'!$E$7),"131",""))</f>
        <v>131</v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121"/>
    </row>
    <row r="2619" spans="1:26" ht="15.75" customHeight="1">
      <c r="A2619" s="125" t="str">
        <f>IF(B2619&lt;&gt;"",IF(AND(B2619&gt;=_TM1,B2619&lt;=_TM2,OR(TH!L2619="1111",TH!M2619="1111")),TH!D2619,""),"")</f>
        <v/>
      </c>
      <c r="B2619" s="11">
        <f t="shared" si="211"/>
        <v>12</v>
      </c>
      <c r="C2619" s="115">
        <f t="shared" ref="C2619:C2624" si="214">E2619</f>
        <v>40898</v>
      </c>
      <c r="D2619" s="21" t="s">
        <v>1355</v>
      </c>
      <c r="E2619" s="115">
        <v>40898</v>
      </c>
      <c r="F2619" s="15" t="s">
        <v>1309</v>
      </c>
      <c r="G2619" s="15"/>
      <c r="H2619" s="242" t="s">
        <v>1037</v>
      </c>
      <c r="I2619" s="141">
        <v>227</v>
      </c>
      <c r="J2619" s="141">
        <v>17929.503780559098</v>
      </c>
      <c r="K2619" s="238">
        <f t="shared" ref="K2619:K2624" si="215">ROUND(I2619*J2619,0)</f>
        <v>4069997</v>
      </c>
      <c r="L2619" s="14" t="s">
        <v>155</v>
      </c>
      <c r="M2619" s="14" t="s">
        <v>153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121"/>
    </row>
    <row r="2620" spans="1:26" ht="15.75" customHeight="1">
      <c r="A2620" s="125" t="str">
        <f>IF(B2620&lt;&gt;"",IF(AND(B2620&gt;=_TM1,B2620&lt;=_TM2,OR(TH!L2620="1111",TH!M2620="1111")),TH!D2620,""),"")</f>
        <v/>
      </c>
      <c r="B2620" s="11">
        <f t="shared" si="211"/>
        <v>12</v>
      </c>
      <c r="C2620" s="115">
        <f t="shared" si="214"/>
        <v>40898</v>
      </c>
      <c r="D2620" s="21" t="s">
        <v>1355</v>
      </c>
      <c r="E2620" s="115">
        <v>40898</v>
      </c>
      <c r="F2620" s="15" t="s">
        <v>1304</v>
      </c>
      <c r="G2620" s="15"/>
      <c r="H2620" s="242" t="s">
        <v>1037</v>
      </c>
      <c r="I2620" s="141">
        <v>195</v>
      </c>
      <c r="J2620" s="141">
        <v>17929.503057640315</v>
      </c>
      <c r="K2620" s="238">
        <f t="shared" si="215"/>
        <v>3496253</v>
      </c>
      <c r="L2620" s="14" t="s">
        <v>155</v>
      </c>
      <c r="M2620" s="14" t="s">
        <v>153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121"/>
    </row>
    <row r="2621" spans="1:26" ht="15.75" customHeight="1">
      <c r="A2621" s="125" t="str">
        <f>IF(B2621&lt;&gt;"",IF(AND(B2621&gt;=_TM1,B2621&lt;=_TM2,OR(TH!L2621="1111",TH!M2621="1111")),TH!D2621,""),"")</f>
        <v/>
      </c>
      <c r="B2621" s="11">
        <f t="shared" si="211"/>
        <v>12</v>
      </c>
      <c r="C2621" s="115">
        <f t="shared" si="214"/>
        <v>40898</v>
      </c>
      <c r="D2621" s="21" t="s">
        <v>1355</v>
      </c>
      <c r="E2621" s="115">
        <v>40898</v>
      </c>
      <c r="F2621" s="15" t="s">
        <v>1318</v>
      </c>
      <c r="G2621" s="15"/>
      <c r="H2621" s="242" t="s">
        <v>1037</v>
      </c>
      <c r="I2621" s="141">
        <v>232</v>
      </c>
      <c r="J2621" s="141">
        <v>17737.503875500617</v>
      </c>
      <c r="K2621" s="238">
        <f t="shared" si="215"/>
        <v>4115101</v>
      </c>
      <c r="L2621" s="14" t="s">
        <v>155</v>
      </c>
      <c r="M2621" s="14" t="s">
        <v>153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121"/>
    </row>
    <row r="2622" spans="1:26" ht="15.75" customHeight="1">
      <c r="A2622" s="125" t="str">
        <f>IF(B2622&lt;&gt;"",IF(AND(B2622&gt;=_TM1,B2622&lt;=_TM2,OR(TH!L2622="1111",TH!M2622="1111")),TH!D2622,""),"")</f>
        <v/>
      </c>
      <c r="B2622" s="11">
        <f t="shared" si="211"/>
        <v>12</v>
      </c>
      <c r="C2622" s="115">
        <f t="shared" si="214"/>
        <v>40898</v>
      </c>
      <c r="D2622" s="12" t="s">
        <v>925</v>
      </c>
      <c r="E2622" s="115">
        <v>40898</v>
      </c>
      <c r="F2622" s="116" t="s">
        <v>1309</v>
      </c>
      <c r="G2622" s="224" t="s">
        <v>1317</v>
      </c>
      <c r="H2622" s="117" t="s">
        <v>709</v>
      </c>
      <c r="I2622" s="141">
        <v>227</v>
      </c>
      <c r="J2622" s="141">
        <v>17929.503780559098</v>
      </c>
      <c r="K2622" s="330">
        <f t="shared" si="215"/>
        <v>4069997</v>
      </c>
      <c r="L2622" s="319" t="s">
        <v>161</v>
      </c>
      <c r="M2622" s="319" t="s">
        <v>155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121"/>
    </row>
    <row r="2623" spans="1:26" ht="15.75" customHeight="1">
      <c r="A2623" s="125" t="str">
        <f>IF(B2623&lt;&gt;"",IF(AND(B2623&gt;=_TM1,B2623&lt;=_TM2,OR(TH!L2623="1111",TH!M2623="1111")),TH!D2623,""),"")</f>
        <v/>
      </c>
      <c r="B2623" s="11">
        <f t="shared" si="211"/>
        <v>12</v>
      </c>
      <c r="C2623" s="115">
        <f t="shared" si="214"/>
        <v>40898</v>
      </c>
      <c r="D2623" s="12" t="s">
        <v>925</v>
      </c>
      <c r="E2623" s="115">
        <v>40898</v>
      </c>
      <c r="F2623" s="116" t="s">
        <v>1304</v>
      </c>
      <c r="G2623" s="224" t="s">
        <v>1317</v>
      </c>
      <c r="H2623" s="117" t="s">
        <v>709</v>
      </c>
      <c r="I2623" s="141">
        <v>195</v>
      </c>
      <c r="J2623" s="141">
        <v>17929.503057640315</v>
      </c>
      <c r="K2623" s="330">
        <f t="shared" si="215"/>
        <v>3496253</v>
      </c>
      <c r="L2623" s="319" t="s">
        <v>161</v>
      </c>
      <c r="M2623" s="319" t="s">
        <v>155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121"/>
    </row>
    <row r="2624" spans="1:26" ht="15.75" customHeight="1">
      <c r="A2624" s="125" t="str">
        <f>IF(B2624&lt;&gt;"",IF(AND(B2624&gt;=_TM1,B2624&lt;=_TM2,OR(TH!L2624="1111",TH!M2624="1111")),TH!D2624,""),"")</f>
        <v/>
      </c>
      <c r="B2624" s="11">
        <f t="shared" si="211"/>
        <v>12</v>
      </c>
      <c r="C2624" s="115">
        <f t="shared" si="214"/>
        <v>40898</v>
      </c>
      <c r="D2624" s="12" t="s">
        <v>925</v>
      </c>
      <c r="E2624" s="115">
        <v>40898</v>
      </c>
      <c r="F2624" s="116" t="s">
        <v>1318</v>
      </c>
      <c r="G2624" s="224" t="s">
        <v>1317</v>
      </c>
      <c r="H2624" s="117" t="s">
        <v>709</v>
      </c>
      <c r="I2624" s="141">
        <v>232</v>
      </c>
      <c r="J2624" s="141">
        <v>17737.503875500617</v>
      </c>
      <c r="K2624" s="330">
        <f t="shared" si="215"/>
        <v>4115101</v>
      </c>
      <c r="L2624" s="319" t="s">
        <v>161</v>
      </c>
      <c r="M2624" s="319" t="s">
        <v>155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121"/>
    </row>
    <row r="2625" spans="1:26" ht="15.75" customHeight="1">
      <c r="A2625" s="125" t="str">
        <f>IF(B2625&lt;&gt;"",IF(AND(B2625&gt;=_TM1,B2625&lt;=_TM2,OR(TH!L2625="1111",TH!M2625="1111")),TH!D2625,""),"")</f>
        <v/>
      </c>
      <c r="B2625" s="11">
        <f t="shared" si="211"/>
        <v>12</v>
      </c>
      <c r="C2625" s="115">
        <v>40899</v>
      </c>
      <c r="D2625" s="115" t="s">
        <v>926</v>
      </c>
      <c r="E2625" s="115">
        <v>40899</v>
      </c>
      <c r="F2625" s="116" t="s">
        <v>1319</v>
      </c>
      <c r="G2625" s="224" t="s">
        <v>1320</v>
      </c>
      <c r="H2625" s="117" t="s">
        <v>709</v>
      </c>
      <c r="I2625" s="141">
        <v>76</v>
      </c>
      <c r="J2625" s="141">
        <v>6275</v>
      </c>
      <c r="K2625" s="238">
        <v>476900</v>
      </c>
      <c r="L2625" s="118" t="s">
        <v>237</v>
      </c>
      <c r="M2625" s="118" t="s">
        <v>163</v>
      </c>
      <c r="N2625" s="25" t="str">
        <f>IF(AND('331-CT'!$E$7=TH!H2625,OR(L2625="331",M2625="331")),"331",IF(AND(OR(L2625="131",M2625="131"),H2625='131-CT'!$E$7),"131",""))</f>
        <v>131</v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121"/>
    </row>
    <row r="2626" spans="1:26" ht="15.75" customHeight="1">
      <c r="A2626" s="125" t="str">
        <f>IF(B2626&lt;&gt;"",IF(AND(B2626&gt;=_TM1,B2626&lt;=_TM2,OR(TH!L2626="1111",TH!M2626="1111")),TH!D2626,""),"")</f>
        <v/>
      </c>
      <c r="B2626" s="11">
        <f t="shared" si="211"/>
        <v>12</v>
      </c>
      <c r="C2626" s="115">
        <v>40899</v>
      </c>
      <c r="D2626" s="115" t="s">
        <v>926</v>
      </c>
      <c r="E2626" s="115">
        <v>40899</v>
      </c>
      <c r="F2626" s="116" t="s">
        <v>1321</v>
      </c>
      <c r="G2626" s="224" t="s">
        <v>1320</v>
      </c>
      <c r="H2626" s="117" t="s">
        <v>709</v>
      </c>
      <c r="I2626" s="141">
        <v>261</v>
      </c>
      <c r="J2626" s="141">
        <v>10678</v>
      </c>
      <c r="K2626" s="238">
        <v>2786958</v>
      </c>
      <c r="L2626" s="118" t="s">
        <v>237</v>
      </c>
      <c r="M2626" s="118" t="s">
        <v>163</v>
      </c>
      <c r="N2626" s="25" t="str">
        <f>IF(AND('331-CT'!$E$7=TH!H2626,OR(L2626="331",M2626="331")),"331",IF(AND(OR(L2626="131",M2626="131"),H2626='131-CT'!$E$7),"131",""))</f>
        <v>131</v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121"/>
    </row>
    <row r="2627" spans="1:26" ht="15.75" customHeight="1">
      <c r="A2627" s="125" t="str">
        <f>IF(B2627&lt;&gt;"",IF(AND(B2627&gt;=_TM1,B2627&lt;=_TM2,OR(TH!L2627="1111",TH!M2627="1111")),TH!D2627,""),"")</f>
        <v/>
      </c>
      <c r="B2627" s="11">
        <f t="shared" si="211"/>
        <v>12</v>
      </c>
      <c r="C2627" s="115">
        <v>40899</v>
      </c>
      <c r="D2627" s="115" t="s">
        <v>926</v>
      </c>
      <c r="E2627" s="115">
        <v>40899</v>
      </c>
      <c r="F2627" s="116" t="s">
        <v>851</v>
      </c>
      <c r="G2627" s="224" t="s">
        <v>1320</v>
      </c>
      <c r="H2627" s="117" t="s">
        <v>709</v>
      </c>
      <c r="I2627" s="141">
        <v>65</v>
      </c>
      <c r="J2627" s="141">
        <v>10501</v>
      </c>
      <c r="K2627" s="238">
        <v>682565</v>
      </c>
      <c r="L2627" s="118" t="s">
        <v>237</v>
      </c>
      <c r="M2627" s="118" t="s">
        <v>163</v>
      </c>
      <c r="N2627" s="25" t="str">
        <f>IF(AND('331-CT'!$E$7=TH!H2627,OR(L2627="331",M2627="331")),"331",IF(AND(OR(L2627="131",M2627="131"),H2627='131-CT'!$E$7),"131",""))</f>
        <v>131</v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121"/>
    </row>
    <row r="2628" spans="1:26" ht="15.75" customHeight="1">
      <c r="A2628" s="125" t="str">
        <f>IF(B2628&lt;&gt;"",IF(AND(B2628&gt;=_TM1,B2628&lt;=_TM2,OR(TH!L2628="1111",TH!M2628="1111")),TH!D2628,""),"")</f>
        <v/>
      </c>
      <c r="B2628" s="11">
        <f t="shared" si="211"/>
        <v>12</v>
      </c>
      <c r="C2628" s="115">
        <v>40899</v>
      </c>
      <c r="D2628" s="115" t="s">
        <v>926</v>
      </c>
      <c r="E2628" s="115">
        <v>40899</v>
      </c>
      <c r="F2628" s="116" t="s">
        <v>880</v>
      </c>
      <c r="G2628" s="224" t="s">
        <v>1320</v>
      </c>
      <c r="H2628" s="117" t="s">
        <v>709</v>
      </c>
      <c r="I2628" s="141">
        <v>1069</v>
      </c>
      <c r="J2628" s="141">
        <v>11840</v>
      </c>
      <c r="K2628" s="238">
        <v>12656960</v>
      </c>
      <c r="L2628" s="118" t="s">
        <v>237</v>
      </c>
      <c r="M2628" s="118" t="s">
        <v>163</v>
      </c>
      <c r="N2628" s="25" t="str">
        <f>IF(AND('331-CT'!$E$7=TH!H2628,OR(L2628="331",M2628="331")),"331",IF(AND(OR(L2628="131",M2628="131"),H2628='131-CT'!$E$7),"131",""))</f>
        <v>131</v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121"/>
    </row>
    <row r="2629" spans="1:26" ht="15.75" customHeight="1">
      <c r="A2629" s="125" t="str">
        <f>IF(B2629&lt;&gt;"",IF(AND(B2629&gt;=_TM1,B2629&lt;=_TM2,OR(TH!L2629="1111",TH!M2629="1111")),TH!D2629,""),"")</f>
        <v/>
      </c>
      <c r="B2629" s="11">
        <f t="shared" si="211"/>
        <v>12</v>
      </c>
      <c r="C2629" s="115">
        <v>40899</v>
      </c>
      <c r="D2629" s="115" t="s">
        <v>926</v>
      </c>
      <c r="E2629" s="115">
        <v>40899</v>
      </c>
      <c r="F2629" s="116" t="s">
        <v>852</v>
      </c>
      <c r="G2629" s="224" t="s">
        <v>1320</v>
      </c>
      <c r="H2629" s="117" t="s">
        <v>709</v>
      </c>
      <c r="I2629" s="141">
        <v>276</v>
      </c>
      <c r="J2629" s="141">
        <v>13258</v>
      </c>
      <c r="K2629" s="238">
        <v>3659208</v>
      </c>
      <c r="L2629" s="118" t="s">
        <v>237</v>
      </c>
      <c r="M2629" s="118" t="s">
        <v>163</v>
      </c>
      <c r="N2629" s="25" t="str">
        <f>IF(AND('331-CT'!$E$7=TH!H2629,OR(L2629="331",M2629="331")),"331",IF(AND(OR(L2629="131",M2629="131"),H2629='131-CT'!$E$7),"131",""))</f>
        <v>131</v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121"/>
    </row>
    <row r="2630" spans="1:26" ht="15.75" customHeight="1">
      <c r="A2630" s="125" t="str">
        <f>IF(B2630&lt;&gt;"",IF(AND(B2630&gt;=_TM1,B2630&lt;=_TM2,OR(TH!L2630="1111",TH!M2630="1111")),TH!D2630,""),"")</f>
        <v/>
      </c>
      <c r="B2630" s="11">
        <f t="shared" si="211"/>
        <v>12</v>
      </c>
      <c r="C2630" s="115">
        <v>40899</v>
      </c>
      <c r="D2630" s="115" t="s">
        <v>926</v>
      </c>
      <c r="E2630" s="115">
        <v>40899</v>
      </c>
      <c r="F2630" s="116" t="s">
        <v>1304</v>
      </c>
      <c r="G2630" s="224" t="s">
        <v>1320</v>
      </c>
      <c r="H2630" s="117" t="s">
        <v>709</v>
      </c>
      <c r="I2630" s="141">
        <v>47</v>
      </c>
      <c r="J2630" s="141">
        <v>18928</v>
      </c>
      <c r="K2630" s="238">
        <v>889616</v>
      </c>
      <c r="L2630" s="118" t="s">
        <v>237</v>
      </c>
      <c r="M2630" s="118" t="s">
        <v>163</v>
      </c>
      <c r="N2630" s="25" t="str">
        <f>IF(AND('331-CT'!$E$7=TH!H2630,OR(L2630="331",M2630="331")),"331",IF(AND(OR(L2630="131",M2630="131"),H2630='131-CT'!$E$7),"131",""))</f>
        <v>131</v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121"/>
    </row>
    <row r="2631" spans="1:26" ht="15.75" customHeight="1">
      <c r="A2631" s="125" t="str">
        <f>IF(B2631&lt;&gt;"",IF(AND(B2631&gt;=_TM1,B2631&lt;=_TM2,OR(TH!L2631="1111",TH!M2631="1111")),TH!D2631,""),"")</f>
        <v/>
      </c>
      <c r="B2631" s="11">
        <f t="shared" si="211"/>
        <v>12</v>
      </c>
      <c r="C2631" s="115">
        <v>40899</v>
      </c>
      <c r="D2631" s="115" t="s">
        <v>926</v>
      </c>
      <c r="E2631" s="115">
        <v>40899</v>
      </c>
      <c r="F2631" s="116" t="s">
        <v>1309</v>
      </c>
      <c r="G2631" s="224" t="s">
        <v>1320</v>
      </c>
      <c r="H2631" s="117" t="s">
        <v>709</v>
      </c>
      <c r="I2631" s="141">
        <v>260</v>
      </c>
      <c r="J2631" s="141">
        <v>23012</v>
      </c>
      <c r="K2631" s="238">
        <v>5983120</v>
      </c>
      <c r="L2631" s="118" t="s">
        <v>237</v>
      </c>
      <c r="M2631" s="118" t="s">
        <v>163</v>
      </c>
      <c r="N2631" s="25" t="str">
        <f>IF(AND('331-CT'!$E$7=TH!H2631,OR(L2631="331",M2631="331")),"331",IF(AND(OR(L2631="131",M2631="131"),H2631='131-CT'!$E$7),"131",""))</f>
        <v>131</v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121"/>
    </row>
    <row r="2632" spans="1:26" ht="15.75" customHeight="1">
      <c r="A2632" s="125" t="str">
        <f>IF(B2632&lt;&gt;"",IF(AND(B2632&gt;=_TM1,B2632&lt;=_TM2,OR(TH!L2632="1111",TH!M2632="1111")),TH!D2632,""),"")</f>
        <v/>
      </c>
      <c r="B2632" s="11">
        <f t="shared" si="211"/>
        <v>12</v>
      </c>
      <c r="C2632" s="115">
        <v>40899</v>
      </c>
      <c r="D2632" s="115" t="s">
        <v>926</v>
      </c>
      <c r="E2632" s="115">
        <v>40899</v>
      </c>
      <c r="F2632" s="116" t="s">
        <v>1322</v>
      </c>
      <c r="G2632" s="224" t="s">
        <v>1320</v>
      </c>
      <c r="H2632" s="117" t="s">
        <v>709</v>
      </c>
      <c r="I2632" s="141">
        <v>274</v>
      </c>
      <c r="J2632" s="141">
        <v>1474</v>
      </c>
      <c r="K2632" s="238">
        <v>403876</v>
      </c>
      <c r="L2632" s="118" t="s">
        <v>237</v>
      </c>
      <c r="M2632" s="118" t="s">
        <v>163</v>
      </c>
      <c r="N2632" s="25" t="str">
        <f>IF(AND('331-CT'!$E$7=TH!H2632,OR(L2632="331",M2632="331")),"331",IF(AND(OR(L2632="131",M2632="131"),H2632='131-CT'!$E$7),"131",""))</f>
        <v>131</v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121"/>
    </row>
    <row r="2633" spans="1:26" ht="15.75" customHeight="1">
      <c r="A2633" s="125" t="str">
        <f>IF(B2633&lt;&gt;"",IF(AND(B2633&gt;=_TM1,B2633&lt;=_TM2,OR(TH!L2633="1111",TH!M2633="1111")),TH!D2633,""),"")</f>
        <v/>
      </c>
      <c r="B2633" s="11">
        <f t="shared" si="211"/>
        <v>12</v>
      </c>
      <c r="C2633" s="115">
        <v>40899</v>
      </c>
      <c r="D2633" s="115" t="s">
        <v>926</v>
      </c>
      <c r="E2633" s="115">
        <v>40899</v>
      </c>
      <c r="F2633" s="116" t="s">
        <v>1323</v>
      </c>
      <c r="G2633" s="224" t="s">
        <v>1320</v>
      </c>
      <c r="H2633" s="117" t="s">
        <v>709</v>
      </c>
      <c r="I2633" s="141">
        <v>44</v>
      </c>
      <c r="J2633" s="141">
        <v>1146</v>
      </c>
      <c r="K2633" s="238">
        <v>50424</v>
      </c>
      <c r="L2633" s="118" t="s">
        <v>237</v>
      </c>
      <c r="M2633" s="118" t="s">
        <v>163</v>
      </c>
      <c r="N2633" s="25" t="str">
        <f>IF(AND('331-CT'!$E$7=TH!H2633,OR(L2633="331",M2633="331")),"331",IF(AND(OR(L2633="131",M2633="131"),H2633='131-CT'!$E$7),"131",""))</f>
        <v>131</v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121"/>
    </row>
    <row r="2634" spans="1:26" ht="15.75" customHeight="1">
      <c r="A2634" s="125" t="str">
        <f>IF(B2634&lt;&gt;"",IF(AND(B2634&gt;=_TM1,B2634&lt;=_TM2,OR(TH!L2634="1111",TH!M2634="1111")),TH!D2634,""),"")</f>
        <v/>
      </c>
      <c r="B2634" s="11">
        <f t="shared" si="211"/>
        <v>12</v>
      </c>
      <c r="C2634" s="115">
        <v>40899</v>
      </c>
      <c r="D2634" s="115" t="s">
        <v>926</v>
      </c>
      <c r="E2634" s="115">
        <v>40899</v>
      </c>
      <c r="F2634" s="116" t="s">
        <v>1324</v>
      </c>
      <c r="G2634" s="224" t="s">
        <v>1320</v>
      </c>
      <c r="H2634" s="117" t="s">
        <v>709</v>
      </c>
      <c r="I2634" s="141">
        <v>262</v>
      </c>
      <c r="J2634" s="141">
        <v>1187</v>
      </c>
      <c r="K2634" s="238">
        <v>310994</v>
      </c>
      <c r="L2634" s="118" t="s">
        <v>237</v>
      </c>
      <c r="M2634" s="118" t="s">
        <v>163</v>
      </c>
      <c r="N2634" s="25" t="str">
        <f>IF(AND('331-CT'!$E$7=TH!H2634,OR(L2634="331",M2634="331")),"331",IF(AND(OR(L2634="131",M2634="131"),H2634='131-CT'!$E$7),"131",""))</f>
        <v>131</v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121"/>
    </row>
    <row r="2635" spans="1:26" ht="15.75" customHeight="1">
      <c r="A2635" s="125" t="str">
        <f>IF(B2635&lt;&gt;"",IF(AND(B2635&gt;=_TM1,B2635&lt;=_TM2,OR(TH!L2635="1111",TH!M2635="1111")),TH!D2635,""),"")</f>
        <v/>
      </c>
      <c r="B2635" s="11">
        <f t="shared" si="211"/>
        <v>12</v>
      </c>
      <c r="C2635" s="115">
        <v>40899</v>
      </c>
      <c r="D2635" s="115" t="s">
        <v>926</v>
      </c>
      <c r="E2635" s="115">
        <v>40899</v>
      </c>
      <c r="F2635" s="116" t="s">
        <v>1325</v>
      </c>
      <c r="G2635" s="224" t="s">
        <v>1320</v>
      </c>
      <c r="H2635" s="117" t="s">
        <v>709</v>
      </c>
      <c r="I2635" s="141">
        <v>262</v>
      </c>
      <c r="J2635" s="141">
        <v>1515</v>
      </c>
      <c r="K2635" s="238">
        <v>396930</v>
      </c>
      <c r="L2635" s="118" t="s">
        <v>237</v>
      </c>
      <c r="M2635" s="118" t="s">
        <v>163</v>
      </c>
      <c r="N2635" s="25" t="str">
        <f>IF(AND('331-CT'!$E$7=TH!H2635,OR(L2635="331",M2635="331")),"331",IF(AND(OR(L2635="131",M2635="131"),H2635='131-CT'!$E$7),"131",""))</f>
        <v>131</v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121"/>
    </row>
    <row r="2636" spans="1:26" ht="15.75" customHeight="1">
      <c r="A2636" s="125" t="str">
        <f>IF(B2636&lt;&gt;"",IF(AND(B2636&gt;=_TM1,B2636&lt;=_TM2,OR(TH!L2636="1111",TH!M2636="1111")),TH!D2636,""),"")</f>
        <v/>
      </c>
      <c r="B2636" s="11">
        <f t="shared" si="211"/>
        <v>12</v>
      </c>
      <c r="C2636" s="115">
        <v>40899</v>
      </c>
      <c r="D2636" s="115" t="s">
        <v>926</v>
      </c>
      <c r="E2636" s="115">
        <v>40899</v>
      </c>
      <c r="F2636" s="116" t="s">
        <v>1326</v>
      </c>
      <c r="G2636" s="224" t="s">
        <v>1320</v>
      </c>
      <c r="H2636" s="117" t="s">
        <v>709</v>
      </c>
      <c r="I2636" s="141">
        <v>318</v>
      </c>
      <c r="J2636" s="141">
        <v>1556</v>
      </c>
      <c r="K2636" s="238">
        <v>494808</v>
      </c>
      <c r="L2636" s="118" t="s">
        <v>237</v>
      </c>
      <c r="M2636" s="118" t="s">
        <v>163</v>
      </c>
      <c r="N2636" s="25" t="str">
        <f>IF(AND('331-CT'!$E$7=TH!H2636,OR(L2636="331",M2636="331")),"331",IF(AND(OR(L2636="131",M2636="131"),H2636='131-CT'!$E$7),"131",""))</f>
        <v>131</v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121"/>
    </row>
    <row r="2637" spans="1:26" ht="15.75" customHeight="1">
      <c r="A2637" s="125" t="str">
        <f>IF(B2637&lt;&gt;"",IF(AND(B2637&gt;=_TM1,B2637&lt;=_TM2,OR(TH!L2637="1111",TH!M2637="1111")),TH!D2637,""),"")</f>
        <v/>
      </c>
      <c r="B2637" s="11">
        <f t="shared" si="211"/>
        <v>12</v>
      </c>
      <c r="C2637" s="115">
        <v>40899</v>
      </c>
      <c r="D2637" s="115" t="s">
        <v>926</v>
      </c>
      <c r="E2637" s="115">
        <v>40899</v>
      </c>
      <c r="F2637" s="116" t="s">
        <v>1121</v>
      </c>
      <c r="G2637" s="224" t="s">
        <v>1320</v>
      </c>
      <c r="H2637" s="117" t="s">
        <v>709</v>
      </c>
      <c r="I2637" s="141"/>
      <c r="J2637" s="141"/>
      <c r="K2637" s="238">
        <v>2879236</v>
      </c>
      <c r="L2637" s="118" t="s">
        <v>237</v>
      </c>
      <c r="M2637" s="118" t="s">
        <v>707</v>
      </c>
      <c r="N2637" s="25" t="str">
        <f>IF(AND('331-CT'!$E$7=TH!H2637,OR(L2637="331",M2637="331")),"331",IF(AND(OR(L2637="131",M2637="131"),H2637='131-CT'!$E$7),"131",""))</f>
        <v>131</v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121"/>
    </row>
    <row r="2638" spans="1:26" ht="15.75" customHeight="1">
      <c r="A2638" s="125" t="str">
        <f>IF(B2638&lt;&gt;"",IF(AND(B2638&gt;=_TM1,B2638&lt;=_TM2,OR(TH!L2638="1111",TH!M2638="1111")),TH!D2638,""),"")</f>
        <v/>
      </c>
      <c r="B2638" s="11">
        <f t="shared" si="211"/>
        <v>12</v>
      </c>
      <c r="C2638" s="115">
        <f t="shared" ref="C2638:C2670" si="216">E2638</f>
        <v>40899</v>
      </c>
      <c r="D2638" s="324" t="s">
        <v>1366</v>
      </c>
      <c r="E2638" s="115">
        <v>40899</v>
      </c>
      <c r="F2638" s="15" t="s">
        <v>632</v>
      </c>
      <c r="G2638" s="15"/>
      <c r="H2638" s="242" t="s">
        <v>1037</v>
      </c>
      <c r="I2638" s="141">
        <v>196</v>
      </c>
      <c r="J2638" s="141">
        <v>13455</v>
      </c>
      <c r="K2638" s="238">
        <f t="shared" ref="K2638:K2670" si="217">ROUND(I2638*J2638,0)</f>
        <v>2637180</v>
      </c>
      <c r="L2638" s="25" t="s">
        <v>153</v>
      </c>
      <c r="M2638" s="25" t="s">
        <v>147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121"/>
    </row>
    <row r="2639" spans="1:26" ht="15.75" customHeight="1">
      <c r="A2639" s="125" t="str">
        <f>IF(B2639&lt;&gt;"",IF(AND(B2639&gt;=_TM1,B2639&lt;=_TM2,OR(TH!L2639="1111",TH!M2639="1111")),TH!D2639,""),"")</f>
        <v/>
      </c>
      <c r="B2639" s="11">
        <f t="shared" si="211"/>
        <v>12</v>
      </c>
      <c r="C2639" s="115">
        <f t="shared" si="216"/>
        <v>40899</v>
      </c>
      <c r="D2639" s="324" t="s">
        <v>1366</v>
      </c>
      <c r="E2639" s="115">
        <v>40899</v>
      </c>
      <c r="F2639" s="15" t="s">
        <v>622</v>
      </c>
      <c r="G2639" s="15"/>
      <c r="H2639" s="242" t="s">
        <v>1037</v>
      </c>
      <c r="I2639" s="141">
        <v>32.5</v>
      </c>
      <c r="J2639" s="141">
        <v>32878</v>
      </c>
      <c r="K2639" s="238">
        <f t="shared" si="217"/>
        <v>1068535</v>
      </c>
      <c r="L2639" s="25" t="s">
        <v>153</v>
      </c>
      <c r="M2639" s="25" t="s">
        <v>147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121"/>
    </row>
    <row r="2640" spans="1:26" ht="15.75" customHeight="1">
      <c r="A2640" s="125" t="str">
        <f>IF(B2640&lt;&gt;"",IF(AND(B2640&gt;=_TM1,B2640&lt;=_TM2,OR(TH!L2640="1111",TH!M2640="1111")),TH!D2640,""),"")</f>
        <v/>
      </c>
      <c r="B2640" s="11">
        <f t="shared" si="211"/>
        <v>12</v>
      </c>
      <c r="C2640" s="115">
        <f t="shared" si="216"/>
        <v>40899</v>
      </c>
      <c r="D2640" s="324" t="s">
        <v>1366</v>
      </c>
      <c r="E2640" s="115">
        <v>40899</v>
      </c>
      <c r="F2640" s="114" t="s">
        <v>467</v>
      </c>
      <c r="G2640" s="15"/>
      <c r="H2640" s="242" t="s">
        <v>1037</v>
      </c>
      <c r="I2640" s="141">
        <v>10</v>
      </c>
      <c r="J2640" s="141">
        <v>17427</v>
      </c>
      <c r="K2640" s="238">
        <f t="shared" si="217"/>
        <v>174270</v>
      </c>
      <c r="L2640" s="25" t="s">
        <v>153</v>
      </c>
      <c r="M2640" s="25" t="s">
        <v>147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121"/>
    </row>
    <row r="2641" spans="1:26" ht="15.75" customHeight="1">
      <c r="A2641" s="125" t="str">
        <f>IF(B2641&lt;&gt;"",IF(AND(B2641&gt;=_TM1,B2641&lt;=_TM2,OR(TH!L2641="1111",TH!M2641="1111")),TH!D2641,""),"")</f>
        <v/>
      </c>
      <c r="B2641" s="11">
        <f t="shared" si="211"/>
        <v>12</v>
      </c>
      <c r="C2641" s="115">
        <f t="shared" si="216"/>
        <v>40899</v>
      </c>
      <c r="D2641" s="324" t="s">
        <v>1366</v>
      </c>
      <c r="E2641" s="115">
        <v>40899</v>
      </c>
      <c r="F2641" s="15" t="s">
        <v>633</v>
      </c>
      <c r="G2641" s="15"/>
      <c r="H2641" s="242" t="s">
        <v>1037</v>
      </c>
      <c r="I2641" s="141">
        <v>106</v>
      </c>
      <c r="J2641" s="141">
        <v>16631</v>
      </c>
      <c r="K2641" s="238">
        <f t="shared" si="217"/>
        <v>1762886</v>
      </c>
      <c r="L2641" s="25" t="s">
        <v>153</v>
      </c>
      <c r="M2641" s="25" t="s">
        <v>147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121"/>
    </row>
    <row r="2642" spans="1:26" ht="15.75" customHeight="1">
      <c r="A2642" s="125" t="str">
        <f>IF(B2642&lt;&gt;"",IF(AND(B2642&gt;=_TM1,B2642&lt;=_TM2,OR(TH!L2642="1111",TH!M2642="1111")),TH!D2642,""),"")</f>
        <v/>
      </c>
      <c r="B2642" s="11">
        <f t="shared" si="211"/>
        <v>12</v>
      </c>
      <c r="C2642" s="115">
        <f t="shared" si="216"/>
        <v>40899</v>
      </c>
      <c r="D2642" s="324" t="s">
        <v>1366</v>
      </c>
      <c r="E2642" s="115">
        <v>40899</v>
      </c>
      <c r="F2642" s="15" t="s">
        <v>632</v>
      </c>
      <c r="G2642" s="15"/>
      <c r="H2642" s="242" t="s">
        <v>1037</v>
      </c>
      <c r="I2642" s="141">
        <v>76</v>
      </c>
      <c r="J2642" s="141">
        <v>13455</v>
      </c>
      <c r="K2642" s="238">
        <f t="shared" si="217"/>
        <v>1022580</v>
      </c>
      <c r="L2642" s="25" t="s">
        <v>153</v>
      </c>
      <c r="M2642" s="25" t="s">
        <v>147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121"/>
    </row>
    <row r="2643" spans="1:26" ht="15.75" customHeight="1">
      <c r="A2643" s="125" t="str">
        <f>IF(B2643&lt;&gt;"",IF(AND(B2643&gt;=_TM1,B2643&lt;=_TM2,OR(TH!L2643="1111",TH!M2643="1111")),TH!D2643,""),"")</f>
        <v/>
      </c>
      <c r="B2643" s="11">
        <f t="shared" si="211"/>
        <v>12</v>
      </c>
      <c r="C2643" s="115">
        <f t="shared" si="216"/>
        <v>40899</v>
      </c>
      <c r="D2643" s="324" t="s">
        <v>1366</v>
      </c>
      <c r="E2643" s="115">
        <v>40899</v>
      </c>
      <c r="F2643" s="15" t="s">
        <v>633</v>
      </c>
      <c r="G2643" s="15"/>
      <c r="H2643" s="242" t="s">
        <v>1037</v>
      </c>
      <c r="I2643" s="141">
        <v>208</v>
      </c>
      <c r="J2643" s="141">
        <v>16631</v>
      </c>
      <c r="K2643" s="238">
        <f t="shared" si="217"/>
        <v>3459248</v>
      </c>
      <c r="L2643" s="25" t="s">
        <v>153</v>
      </c>
      <c r="M2643" s="25" t="s">
        <v>147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121"/>
    </row>
    <row r="2644" spans="1:26" ht="15.75" customHeight="1">
      <c r="A2644" s="125" t="str">
        <f>IF(B2644&lt;&gt;"",IF(AND(B2644&gt;=_TM1,B2644&lt;=_TM2,OR(TH!L2644="1111",TH!M2644="1111")),TH!D2644,""),"")</f>
        <v/>
      </c>
      <c r="B2644" s="11">
        <f t="shared" si="211"/>
        <v>12</v>
      </c>
      <c r="C2644" s="115">
        <f t="shared" si="216"/>
        <v>40899</v>
      </c>
      <c r="D2644" s="324" t="s">
        <v>1366</v>
      </c>
      <c r="E2644" s="115">
        <v>40899</v>
      </c>
      <c r="F2644" s="114" t="s">
        <v>484</v>
      </c>
      <c r="G2644" s="15"/>
      <c r="H2644" s="242" t="s">
        <v>1037</v>
      </c>
      <c r="I2644" s="141">
        <v>1</v>
      </c>
      <c r="J2644" s="141">
        <v>8620</v>
      </c>
      <c r="K2644" s="238">
        <f t="shared" si="217"/>
        <v>8620</v>
      </c>
      <c r="L2644" s="25" t="s">
        <v>153</v>
      </c>
      <c r="M2644" s="25" t="s">
        <v>147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121"/>
    </row>
    <row r="2645" spans="1:26" ht="15.75" customHeight="1">
      <c r="A2645" s="125" t="str">
        <f>IF(B2645&lt;&gt;"",IF(AND(B2645&gt;=_TM1,B2645&lt;=_TM2,OR(TH!L2645="1111",TH!M2645="1111")),TH!D2645,""),"")</f>
        <v/>
      </c>
      <c r="B2645" s="11">
        <f t="shared" si="211"/>
        <v>12</v>
      </c>
      <c r="C2645" s="115">
        <f t="shared" si="216"/>
        <v>40899</v>
      </c>
      <c r="D2645" s="324" t="s">
        <v>1366</v>
      </c>
      <c r="E2645" s="115">
        <v>40899</v>
      </c>
      <c r="F2645" s="15" t="s">
        <v>622</v>
      </c>
      <c r="G2645" s="15"/>
      <c r="H2645" s="242" t="s">
        <v>1037</v>
      </c>
      <c r="I2645" s="141">
        <v>4</v>
      </c>
      <c r="J2645" s="141">
        <v>32878</v>
      </c>
      <c r="K2645" s="238">
        <f t="shared" si="217"/>
        <v>131512</v>
      </c>
      <c r="L2645" s="25" t="s">
        <v>153</v>
      </c>
      <c r="M2645" s="25" t="s">
        <v>147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121"/>
    </row>
    <row r="2646" spans="1:26" ht="15.75" customHeight="1">
      <c r="A2646" s="125" t="str">
        <f>IF(B2646&lt;&gt;"",IF(AND(B2646&gt;=_TM1,B2646&lt;=_TM2,OR(TH!L2646="1111",TH!M2646="1111")),TH!D2646,""),"")</f>
        <v/>
      </c>
      <c r="B2646" s="11">
        <f t="shared" si="211"/>
        <v>12</v>
      </c>
      <c r="C2646" s="115">
        <f t="shared" si="216"/>
        <v>40899</v>
      </c>
      <c r="D2646" s="324" t="s">
        <v>1366</v>
      </c>
      <c r="E2646" s="115">
        <v>40899</v>
      </c>
      <c r="F2646" s="114" t="s">
        <v>607</v>
      </c>
      <c r="G2646" s="15"/>
      <c r="H2646" s="242" t="s">
        <v>1037</v>
      </c>
      <c r="I2646" s="141">
        <v>91</v>
      </c>
      <c r="J2646" s="141">
        <v>9954</v>
      </c>
      <c r="K2646" s="238">
        <f t="shared" si="217"/>
        <v>905814</v>
      </c>
      <c r="L2646" s="25" t="s">
        <v>153</v>
      </c>
      <c r="M2646" s="25" t="s">
        <v>147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121"/>
    </row>
    <row r="2647" spans="1:26" ht="15.75" customHeight="1">
      <c r="A2647" s="125" t="str">
        <f>IF(B2647&lt;&gt;"",IF(AND(B2647&gt;=_TM1,B2647&lt;=_TM2,OR(TH!L2647="1111",TH!M2647="1111")),TH!D2647,""),"")</f>
        <v/>
      </c>
      <c r="B2647" s="11">
        <f t="shared" si="211"/>
        <v>12</v>
      </c>
      <c r="C2647" s="115">
        <f t="shared" si="216"/>
        <v>40899</v>
      </c>
      <c r="D2647" s="21" t="s">
        <v>1356</v>
      </c>
      <c r="E2647" s="115">
        <v>40899</v>
      </c>
      <c r="F2647" s="15" t="s">
        <v>1319</v>
      </c>
      <c r="G2647" s="15"/>
      <c r="H2647" s="242" t="s">
        <v>1037</v>
      </c>
      <c r="I2647" s="141">
        <v>76</v>
      </c>
      <c r="J2647" s="141">
        <v>5456.2450279507066</v>
      </c>
      <c r="K2647" s="238">
        <f t="shared" si="217"/>
        <v>414675</v>
      </c>
      <c r="L2647" s="14" t="s">
        <v>155</v>
      </c>
      <c r="M2647" s="14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121"/>
    </row>
    <row r="2648" spans="1:26" ht="15.75" customHeight="1">
      <c r="A2648" s="125" t="str">
        <f>IF(B2648&lt;&gt;"",IF(AND(B2648&gt;=_TM1,B2648&lt;=_TM2,OR(TH!L2648="1111",TH!M2648="1111")),TH!D2648,""),"")</f>
        <v/>
      </c>
      <c r="B2648" s="11">
        <f t="shared" si="211"/>
        <v>12</v>
      </c>
      <c r="C2648" s="115">
        <f t="shared" si="216"/>
        <v>40899</v>
      </c>
      <c r="D2648" s="21" t="s">
        <v>1356</v>
      </c>
      <c r="E2648" s="115">
        <v>40899</v>
      </c>
      <c r="F2648" s="15" t="s">
        <v>1321</v>
      </c>
      <c r="G2648" s="15"/>
      <c r="H2648" s="242" t="s">
        <v>1037</v>
      </c>
      <c r="I2648" s="141">
        <v>261</v>
      </c>
      <c r="J2648" s="141">
        <v>9918.5043544278178</v>
      </c>
      <c r="K2648" s="238">
        <f t="shared" si="217"/>
        <v>2588730</v>
      </c>
      <c r="L2648" s="14" t="s">
        <v>155</v>
      </c>
      <c r="M2648" s="14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121"/>
    </row>
    <row r="2649" spans="1:26" ht="15.75" customHeight="1">
      <c r="A2649" s="125" t="str">
        <f>IF(B2649&lt;&gt;"",IF(AND(B2649&gt;=_TM1,B2649&lt;=_TM2,OR(TH!L2649="1111",TH!M2649="1111")),TH!D2649,""),"")</f>
        <v/>
      </c>
      <c r="B2649" s="11">
        <f t="shared" si="211"/>
        <v>12</v>
      </c>
      <c r="C2649" s="115">
        <f t="shared" si="216"/>
        <v>40899</v>
      </c>
      <c r="D2649" s="21" t="s">
        <v>1356</v>
      </c>
      <c r="E2649" s="115">
        <v>40899</v>
      </c>
      <c r="F2649" s="15" t="s">
        <v>851</v>
      </c>
      <c r="G2649" s="15"/>
      <c r="H2649" s="242" t="s">
        <v>1037</v>
      </c>
      <c r="I2649" s="141">
        <v>65</v>
      </c>
      <c r="J2649" s="141">
        <v>9579.2774166146737</v>
      </c>
      <c r="K2649" s="238">
        <f t="shared" si="217"/>
        <v>622653</v>
      </c>
      <c r="L2649" s="14" t="s">
        <v>155</v>
      </c>
      <c r="M2649" s="14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121"/>
    </row>
    <row r="2650" spans="1:26" ht="15.75" customHeight="1">
      <c r="A2650" s="125" t="str">
        <f>IF(B2650&lt;&gt;"",IF(AND(B2650&gt;=_TM1,B2650&lt;=_TM2,OR(TH!L2650="1111",TH!M2650="1111")),TH!D2650,""),"")</f>
        <v/>
      </c>
      <c r="B2650" s="11">
        <f t="shared" si="211"/>
        <v>12</v>
      </c>
      <c r="C2650" s="115">
        <f t="shared" si="216"/>
        <v>40899</v>
      </c>
      <c r="D2650" s="21" t="s">
        <v>1356</v>
      </c>
      <c r="E2650" s="115">
        <v>40899</v>
      </c>
      <c r="F2650" s="15" t="s">
        <v>880</v>
      </c>
      <c r="G2650" s="15"/>
      <c r="H2650" s="242" t="s">
        <v>1037</v>
      </c>
      <c r="I2650" s="141">
        <v>1069</v>
      </c>
      <c r="J2650" s="141">
        <v>8032.3005151251436</v>
      </c>
      <c r="K2650" s="238">
        <f t="shared" si="217"/>
        <v>8586529</v>
      </c>
      <c r="L2650" s="14" t="s">
        <v>155</v>
      </c>
      <c r="M2650" s="14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121"/>
    </row>
    <row r="2651" spans="1:26" ht="15.75" customHeight="1">
      <c r="A2651" s="125" t="str">
        <f>IF(B2651&lt;&gt;"",IF(AND(B2651&gt;=_TM1,B2651&lt;=_TM2,OR(TH!L2651="1111",TH!M2651="1111")),TH!D2651,""),"")</f>
        <v/>
      </c>
      <c r="B2651" s="11">
        <f t="shared" si="211"/>
        <v>12</v>
      </c>
      <c r="C2651" s="115">
        <f t="shared" si="216"/>
        <v>40899</v>
      </c>
      <c r="D2651" s="21" t="s">
        <v>1356</v>
      </c>
      <c r="E2651" s="115">
        <v>40899</v>
      </c>
      <c r="F2651" s="15" t="s">
        <v>852</v>
      </c>
      <c r="G2651" s="15"/>
      <c r="H2651" s="242" t="s">
        <v>1037</v>
      </c>
      <c r="I2651" s="141">
        <v>276</v>
      </c>
      <c r="J2651" s="141">
        <v>14753.504562657037</v>
      </c>
      <c r="K2651" s="238">
        <f t="shared" si="217"/>
        <v>4071967</v>
      </c>
      <c r="L2651" s="14" t="s">
        <v>155</v>
      </c>
      <c r="M2651" s="14" t="s">
        <v>153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121"/>
    </row>
    <row r="2652" spans="1:26" ht="15.75" customHeight="1">
      <c r="A2652" s="125" t="str">
        <f>IF(B2652&lt;&gt;"",IF(AND(B2652&gt;=_TM1,B2652&lt;=_TM2,OR(TH!L2652="1111",TH!M2652="1111")),TH!D2652,""),"")</f>
        <v/>
      </c>
      <c r="B2652" s="11">
        <f t="shared" si="211"/>
        <v>12</v>
      </c>
      <c r="C2652" s="115">
        <f t="shared" si="216"/>
        <v>40899</v>
      </c>
      <c r="D2652" s="21" t="s">
        <v>1356</v>
      </c>
      <c r="E2652" s="115">
        <v>40899</v>
      </c>
      <c r="F2652" s="15" t="s">
        <v>1304</v>
      </c>
      <c r="G2652" s="15"/>
      <c r="H2652" s="242" t="s">
        <v>1037</v>
      </c>
      <c r="I2652" s="141">
        <v>47</v>
      </c>
      <c r="J2652" s="141">
        <v>18087.252866696508</v>
      </c>
      <c r="K2652" s="238">
        <f t="shared" si="217"/>
        <v>850101</v>
      </c>
      <c r="L2652" s="14" t="s">
        <v>155</v>
      </c>
      <c r="M2652" s="14" t="s">
        <v>153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121"/>
    </row>
    <row r="2653" spans="1:26" ht="15.75" customHeight="1">
      <c r="A2653" s="125" t="str">
        <f>IF(B2653&lt;&gt;"",IF(AND(B2653&gt;=_TM1,B2653&lt;=_TM2,OR(TH!L2653="1111",TH!M2653="1111")),TH!D2653,""),"")</f>
        <v/>
      </c>
      <c r="B2653" s="11">
        <f t="shared" ref="B2653:B2716" si="218">IF(C2653&lt;&gt;"",MONTH(C2653),"")</f>
        <v>12</v>
      </c>
      <c r="C2653" s="115">
        <f t="shared" si="216"/>
        <v>40899</v>
      </c>
      <c r="D2653" s="21" t="s">
        <v>1356</v>
      </c>
      <c r="E2653" s="115">
        <v>40899</v>
      </c>
      <c r="F2653" s="15" t="s">
        <v>1309</v>
      </c>
      <c r="G2653" s="15"/>
      <c r="H2653" s="242" t="s">
        <v>1037</v>
      </c>
      <c r="I2653" s="141">
        <v>260</v>
      </c>
      <c r="J2653" s="141">
        <v>17929.504339691601</v>
      </c>
      <c r="K2653" s="238">
        <f t="shared" si="217"/>
        <v>4661671</v>
      </c>
      <c r="L2653" s="14" t="s">
        <v>155</v>
      </c>
      <c r="M2653" s="14" t="s">
        <v>153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121"/>
    </row>
    <row r="2654" spans="1:26" ht="15.75" customHeight="1">
      <c r="A2654" s="125" t="str">
        <f>IF(B2654&lt;&gt;"",IF(AND(B2654&gt;=_TM1,B2654&lt;=_TM2,OR(TH!L2654="1111",TH!M2654="1111")),TH!D2654,""),"")</f>
        <v/>
      </c>
      <c r="B2654" s="11">
        <f t="shared" si="218"/>
        <v>12</v>
      </c>
      <c r="C2654" s="115">
        <f t="shared" si="216"/>
        <v>40899</v>
      </c>
      <c r="D2654" s="21" t="s">
        <v>1357</v>
      </c>
      <c r="E2654" s="115">
        <v>40899</v>
      </c>
      <c r="F2654" s="15" t="s">
        <v>1322</v>
      </c>
      <c r="G2654" s="15"/>
      <c r="H2654" s="242" t="s">
        <v>1037</v>
      </c>
      <c r="I2654" s="141">
        <v>274</v>
      </c>
      <c r="J2654" s="141">
        <v>1995.5154851155157</v>
      </c>
      <c r="K2654" s="238">
        <f t="shared" si="217"/>
        <v>546771</v>
      </c>
      <c r="L2654" s="14" t="s">
        <v>155</v>
      </c>
      <c r="M2654" s="14" t="s">
        <v>153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121"/>
    </row>
    <row r="2655" spans="1:26" ht="15.75" customHeight="1">
      <c r="A2655" s="125" t="str">
        <f>IF(B2655&lt;&gt;"",IF(AND(B2655&gt;=_TM1,B2655&lt;=_TM2,OR(TH!L2655="1111",TH!M2655="1111")),TH!D2655,""),"")</f>
        <v/>
      </c>
      <c r="B2655" s="11">
        <f t="shared" si="218"/>
        <v>12</v>
      </c>
      <c r="C2655" s="115">
        <f t="shared" si="216"/>
        <v>40899</v>
      </c>
      <c r="D2655" s="21" t="s">
        <v>1357</v>
      </c>
      <c r="E2655" s="115">
        <v>40899</v>
      </c>
      <c r="F2655" s="15" t="s">
        <v>1323</v>
      </c>
      <c r="G2655" s="15"/>
      <c r="H2655" s="242" t="s">
        <v>1037</v>
      </c>
      <c r="I2655" s="141">
        <v>44</v>
      </c>
      <c r="J2655" s="141">
        <v>1918.5536403908975</v>
      </c>
      <c r="K2655" s="238">
        <f t="shared" si="217"/>
        <v>84416</v>
      </c>
      <c r="L2655" s="14" t="s">
        <v>155</v>
      </c>
      <c r="M2655" s="14" t="s">
        <v>153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121"/>
    </row>
    <row r="2656" spans="1:26" ht="15.75" customHeight="1">
      <c r="A2656" s="125" t="str">
        <f>IF(B2656&lt;&gt;"",IF(AND(B2656&gt;=_TM1,B2656&lt;=_TM2,OR(TH!L2656="1111",TH!M2656="1111")),TH!D2656,""),"")</f>
        <v/>
      </c>
      <c r="B2656" s="11">
        <f t="shared" si="218"/>
        <v>12</v>
      </c>
      <c r="C2656" s="115">
        <f t="shared" si="216"/>
        <v>40899</v>
      </c>
      <c r="D2656" s="21" t="s">
        <v>1357</v>
      </c>
      <c r="E2656" s="115">
        <v>40899</v>
      </c>
      <c r="F2656" s="15" t="s">
        <v>1324</v>
      </c>
      <c r="G2656" s="15"/>
      <c r="H2656" s="242" t="s">
        <v>1037</v>
      </c>
      <c r="I2656" s="141">
        <v>262</v>
      </c>
      <c r="J2656" s="141">
        <v>1662.0768881355191</v>
      </c>
      <c r="K2656" s="238">
        <f t="shared" si="217"/>
        <v>435464</v>
      </c>
      <c r="L2656" s="14" t="s">
        <v>155</v>
      </c>
      <c r="M2656" s="14" t="s">
        <v>153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121"/>
    </row>
    <row r="2657" spans="1:26" ht="15.75" customHeight="1">
      <c r="A2657" s="125" t="str">
        <f>IF(B2657&lt;&gt;"",IF(AND(B2657&gt;=_TM1,B2657&lt;=_TM2,OR(TH!L2657="1111",TH!M2657="1111")),TH!D2657,""),"")</f>
        <v/>
      </c>
      <c r="B2657" s="11">
        <f t="shared" si="218"/>
        <v>12</v>
      </c>
      <c r="C2657" s="115">
        <f t="shared" si="216"/>
        <v>40899</v>
      </c>
      <c r="D2657" s="21" t="s">
        <v>1357</v>
      </c>
      <c r="E2657" s="115">
        <v>40899</v>
      </c>
      <c r="F2657" s="15" t="s">
        <v>1325</v>
      </c>
      <c r="G2657" s="15"/>
      <c r="H2657" s="242" t="s">
        <v>1037</v>
      </c>
      <c r="I2657" s="141">
        <v>262</v>
      </c>
      <c r="J2657" s="141">
        <v>2186.8249797385729</v>
      </c>
      <c r="K2657" s="238">
        <f t="shared" si="217"/>
        <v>572948</v>
      </c>
      <c r="L2657" s="14" t="s">
        <v>155</v>
      </c>
      <c r="M2657" s="14" t="s">
        <v>153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121"/>
    </row>
    <row r="2658" spans="1:26" ht="15.75" customHeight="1">
      <c r="A2658" s="125" t="str">
        <f>IF(B2658&lt;&gt;"",IF(AND(B2658&gt;=_TM1,B2658&lt;=_TM2,OR(TH!L2658="1111",TH!M2658="1111")),TH!D2658,""),"")</f>
        <v/>
      </c>
      <c r="B2658" s="11">
        <f t="shared" si="218"/>
        <v>12</v>
      </c>
      <c r="C2658" s="115">
        <f t="shared" si="216"/>
        <v>40899</v>
      </c>
      <c r="D2658" s="21" t="s">
        <v>1357</v>
      </c>
      <c r="E2658" s="115">
        <v>40899</v>
      </c>
      <c r="F2658" s="15" t="s">
        <v>1326</v>
      </c>
      <c r="G2658" s="15"/>
      <c r="H2658" s="242" t="s">
        <v>1037</v>
      </c>
      <c r="I2658" s="141">
        <v>318</v>
      </c>
      <c r="J2658" s="141">
        <v>2070.6654185498455</v>
      </c>
      <c r="K2658" s="238">
        <f t="shared" si="217"/>
        <v>658472</v>
      </c>
      <c r="L2658" s="14" t="s">
        <v>155</v>
      </c>
      <c r="M2658" s="14" t="s">
        <v>153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121"/>
    </row>
    <row r="2659" spans="1:26" ht="15.75" customHeight="1">
      <c r="A2659" s="125" t="str">
        <f>IF(B2659&lt;&gt;"",IF(AND(B2659&gt;=_TM1,B2659&lt;=_TM2,OR(TH!L2659="1111",TH!M2659="1111")),TH!D2659,""),"")</f>
        <v/>
      </c>
      <c r="B2659" s="11">
        <f t="shared" si="218"/>
        <v>12</v>
      </c>
      <c r="C2659" s="115">
        <f t="shared" si="216"/>
        <v>40899</v>
      </c>
      <c r="D2659" s="12" t="s">
        <v>926</v>
      </c>
      <c r="E2659" s="115">
        <v>40899</v>
      </c>
      <c r="F2659" s="116" t="s">
        <v>1319</v>
      </c>
      <c r="G2659" s="224" t="s">
        <v>1320</v>
      </c>
      <c r="H2659" s="117" t="s">
        <v>709</v>
      </c>
      <c r="I2659" s="141">
        <v>76</v>
      </c>
      <c r="J2659" s="141">
        <v>5456.2450279507066</v>
      </c>
      <c r="K2659" s="330">
        <f t="shared" si="217"/>
        <v>414675</v>
      </c>
      <c r="L2659" s="319" t="s">
        <v>161</v>
      </c>
      <c r="M2659" s="319" t="s">
        <v>155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121"/>
    </row>
    <row r="2660" spans="1:26" ht="15.75" customHeight="1">
      <c r="A2660" s="125" t="str">
        <f>IF(B2660&lt;&gt;"",IF(AND(B2660&gt;=_TM1,B2660&lt;=_TM2,OR(TH!L2660="1111",TH!M2660="1111")),TH!D2660,""),"")</f>
        <v/>
      </c>
      <c r="B2660" s="11">
        <f t="shared" si="218"/>
        <v>12</v>
      </c>
      <c r="C2660" s="115">
        <f t="shared" si="216"/>
        <v>40899</v>
      </c>
      <c r="D2660" s="12" t="s">
        <v>926</v>
      </c>
      <c r="E2660" s="115">
        <v>40899</v>
      </c>
      <c r="F2660" s="116" t="s">
        <v>1321</v>
      </c>
      <c r="G2660" s="224" t="s">
        <v>1320</v>
      </c>
      <c r="H2660" s="117" t="s">
        <v>709</v>
      </c>
      <c r="I2660" s="141">
        <v>261</v>
      </c>
      <c r="J2660" s="141">
        <v>9918.5043544278178</v>
      </c>
      <c r="K2660" s="330">
        <f t="shared" si="217"/>
        <v>2588730</v>
      </c>
      <c r="L2660" s="319" t="s">
        <v>161</v>
      </c>
      <c r="M2660" s="319" t="s">
        <v>155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121"/>
    </row>
    <row r="2661" spans="1:26" ht="15.75" customHeight="1">
      <c r="A2661" s="125" t="str">
        <f>IF(B2661&lt;&gt;"",IF(AND(B2661&gt;=_TM1,B2661&lt;=_TM2,OR(TH!L2661="1111",TH!M2661="1111")),TH!D2661,""),"")</f>
        <v/>
      </c>
      <c r="B2661" s="11">
        <f t="shared" si="218"/>
        <v>12</v>
      </c>
      <c r="C2661" s="115">
        <f t="shared" si="216"/>
        <v>40899</v>
      </c>
      <c r="D2661" s="12" t="s">
        <v>926</v>
      </c>
      <c r="E2661" s="115">
        <v>40899</v>
      </c>
      <c r="F2661" s="116" t="s">
        <v>851</v>
      </c>
      <c r="G2661" s="224" t="s">
        <v>1320</v>
      </c>
      <c r="H2661" s="117" t="s">
        <v>709</v>
      </c>
      <c r="I2661" s="141">
        <v>65</v>
      </c>
      <c r="J2661" s="141">
        <v>9579.2774166146737</v>
      </c>
      <c r="K2661" s="330">
        <f t="shared" si="217"/>
        <v>622653</v>
      </c>
      <c r="L2661" s="319" t="s">
        <v>161</v>
      </c>
      <c r="M2661" s="319" t="s">
        <v>155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121"/>
    </row>
    <row r="2662" spans="1:26" ht="15.75" customHeight="1">
      <c r="A2662" s="125" t="str">
        <f>IF(B2662&lt;&gt;"",IF(AND(B2662&gt;=_TM1,B2662&lt;=_TM2,OR(TH!L2662="1111",TH!M2662="1111")),TH!D2662,""),"")</f>
        <v/>
      </c>
      <c r="B2662" s="11">
        <f t="shared" si="218"/>
        <v>12</v>
      </c>
      <c r="C2662" s="115">
        <f t="shared" si="216"/>
        <v>40899</v>
      </c>
      <c r="D2662" s="12" t="s">
        <v>926</v>
      </c>
      <c r="E2662" s="115">
        <v>40899</v>
      </c>
      <c r="F2662" s="116" t="s">
        <v>880</v>
      </c>
      <c r="G2662" s="224" t="s">
        <v>1320</v>
      </c>
      <c r="H2662" s="117" t="s">
        <v>709</v>
      </c>
      <c r="I2662" s="141">
        <v>1069</v>
      </c>
      <c r="J2662" s="141">
        <v>8032.3005151251436</v>
      </c>
      <c r="K2662" s="330">
        <f t="shared" si="217"/>
        <v>8586529</v>
      </c>
      <c r="L2662" s="319" t="s">
        <v>161</v>
      </c>
      <c r="M2662" s="319" t="s">
        <v>155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121"/>
    </row>
    <row r="2663" spans="1:26" ht="15.75" customHeight="1">
      <c r="A2663" s="125" t="str">
        <f>IF(B2663&lt;&gt;"",IF(AND(B2663&gt;=_TM1,B2663&lt;=_TM2,OR(TH!L2663="1111",TH!M2663="1111")),TH!D2663,""),"")</f>
        <v/>
      </c>
      <c r="B2663" s="11">
        <f t="shared" si="218"/>
        <v>12</v>
      </c>
      <c r="C2663" s="115">
        <f t="shared" si="216"/>
        <v>40899</v>
      </c>
      <c r="D2663" s="12" t="s">
        <v>926</v>
      </c>
      <c r="E2663" s="115">
        <v>40899</v>
      </c>
      <c r="F2663" s="116" t="s">
        <v>852</v>
      </c>
      <c r="G2663" s="224" t="s">
        <v>1320</v>
      </c>
      <c r="H2663" s="117" t="s">
        <v>709</v>
      </c>
      <c r="I2663" s="141">
        <v>276</v>
      </c>
      <c r="J2663" s="141">
        <v>14753.504562657037</v>
      </c>
      <c r="K2663" s="330">
        <f t="shared" si="217"/>
        <v>4071967</v>
      </c>
      <c r="L2663" s="319" t="s">
        <v>161</v>
      </c>
      <c r="M2663" s="319" t="s">
        <v>155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121"/>
    </row>
    <row r="2664" spans="1:26" ht="15.75" customHeight="1">
      <c r="A2664" s="125" t="str">
        <f>IF(B2664&lt;&gt;"",IF(AND(B2664&gt;=_TM1,B2664&lt;=_TM2,OR(TH!L2664="1111",TH!M2664="1111")),TH!D2664,""),"")</f>
        <v/>
      </c>
      <c r="B2664" s="11">
        <f t="shared" si="218"/>
        <v>12</v>
      </c>
      <c r="C2664" s="115">
        <f t="shared" si="216"/>
        <v>40899</v>
      </c>
      <c r="D2664" s="12" t="s">
        <v>926</v>
      </c>
      <c r="E2664" s="115">
        <v>40899</v>
      </c>
      <c r="F2664" s="116" t="s">
        <v>1304</v>
      </c>
      <c r="G2664" s="224" t="s">
        <v>1320</v>
      </c>
      <c r="H2664" s="117" t="s">
        <v>709</v>
      </c>
      <c r="I2664" s="141">
        <v>47</v>
      </c>
      <c r="J2664" s="141">
        <v>18087.252866696508</v>
      </c>
      <c r="K2664" s="330">
        <f t="shared" si="217"/>
        <v>850101</v>
      </c>
      <c r="L2664" s="319" t="s">
        <v>161</v>
      </c>
      <c r="M2664" s="319" t="s">
        <v>155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121"/>
    </row>
    <row r="2665" spans="1:26" ht="15.75" customHeight="1">
      <c r="A2665" s="125" t="str">
        <f>IF(B2665&lt;&gt;"",IF(AND(B2665&gt;=_TM1,B2665&lt;=_TM2,OR(TH!L2665="1111",TH!M2665="1111")),TH!D2665,""),"")</f>
        <v/>
      </c>
      <c r="B2665" s="11">
        <f t="shared" si="218"/>
        <v>12</v>
      </c>
      <c r="C2665" s="115">
        <f t="shared" si="216"/>
        <v>40899</v>
      </c>
      <c r="D2665" s="12" t="s">
        <v>926</v>
      </c>
      <c r="E2665" s="115">
        <v>40899</v>
      </c>
      <c r="F2665" s="116" t="s">
        <v>1309</v>
      </c>
      <c r="G2665" s="224" t="s">
        <v>1320</v>
      </c>
      <c r="H2665" s="117" t="s">
        <v>709</v>
      </c>
      <c r="I2665" s="141">
        <v>260</v>
      </c>
      <c r="J2665" s="141">
        <v>17929.504339691601</v>
      </c>
      <c r="K2665" s="330">
        <f t="shared" si="217"/>
        <v>4661671</v>
      </c>
      <c r="L2665" s="319" t="s">
        <v>161</v>
      </c>
      <c r="M2665" s="319" t="s">
        <v>155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121"/>
    </row>
    <row r="2666" spans="1:26" ht="15.75" customHeight="1">
      <c r="A2666" s="125" t="str">
        <f>IF(B2666&lt;&gt;"",IF(AND(B2666&gt;=_TM1,B2666&lt;=_TM2,OR(TH!L2666="1111",TH!M2666="1111")),TH!D2666,""),"")</f>
        <v/>
      </c>
      <c r="B2666" s="11">
        <f t="shared" si="218"/>
        <v>12</v>
      </c>
      <c r="C2666" s="115">
        <f t="shared" si="216"/>
        <v>40899</v>
      </c>
      <c r="D2666" s="12" t="s">
        <v>926</v>
      </c>
      <c r="E2666" s="115">
        <v>40899</v>
      </c>
      <c r="F2666" s="116" t="s">
        <v>1322</v>
      </c>
      <c r="G2666" s="224" t="s">
        <v>1320</v>
      </c>
      <c r="H2666" s="117" t="s">
        <v>709</v>
      </c>
      <c r="I2666" s="141">
        <v>274</v>
      </c>
      <c r="J2666" s="141">
        <v>1995.5154851155157</v>
      </c>
      <c r="K2666" s="330">
        <f t="shared" si="217"/>
        <v>546771</v>
      </c>
      <c r="L2666" s="319" t="s">
        <v>161</v>
      </c>
      <c r="M2666" s="319" t="s">
        <v>155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121"/>
    </row>
    <row r="2667" spans="1:26" ht="15.75" customHeight="1">
      <c r="A2667" s="125" t="str">
        <f>IF(B2667&lt;&gt;"",IF(AND(B2667&gt;=_TM1,B2667&lt;=_TM2,OR(TH!L2667="1111",TH!M2667="1111")),TH!D2667,""),"")</f>
        <v/>
      </c>
      <c r="B2667" s="11">
        <f t="shared" si="218"/>
        <v>12</v>
      </c>
      <c r="C2667" s="115">
        <f t="shared" si="216"/>
        <v>40899</v>
      </c>
      <c r="D2667" s="12" t="s">
        <v>926</v>
      </c>
      <c r="E2667" s="115">
        <v>40899</v>
      </c>
      <c r="F2667" s="116" t="s">
        <v>1323</v>
      </c>
      <c r="G2667" s="224" t="s">
        <v>1320</v>
      </c>
      <c r="H2667" s="117" t="s">
        <v>709</v>
      </c>
      <c r="I2667" s="141">
        <v>44</v>
      </c>
      <c r="J2667" s="141">
        <v>1918.5536403908975</v>
      </c>
      <c r="K2667" s="330">
        <f t="shared" si="217"/>
        <v>84416</v>
      </c>
      <c r="L2667" s="319" t="s">
        <v>161</v>
      </c>
      <c r="M2667" s="319" t="s">
        <v>155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121"/>
    </row>
    <row r="2668" spans="1:26" ht="15.75" customHeight="1">
      <c r="A2668" s="125" t="str">
        <f>IF(B2668&lt;&gt;"",IF(AND(B2668&gt;=_TM1,B2668&lt;=_TM2,OR(TH!L2668="1111",TH!M2668="1111")),TH!D2668,""),"")</f>
        <v/>
      </c>
      <c r="B2668" s="11">
        <f t="shared" si="218"/>
        <v>12</v>
      </c>
      <c r="C2668" s="115">
        <f t="shared" si="216"/>
        <v>40899</v>
      </c>
      <c r="D2668" s="12" t="s">
        <v>926</v>
      </c>
      <c r="E2668" s="115">
        <v>40899</v>
      </c>
      <c r="F2668" s="116" t="s">
        <v>1324</v>
      </c>
      <c r="G2668" s="224" t="s">
        <v>1320</v>
      </c>
      <c r="H2668" s="117" t="s">
        <v>709</v>
      </c>
      <c r="I2668" s="141">
        <v>262</v>
      </c>
      <c r="J2668" s="141">
        <v>1662.0768881355191</v>
      </c>
      <c r="K2668" s="330">
        <f t="shared" si="217"/>
        <v>435464</v>
      </c>
      <c r="L2668" s="319" t="s">
        <v>161</v>
      </c>
      <c r="M2668" s="319" t="s">
        <v>155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121"/>
    </row>
    <row r="2669" spans="1:26" ht="15.75" customHeight="1">
      <c r="A2669" s="125" t="str">
        <f>IF(B2669&lt;&gt;"",IF(AND(B2669&gt;=_TM1,B2669&lt;=_TM2,OR(TH!L2669="1111",TH!M2669="1111")),TH!D2669,""),"")</f>
        <v/>
      </c>
      <c r="B2669" s="11">
        <f t="shared" si="218"/>
        <v>12</v>
      </c>
      <c r="C2669" s="115">
        <f t="shared" si="216"/>
        <v>40899</v>
      </c>
      <c r="D2669" s="12" t="s">
        <v>926</v>
      </c>
      <c r="E2669" s="115">
        <v>40899</v>
      </c>
      <c r="F2669" s="116" t="s">
        <v>1325</v>
      </c>
      <c r="G2669" s="224" t="s">
        <v>1320</v>
      </c>
      <c r="H2669" s="117" t="s">
        <v>709</v>
      </c>
      <c r="I2669" s="141">
        <v>262</v>
      </c>
      <c r="J2669" s="141">
        <v>2186.8249797385729</v>
      </c>
      <c r="K2669" s="330">
        <f t="shared" si="217"/>
        <v>572948</v>
      </c>
      <c r="L2669" s="319" t="s">
        <v>161</v>
      </c>
      <c r="M2669" s="319" t="s">
        <v>155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121"/>
    </row>
    <row r="2670" spans="1:26" ht="15.75" customHeight="1">
      <c r="A2670" s="125" t="str">
        <f>IF(B2670&lt;&gt;"",IF(AND(B2670&gt;=_TM1,B2670&lt;=_TM2,OR(TH!L2670="1111",TH!M2670="1111")),TH!D2670,""),"")</f>
        <v/>
      </c>
      <c r="B2670" s="11">
        <f t="shared" si="218"/>
        <v>12</v>
      </c>
      <c r="C2670" s="115">
        <f t="shared" si="216"/>
        <v>40899</v>
      </c>
      <c r="D2670" s="12" t="s">
        <v>926</v>
      </c>
      <c r="E2670" s="115">
        <v>40899</v>
      </c>
      <c r="F2670" s="116" t="s">
        <v>1326</v>
      </c>
      <c r="G2670" s="224" t="s">
        <v>1320</v>
      </c>
      <c r="H2670" s="117" t="s">
        <v>709</v>
      </c>
      <c r="I2670" s="141">
        <v>318</v>
      </c>
      <c r="J2670" s="141">
        <v>2070.6654185498455</v>
      </c>
      <c r="K2670" s="330">
        <f t="shared" si="217"/>
        <v>658472</v>
      </c>
      <c r="L2670" s="319" t="s">
        <v>161</v>
      </c>
      <c r="M2670" s="319" t="s">
        <v>155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121"/>
    </row>
    <row r="2671" spans="1:26" ht="15.75" customHeight="1">
      <c r="A2671" s="125" t="str">
        <f>IF(B2671&lt;&gt;"",IF(AND(B2671&gt;=_TM1,B2671&lt;=_TM2,OR(TH!L2671="1111",TH!M2671="1111")),TH!D2671,""),"")</f>
        <v/>
      </c>
      <c r="B2671" s="11">
        <f t="shared" si="218"/>
        <v>12</v>
      </c>
      <c r="C2671" s="110">
        <v>40901</v>
      </c>
      <c r="D2671" s="110" t="s">
        <v>310</v>
      </c>
      <c r="E2671" s="110">
        <v>40901</v>
      </c>
      <c r="F2671" s="114" t="s">
        <v>341</v>
      </c>
      <c r="G2671" s="240" t="s">
        <v>307</v>
      </c>
      <c r="H2671" s="242"/>
      <c r="I2671" s="141"/>
      <c r="J2671" s="141"/>
      <c r="K2671" s="238">
        <v>62339</v>
      </c>
      <c r="L2671" s="239" t="s">
        <v>23</v>
      </c>
      <c r="M2671" s="239" t="s">
        <v>37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121"/>
    </row>
    <row r="2672" spans="1:26" ht="15.75" customHeight="1">
      <c r="A2672" s="125" t="str">
        <f>IF(B2672&lt;&gt;"",IF(AND(B2672&gt;=_TM1,B2672&lt;=_TM2,OR(TH!L2672="1111",TH!M2672="1111")),TH!D2672,""),"")</f>
        <v>C21</v>
      </c>
      <c r="B2672" s="11">
        <f t="shared" si="218"/>
        <v>12</v>
      </c>
      <c r="C2672" s="115">
        <f t="shared" ref="C2672:C2703" si="219">E2672</f>
        <v>40901</v>
      </c>
      <c r="D2672" s="110" t="s">
        <v>648</v>
      </c>
      <c r="E2672" s="110">
        <v>40901</v>
      </c>
      <c r="F2672" s="114" t="s">
        <v>1025</v>
      </c>
      <c r="G2672" s="224"/>
      <c r="H2672" s="4" t="s">
        <v>476</v>
      </c>
      <c r="I2672" s="141"/>
      <c r="J2672" s="141"/>
      <c r="K2672" s="13">
        <v>1715994</v>
      </c>
      <c r="L2672" s="118" t="s">
        <v>8</v>
      </c>
      <c r="M2672" s="118" t="s">
        <v>44</v>
      </c>
      <c r="N2672" s="25" t="str">
        <f>IF(AND('331-CT'!$E$7=TH!H2672,OR(L2672="331",M2672="331")),"331",IF(AND(OR(L2672="131",M2672="131"),H2672='131-CT'!$E$7),"131",""))</f>
        <v>331</v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35"/>
    </row>
    <row r="2673" spans="1:26" ht="15.75" customHeight="1">
      <c r="A2673" s="125" t="str">
        <f>IF(B2673&lt;&gt;"",IF(AND(B2673&gt;=_TM1,B2673&lt;=_TM2,OR(TH!L2673="1111",TH!M2673="1111")),TH!D2673,""),"")</f>
        <v>C22</v>
      </c>
      <c r="B2673" s="11">
        <f t="shared" si="218"/>
        <v>12</v>
      </c>
      <c r="C2673" s="115">
        <f t="shared" si="219"/>
        <v>40901</v>
      </c>
      <c r="D2673" s="110" t="s">
        <v>649</v>
      </c>
      <c r="E2673" s="110">
        <v>40901</v>
      </c>
      <c r="F2673" s="114" t="s">
        <v>1025</v>
      </c>
      <c r="G2673" s="224"/>
      <c r="H2673" s="4" t="s">
        <v>525</v>
      </c>
      <c r="I2673" s="141"/>
      <c r="J2673" s="141"/>
      <c r="K2673" s="13">
        <v>9998</v>
      </c>
      <c r="L2673" s="118" t="s">
        <v>8</v>
      </c>
      <c r="M2673" s="118" t="s">
        <v>44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35"/>
    </row>
    <row r="2674" spans="1:26" ht="15.75" customHeight="1">
      <c r="A2674" s="125" t="str">
        <f>IF(B2674&lt;&gt;"",IF(AND(B2674&gt;=_TM1,B2674&lt;=_TM2,OR(TH!L2674="1111",TH!M2674="1111")),TH!D2674,""),"")</f>
        <v>T06</v>
      </c>
      <c r="B2674" s="11">
        <f t="shared" si="218"/>
        <v>12</v>
      </c>
      <c r="C2674" s="115">
        <f t="shared" si="219"/>
        <v>40901</v>
      </c>
      <c r="D2674" s="115" t="s">
        <v>902</v>
      </c>
      <c r="E2674" s="110">
        <v>40901</v>
      </c>
      <c r="F2674" s="116" t="s">
        <v>1151</v>
      </c>
      <c r="G2674" s="224"/>
      <c r="H2674" s="311" t="s">
        <v>742</v>
      </c>
      <c r="I2674" s="141"/>
      <c r="J2674" s="141"/>
      <c r="K2674" s="238">
        <v>1001286</v>
      </c>
      <c r="L2674" s="118" t="s">
        <v>44</v>
      </c>
      <c r="M2674" s="118" t="s">
        <v>237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121"/>
    </row>
    <row r="2675" spans="1:26" ht="15.75" customHeight="1">
      <c r="A2675" s="125" t="str">
        <f>IF(B2675&lt;&gt;"",IF(AND(B2675&gt;=_TM1,B2675&lt;=_TM2,OR(TH!L2675="1111",TH!M2675="1111")),TH!D2675,""),"")</f>
        <v/>
      </c>
      <c r="B2675" s="11">
        <f t="shared" si="218"/>
        <v>12</v>
      </c>
      <c r="C2675" s="115">
        <f t="shared" si="219"/>
        <v>40902</v>
      </c>
      <c r="D2675" s="324" t="s">
        <v>1367</v>
      </c>
      <c r="E2675" s="115">
        <v>40902</v>
      </c>
      <c r="F2675" s="114" t="s">
        <v>607</v>
      </c>
      <c r="G2675" s="15"/>
      <c r="H2675" s="242" t="s">
        <v>1037</v>
      </c>
      <c r="I2675" s="141">
        <v>54</v>
      </c>
      <c r="J2675" s="141">
        <v>9954</v>
      </c>
      <c r="K2675" s="238">
        <f t="shared" ref="K2675:K2703" si="220">ROUND(I2675*J2675,0)</f>
        <v>537516</v>
      </c>
      <c r="L2675" s="25" t="s">
        <v>153</v>
      </c>
      <c r="M2675" s="25" t="s">
        <v>147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121"/>
    </row>
    <row r="2676" spans="1:26" ht="15.75" customHeight="1">
      <c r="A2676" s="125" t="str">
        <f>IF(B2676&lt;&gt;"",IF(AND(B2676&gt;=_TM1,B2676&lt;=_TM2,OR(TH!L2676="1111",TH!M2676="1111")),TH!D2676,""),"")</f>
        <v/>
      </c>
      <c r="B2676" s="11">
        <f t="shared" si="218"/>
        <v>12</v>
      </c>
      <c r="C2676" s="115">
        <f t="shared" si="219"/>
        <v>40902</v>
      </c>
      <c r="D2676" s="324" t="s">
        <v>1367</v>
      </c>
      <c r="E2676" s="115">
        <v>40902</v>
      </c>
      <c r="F2676" s="114" t="s">
        <v>607</v>
      </c>
      <c r="G2676" s="15"/>
      <c r="H2676" s="242" t="s">
        <v>1037</v>
      </c>
      <c r="I2676" s="141">
        <v>54</v>
      </c>
      <c r="J2676" s="141">
        <v>9954</v>
      </c>
      <c r="K2676" s="238">
        <f t="shared" si="220"/>
        <v>537516</v>
      </c>
      <c r="L2676" s="25" t="s">
        <v>153</v>
      </c>
      <c r="M2676" s="25" t="s">
        <v>147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121"/>
    </row>
    <row r="2677" spans="1:26" ht="15.75" customHeight="1">
      <c r="A2677" s="125" t="str">
        <f>IF(B2677&lt;&gt;"",IF(AND(B2677&gt;=_TM1,B2677&lt;=_TM2,OR(TH!L2677="1111",TH!M2677="1111")),TH!D2677,""),"")</f>
        <v/>
      </c>
      <c r="B2677" s="11">
        <f t="shared" si="218"/>
        <v>12</v>
      </c>
      <c r="C2677" s="115">
        <f t="shared" si="219"/>
        <v>40902</v>
      </c>
      <c r="D2677" s="324" t="s">
        <v>1367</v>
      </c>
      <c r="E2677" s="115">
        <v>40902</v>
      </c>
      <c r="F2677" s="114" t="s">
        <v>467</v>
      </c>
      <c r="G2677" s="15"/>
      <c r="H2677" s="242" t="s">
        <v>1037</v>
      </c>
      <c r="I2677" s="141">
        <v>1</v>
      </c>
      <c r="J2677" s="141">
        <v>17427</v>
      </c>
      <c r="K2677" s="238">
        <f t="shared" si="220"/>
        <v>17427</v>
      </c>
      <c r="L2677" s="25" t="s">
        <v>153</v>
      </c>
      <c r="M2677" s="25" t="s">
        <v>147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121"/>
    </row>
    <row r="2678" spans="1:26" ht="15.75" customHeight="1">
      <c r="A2678" s="125" t="str">
        <f>IF(B2678&lt;&gt;"",IF(AND(B2678&gt;=_TM1,B2678&lt;=_TM2,OR(TH!L2678="1111",TH!M2678="1111")),TH!D2678,""),"")</f>
        <v/>
      </c>
      <c r="B2678" s="11">
        <f t="shared" si="218"/>
        <v>12</v>
      </c>
      <c r="C2678" s="115">
        <f t="shared" si="219"/>
        <v>40902</v>
      </c>
      <c r="D2678" s="324" t="s">
        <v>1367</v>
      </c>
      <c r="E2678" s="115">
        <v>40902</v>
      </c>
      <c r="F2678" s="15" t="s">
        <v>627</v>
      </c>
      <c r="G2678" s="15"/>
      <c r="H2678" s="242" t="s">
        <v>1037</v>
      </c>
      <c r="I2678" s="141">
        <v>7</v>
      </c>
      <c r="J2678" s="141">
        <v>15443</v>
      </c>
      <c r="K2678" s="238">
        <f t="shared" si="220"/>
        <v>108101</v>
      </c>
      <c r="L2678" s="25" t="s">
        <v>153</v>
      </c>
      <c r="M2678" s="25" t="s">
        <v>147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121"/>
    </row>
    <row r="2679" spans="1:26" ht="15.75" customHeight="1">
      <c r="A2679" s="125" t="str">
        <f>IF(B2679&lt;&gt;"",IF(AND(B2679&gt;=_TM1,B2679&lt;=_TM2,OR(TH!L2679="1111",TH!M2679="1111")),TH!D2679,""),"")</f>
        <v/>
      </c>
      <c r="B2679" s="11">
        <f t="shared" si="218"/>
        <v>12</v>
      </c>
      <c r="C2679" s="115">
        <f t="shared" si="219"/>
        <v>40902</v>
      </c>
      <c r="D2679" s="324" t="s">
        <v>1367</v>
      </c>
      <c r="E2679" s="115">
        <v>40902</v>
      </c>
      <c r="F2679" s="15" t="s">
        <v>619</v>
      </c>
      <c r="G2679" s="15"/>
      <c r="H2679" s="242" t="s">
        <v>1037</v>
      </c>
      <c r="I2679" s="141">
        <v>20</v>
      </c>
      <c r="J2679" s="141">
        <v>20278</v>
      </c>
      <c r="K2679" s="238">
        <f t="shared" si="220"/>
        <v>405560</v>
      </c>
      <c r="L2679" s="25" t="s">
        <v>153</v>
      </c>
      <c r="M2679" s="25" t="s">
        <v>147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121"/>
    </row>
    <row r="2680" spans="1:26" ht="15.75" customHeight="1">
      <c r="A2680" s="125" t="str">
        <f>IF(B2680&lt;&gt;"",IF(AND(B2680&gt;=_TM1,B2680&lt;=_TM2,OR(TH!L2680="1111",TH!M2680="1111")),TH!D2680,""),"")</f>
        <v/>
      </c>
      <c r="B2680" s="11">
        <f t="shared" si="218"/>
        <v>12</v>
      </c>
      <c r="C2680" s="115">
        <f t="shared" si="219"/>
        <v>40902</v>
      </c>
      <c r="D2680" s="324" t="s">
        <v>1367</v>
      </c>
      <c r="E2680" s="115">
        <v>40902</v>
      </c>
      <c r="F2680" s="15" t="s">
        <v>575</v>
      </c>
      <c r="G2680" s="15"/>
      <c r="H2680" s="242" t="s">
        <v>1037</v>
      </c>
      <c r="I2680" s="141">
        <v>10</v>
      </c>
      <c r="J2680" s="141">
        <v>17374</v>
      </c>
      <c r="K2680" s="238">
        <f t="shared" si="220"/>
        <v>173740</v>
      </c>
      <c r="L2680" s="25" t="s">
        <v>153</v>
      </c>
      <c r="M2680" s="25" t="s">
        <v>147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121"/>
    </row>
    <row r="2681" spans="1:26" ht="15.75" customHeight="1">
      <c r="A2681" s="125" t="str">
        <f>IF(B2681&lt;&gt;"",IF(AND(B2681&gt;=_TM1,B2681&lt;=_TM2,OR(TH!L2681="1111",TH!M2681="1111")),TH!D2681,""),"")</f>
        <v/>
      </c>
      <c r="B2681" s="11">
        <f t="shared" si="218"/>
        <v>12</v>
      </c>
      <c r="C2681" s="115">
        <f t="shared" si="219"/>
        <v>40902</v>
      </c>
      <c r="D2681" s="324" t="s">
        <v>1367</v>
      </c>
      <c r="E2681" s="115">
        <v>40902</v>
      </c>
      <c r="F2681" s="15" t="s">
        <v>627</v>
      </c>
      <c r="G2681" s="15"/>
      <c r="H2681" s="242" t="s">
        <v>1037</v>
      </c>
      <c r="I2681" s="141">
        <v>2</v>
      </c>
      <c r="J2681" s="141">
        <v>15443</v>
      </c>
      <c r="K2681" s="238">
        <f t="shared" si="220"/>
        <v>30886</v>
      </c>
      <c r="L2681" s="25" t="s">
        <v>153</v>
      </c>
      <c r="M2681" s="25" t="s">
        <v>147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121"/>
    </row>
    <row r="2682" spans="1:26" ht="15.75" customHeight="1">
      <c r="A2682" s="125" t="str">
        <f>IF(B2682&lt;&gt;"",IF(AND(B2682&gt;=_TM1,B2682&lt;=_TM2,OR(TH!L2682="1111",TH!M2682="1111")),TH!D2682,""),"")</f>
        <v/>
      </c>
      <c r="B2682" s="11">
        <f t="shared" si="218"/>
        <v>12</v>
      </c>
      <c r="C2682" s="115">
        <f t="shared" si="219"/>
        <v>40902</v>
      </c>
      <c r="D2682" s="324" t="s">
        <v>1367</v>
      </c>
      <c r="E2682" s="115">
        <v>40902</v>
      </c>
      <c r="F2682" s="15" t="s">
        <v>633</v>
      </c>
      <c r="G2682" s="15"/>
      <c r="H2682" s="242" t="s">
        <v>1037</v>
      </c>
      <c r="I2682" s="141">
        <v>108</v>
      </c>
      <c r="J2682" s="141">
        <v>16631</v>
      </c>
      <c r="K2682" s="238">
        <f t="shared" si="220"/>
        <v>1796148</v>
      </c>
      <c r="L2682" s="25" t="s">
        <v>153</v>
      </c>
      <c r="M2682" s="25" t="s">
        <v>147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121"/>
    </row>
    <row r="2683" spans="1:26" ht="15.75" customHeight="1">
      <c r="A2683" s="125" t="str">
        <f>IF(B2683&lt;&gt;"",IF(AND(B2683&gt;=_TM1,B2683&lt;=_TM2,OR(TH!L2683="1111",TH!M2683="1111")),TH!D2683,""),"")</f>
        <v/>
      </c>
      <c r="B2683" s="11">
        <f t="shared" si="218"/>
        <v>12</v>
      </c>
      <c r="C2683" s="115">
        <f t="shared" si="219"/>
        <v>40902</v>
      </c>
      <c r="D2683" s="324" t="s">
        <v>1367</v>
      </c>
      <c r="E2683" s="115">
        <v>40902</v>
      </c>
      <c r="F2683" s="15" t="s">
        <v>627</v>
      </c>
      <c r="G2683" s="15"/>
      <c r="H2683" s="242" t="s">
        <v>1037</v>
      </c>
      <c r="I2683" s="141">
        <v>2</v>
      </c>
      <c r="J2683" s="141">
        <v>15443</v>
      </c>
      <c r="K2683" s="238">
        <f t="shared" si="220"/>
        <v>30886</v>
      </c>
      <c r="L2683" s="25" t="s">
        <v>153</v>
      </c>
      <c r="M2683" s="25" t="s">
        <v>147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121"/>
    </row>
    <row r="2684" spans="1:26" ht="15.75" customHeight="1">
      <c r="A2684" s="125" t="str">
        <f>IF(B2684&lt;&gt;"",IF(AND(B2684&gt;=_TM1,B2684&lt;=_TM2,OR(TH!L2684="1111",TH!M2684="1111")),TH!D2684,""),"")</f>
        <v/>
      </c>
      <c r="B2684" s="11">
        <f t="shared" si="218"/>
        <v>12</v>
      </c>
      <c r="C2684" s="115">
        <f t="shared" si="219"/>
        <v>40902</v>
      </c>
      <c r="D2684" s="324" t="s">
        <v>1368</v>
      </c>
      <c r="E2684" s="115">
        <v>40902</v>
      </c>
      <c r="F2684" s="114" t="s">
        <v>484</v>
      </c>
      <c r="G2684" s="15"/>
      <c r="H2684" s="242" t="s">
        <v>1037</v>
      </c>
      <c r="I2684" s="141">
        <v>3</v>
      </c>
      <c r="J2684" s="141">
        <v>8620</v>
      </c>
      <c r="K2684" s="238">
        <f t="shared" si="220"/>
        <v>25860</v>
      </c>
      <c r="L2684" s="25" t="s">
        <v>153</v>
      </c>
      <c r="M2684" s="25" t="s">
        <v>147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121"/>
    </row>
    <row r="2685" spans="1:26" ht="15.75" customHeight="1">
      <c r="A2685" s="125" t="str">
        <f>IF(B2685&lt;&gt;"",IF(AND(B2685&gt;=_TM1,B2685&lt;=_TM2,OR(TH!L2685="1111",TH!M2685="1111")),TH!D2685,""),"")</f>
        <v/>
      </c>
      <c r="B2685" s="11">
        <f t="shared" si="218"/>
        <v>12</v>
      </c>
      <c r="C2685" s="115">
        <f t="shared" si="219"/>
        <v>40902</v>
      </c>
      <c r="D2685" s="324" t="s">
        <v>1368</v>
      </c>
      <c r="E2685" s="115">
        <v>40902</v>
      </c>
      <c r="F2685" s="114" t="s">
        <v>526</v>
      </c>
      <c r="G2685" s="15"/>
      <c r="H2685" s="242" t="s">
        <v>1037</v>
      </c>
      <c r="I2685" s="141">
        <v>2</v>
      </c>
      <c r="J2685" s="141">
        <v>13954</v>
      </c>
      <c r="K2685" s="238">
        <f t="shared" si="220"/>
        <v>27908</v>
      </c>
      <c r="L2685" s="25" t="s">
        <v>153</v>
      </c>
      <c r="M2685" s="25" t="s">
        <v>147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121"/>
    </row>
    <row r="2686" spans="1:26" ht="15.75" customHeight="1">
      <c r="A2686" s="125" t="str">
        <f>IF(B2686&lt;&gt;"",IF(AND(B2686&gt;=_TM1,B2686&lt;=_TM2,OR(TH!L2686="1111",TH!M2686="1111")),TH!D2686,""),"")</f>
        <v/>
      </c>
      <c r="B2686" s="11">
        <f t="shared" si="218"/>
        <v>12</v>
      </c>
      <c r="C2686" s="115">
        <f t="shared" si="219"/>
        <v>40902</v>
      </c>
      <c r="D2686" s="324" t="s">
        <v>1368</v>
      </c>
      <c r="E2686" s="115">
        <v>40902</v>
      </c>
      <c r="F2686" s="114" t="s">
        <v>467</v>
      </c>
      <c r="G2686" s="15"/>
      <c r="H2686" s="242" t="s">
        <v>1037</v>
      </c>
      <c r="I2686" s="141">
        <v>2</v>
      </c>
      <c r="J2686" s="141">
        <v>17427</v>
      </c>
      <c r="K2686" s="238">
        <f t="shared" si="220"/>
        <v>34854</v>
      </c>
      <c r="L2686" s="25" t="s">
        <v>153</v>
      </c>
      <c r="M2686" s="25" t="s">
        <v>147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121"/>
    </row>
    <row r="2687" spans="1:26" ht="15.75" customHeight="1">
      <c r="A2687" s="125" t="str">
        <f>IF(B2687&lt;&gt;"",IF(AND(B2687&gt;=_TM1,B2687&lt;=_TM2,OR(TH!L2687="1111",TH!M2687="1111")),TH!D2687,""),"")</f>
        <v/>
      </c>
      <c r="B2687" s="11">
        <f t="shared" si="218"/>
        <v>12</v>
      </c>
      <c r="C2687" s="115">
        <f t="shared" si="219"/>
        <v>40902</v>
      </c>
      <c r="D2687" s="324" t="s">
        <v>1368</v>
      </c>
      <c r="E2687" s="115">
        <v>40902</v>
      </c>
      <c r="F2687" s="15" t="s">
        <v>632</v>
      </c>
      <c r="G2687" s="15"/>
      <c r="H2687" s="242" t="s">
        <v>1037</v>
      </c>
      <c r="I2687" s="141">
        <v>2</v>
      </c>
      <c r="J2687" s="141">
        <v>13455</v>
      </c>
      <c r="K2687" s="238">
        <f t="shared" si="220"/>
        <v>26910</v>
      </c>
      <c r="L2687" s="25" t="s">
        <v>153</v>
      </c>
      <c r="M2687" s="25" t="s">
        <v>147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121"/>
    </row>
    <row r="2688" spans="1:26" ht="15.75" customHeight="1">
      <c r="A2688" s="125" t="str">
        <f>IF(B2688&lt;&gt;"",IF(AND(B2688&gt;=_TM1,B2688&lt;=_TM2,OR(TH!L2688="1111",TH!M2688="1111")),TH!D2688,""),"")</f>
        <v/>
      </c>
      <c r="B2688" s="11">
        <f t="shared" si="218"/>
        <v>12</v>
      </c>
      <c r="C2688" s="115">
        <f t="shared" si="219"/>
        <v>40902</v>
      </c>
      <c r="D2688" s="324" t="s">
        <v>1368</v>
      </c>
      <c r="E2688" s="115">
        <v>40902</v>
      </c>
      <c r="F2688" s="15" t="s">
        <v>632</v>
      </c>
      <c r="G2688" s="15"/>
      <c r="H2688" s="242" t="s">
        <v>1037</v>
      </c>
      <c r="I2688" s="141">
        <v>1</v>
      </c>
      <c r="J2688" s="141">
        <v>13455</v>
      </c>
      <c r="K2688" s="238">
        <f t="shared" si="220"/>
        <v>13455</v>
      </c>
      <c r="L2688" s="25" t="s">
        <v>153</v>
      </c>
      <c r="M2688" s="25" t="s">
        <v>147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121"/>
    </row>
    <row r="2689" spans="1:26" ht="15.75" customHeight="1">
      <c r="A2689" s="125" t="str">
        <f>IF(B2689&lt;&gt;"",IF(AND(B2689&gt;=_TM1,B2689&lt;=_TM2,OR(TH!L2689="1111",TH!M2689="1111")),TH!D2689,""),"")</f>
        <v/>
      </c>
      <c r="B2689" s="11">
        <f t="shared" si="218"/>
        <v>12</v>
      </c>
      <c r="C2689" s="115">
        <f t="shared" si="219"/>
        <v>40902</v>
      </c>
      <c r="D2689" s="324" t="s">
        <v>1368</v>
      </c>
      <c r="E2689" s="115">
        <v>40902</v>
      </c>
      <c r="F2689" s="15" t="s">
        <v>627</v>
      </c>
      <c r="G2689" s="15"/>
      <c r="H2689" s="242" t="s">
        <v>1037</v>
      </c>
      <c r="I2689" s="141">
        <v>1</v>
      </c>
      <c r="J2689" s="141">
        <v>15443</v>
      </c>
      <c r="K2689" s="238">
        <f t="shared" si="220"/>
        <v>15443</v>
      </c>
      <c r="L2689" s="25" t="s">
        <v>153</v>
      </c>
      <c r="M2689" s="25" t="s">
        <v>147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121"/>
    </row>
    <row r="2690" spans="1:26" ht="15.75" customHeight="1">
      <c r="A2690" s="125" t="str">
        <f>IF(B2690&lt;&gt;"",IF(AND(B2690&gt;=_TM1,B2690&lt;=_TM2,OR(TH!L2690="1111",TH!M2690="1111")),TH!D2690,""),"")</f>
        <v/>
      </c>
      <c r="B2690" s="11">
        <f t="shared" si="218"/>
        <v>12</v>
      </c>
      <c r="C2690" s="115">
        <f t="shared" si="219"/>
        <v>40902</v>
      </c>
      <c r="D2690" s="324" t="s">
        <v>1368</v>
      </c>
      <c r="E2690" s="115">
        <v>40902</v>
      </c>
      <c r="F2690" s="15" t="s">
        <v>632</v>
      </c>
      <c r="G2690" s="15"/>
      <c r="H2690" s="242" t="s">
        <v>1037</v>
      </c>
      <c r="I2690" s="141">
        <v>2</v>
      </c>
      <c r="J2690" s="141">
        <v>13455</v>
      </c>
      <c r="K2690" s="238">
        <f t="shared" si="220"/>
        <v>26910</v>
      </c>
      <c r="L2690" s="25" t="s">
        <v>153</v>
      </c>
      <c r="M2690" s="25" t="s">
        <v>147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121"/>
    </row>
    <row r="2691" spans="1:26" ht="15.75" customHeight="1">
      <c r="A2691" s="125" t="str">
        <f>IF(B2691&lt;&gt;"",IF(AND(B2691&gt;=_TM1,B2691&lt;=_TM2,OR(TH!L2691="1111",TH!M2691="1111")),TH!D2691,""),"")</f>
        <v/>
      </c>
      <c r="B2691" s="11">
        <f t="shared" si="218"/>
        <v>12</v>
      </c>
      <c r="C2691" s="115">
        <f t="shared" si="219"/>
        <v>40902</v>
      </c>
      <c r="D2691" s="324" t="s">
        <v>1368</v>
      </c>
      <c r="E2691" s="115">
        <v>40902</v>
      </c>
      <c r="F2691" s="15" t="s">
        <v>632</v>
      </c>
      <c r="G2691" s="15"/>
      <c r="H2691" s="242" t="s">
        <v>1037</v>
      </c>
      <c r="I2691" s="141">
        <v>1</v>
      </c>
      <c r="J2691" s="141">
        <v>13455</v>
      </c>
      <c r="K2691" s="238">
        <f t="shared" si="220"/>
        <v>13455</v>
      </c>
      <c r="L2691" s="25" t="s">
        <v>153</v>
      </c>
      <c r="M2691" s="25" t="s">
        <v>147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121"/>
    </row>
    <row r="2692" spans="1:26" ht="15.75" customHeight="1">
      <c r="A2692" s="125" t="str">
        <f>IF(B2692&lt;&gt;"",IF(AND(B2692&gt;=_TM1,B2692&lt;=_TM2,OR(TH!L2692="1111",TH!M2692="1111")),TH!D2692,""),"")</f>
        <v/>
      </c>
      <c r="B2692" s="11">
        <f t="shared" si="218"/>
        <v>12</v>
      </c>
      <c r="C2692" s="115">
        <f t="shared" si="219"/>
        <v>40902</v>
      </c>
      <c r="D2692" s="324" t="s">
        <v>1368</v>
      </c>
      <c r="E2692" s="115">
        <v>40902</v>
      </c>
      <c r="F2692" s="15" t="s">
        <v>627</v>
      </c>
      <c r="G2692" s="15"/>
      <c r="H2692" s="242" t="s">
        <v>1037</v>
      </c>
      <c r="I2692" s="141">
        <v>1</v>
      </c>
      <c r="J2692" s="141">
        <v>15443</v>
      </c>
      <c r="K2692" s="238">
        <f t="shared" si="220"/>
        <v>15443</v>
      </c>
      <c r="L2692" s="25" t="s">
        <v>153</v>
      </c>
      <c r="M2692" s="25" t="s">
        <v>147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121"/>
    </row>
    <row r="2693" spans="1:26" ht="15.75" customHeight="1">
      <c r="A2693" s="125" t="str">
        <f>IF(B2693&lt;&gt;"",IF(AND(B2693&gt;=_TM1,B2693&lt;=_TM2,OR(TH!L2693="1111",TH!M2693="1111")),TH!D2693,""),"")</f>
        <v/>
      </c>
      <c r="B2693" s="11">
        <f t="shared" si="218"/>
        <v>12</v>
      </c>
      <c r="C2693" s="115">
        <f t="shared" si="219"/>
        <v>40904</v>
      </c>
      <c r="D2693" s="324" t="s">
        <v>1369</v>
      </c>
      <c r="E2693" s="115">
        <v>40904</v>
      </c>
      <c r="F2693" s="15" t="s">
        <v>632</v>
      </c>
      <c r="G2693" s="15"/>
      <c r="H2693" s="242" t="s">
        <v>1037</v>
      </c>
      <c r="I2693" s="141">
        <v>1</v>
      </c>
      <c r="J2693" s="141">
        <v>13455</v>
      </c>
      <c r="K2693" s="238">
        <f t="shared" si="220"/>
        <v>13455</v>
      </c>
      <c r="L2693" s="25" t="s">
        <v>153</v>
      </c>
      <c r="M2693" s="25" t="s">
        <v>147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121"/>
    </row>
    <row r="2694" spans="1:26" ht="15.75" customHeight="1">
      <c r="A2694" s="125" t="str">
        <f>IF(B2694&lt;&gt;"",IF(AND(B2694&gt;=_TM1,B2694&lt;=_TM2,OR(TH!L2694="1111",TH!M2694="1111")),TH!D2694,""),"")</f>
        <v/>
      </c>
      <c r="B2694" s="11">
        <f t="shared" si="218"/>
        <v>12</v>
      </c>
      <c r="C2694" s="115">
        <f t="shared" si="219"/>
        <v>40904</v>
      </c>
      <c r="D2694" s="324" t="s">
        <v>1369</v>
      </c>
      <c r="E2694" s="115">
        <v>40904</v>
      </c>
      <c r="F2694" s="15" t="s">
        <v>622</v>
      </c>
      <c r="G2694" s="15"/>
      <c r="H2694" s="242" t="s">
        <v>1037</v>
      </c>
      <c r="I2694" s="141">
        <v>0.5</v>
      </c>
      <c r="J2694" s="141">
        <v>32878</v>
      </c>
      <c r="K2694" s="238">
        <f t="shared" si="220"/>
        <v>16439</v>
      </c>
      <c r="L2694" s="25" t="s">
        <v>153</v>
      </c>
      <c r="M2694" s="25" t="s">
        <v>147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121"/>
    </row>
    <row r="2695" spans="1:26" ht="15.75" customHeight="1">
      <c r="A2695" s="125" t="str">
        <f>IF(B2695&lt;&gt;"",IF(AND(B2695&gt;=_TM1,B2695&lt;=_TM2,OR(TH!L2695="1111",TH!M2695="1111")),TH!D2695,""),"")</f>
        <v/>
      </c>
      <c r="B2695" s="11">
        <f t="shared" si="218"/>
        <v>12</v>
      </c>
      <c r="C2695" s="115">
        <f t="shared" si="219"/>
        <v>40904</v>
      </c>
      <c r="D2695" s="324" t="s">
        <v>1369</v>
      </c>
      <c r="E2695" s="115">
        <v>40904</v>
      </c>
      <c r="F2695" s="15" t="s">
        <v>632</v>
      </c>
      <c r="G2695" s="15"/>
      <c r="H2695" s="242" t="s">
        <v>1037</v>
      </c>
      <c r="I2695" s="141">
        <v>11</v>
      </c>
      <c r="J2695" s="141">
        <v>13455</v>
      </c>
      <c r="K2695" s="238">
        <f t="shared" si="220"/>
        <v>148005</v>
      </c>
      <c r="L2695" s="25" t="s">
        <v>153</v>
      </c>
      <c r="M2695" s="25" t="s">
        <v>147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121"/>
    </row>
    <row r="2696" spans="1:26" ht="15.75" customHeight="1">
      <c r="A2696" s="125" t="str">
        <f>IF(B2696&lt;&gt;"",IF(AND(B2696&gt;=_TM1,B2696&lt;=_TM2,OR(TH!L2696="1111",TH!M2696="1111")),TH!D2696,""),"")</f>
        <v/>
      </c>
      <c r="B2696" s="11">
        <f t="shared" si="218"/>
        <v>12</v>
      </c>
      <c r="C2696" s="115">
        <f t="shared" si="219"/>
        <v>40904</v>
      </c>
      <c r="D2696" s="324" t="s">
        <v>1369</v>
      </c>
      <c r="E2696" s="115">
        <v>40904</v>
      </c>
      <c r="F2696" s="15" t="s">
        <v>633</v>
      </c>
      <c r="G2696" s="15"/>
      <c r="H2696" s="242" t="s">
        <v>1037</v>
      </c>
      <c r="I2696" s="141">
        <v>260</v>
      </c>
      <c r="J2696" s="141">
        <v>16631</v>
      </c>
      <c r="K2696" s="238">
        <f t="shared" si="220"/>
        <v>4324060</v>
      </c>
      <c r="L2696" s="25" t="s">
        <v>153</v>
      </c>
      <c r="M2696" s="25" t="s">
        <v>147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121"/>
    </row>
    <row r="2697" spans="1:26" ht="15.75" customHeight="1">
      <c r="A2697" s="125" t="str">
        <f>IF(B2697&lt;&gt;"",IF(AND(B2697&gt;=_TM1,B2697&lt;=_TM2,OR(TH!L2697="1111",TH!M2697="1111")),TH!D2697,""),"")</f>
        <v/>
      </c>
      <c r="B2697" s="11">
        <f t="shared" si="218"/>
        <v>12</v>
      </c>
      <c r="C2697" s="115">
        <f t="shared" si="219"/>
        <v>40904</v>
      </c>
      <c r="D2697" s="324" t="s">
        <v>1369</v>
      </c>
      <c r="E2697" s="115">
        <v>40904</v>
      </c>
      <c r="F2697" s="15" t="s">
        <v>627</v>
      </c>
      <c r="G2697" s="15"/>
      <c r="H2697" s="242" t="s">
        <v>1037</v>
      </c>
      <c r="I2697" s="141">
        <v>50</v>
      </c>
      <c r="J2697" s="141">
        <v>15443</v>
      </c>
      <c r="K2697" s="238">
        <f t="shared" si="220"/>
        <v>772150</v>
      </c>
      <c r="L2697" s="25" t="s">
        <v>153</v>
      </c>
      <c r="M2697" s="25" t="s">
        <v>147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121"/>
    </row>
    <row r="2698" spans="1:26" ht="15.75" customHeight="1">
      <c r="A2698" s="125" t="str">
        <f>IF(B2698&lt;&gt;"",IF(AND(B2698&gt;=_TM1,B2698&lt;=_TM2,OR(TH!L2698="1111",TH!M2698="1111")),TH!D2698,""),"")</f>
        <v/>
      </c>
      <c r="B2698" s="11">
        <f t="shared" si="218"/>
        <v>12</v>
      </c>
      <c r="C2698" s="115">
        <f t="shared" si="219"/>
        <v>40904</v>
      </c>
      <c r="D2698" s="324" t="s">
        <v>1369</v>
      </c>
      <c r="E2698" s="115">
        <v>40904</v>
      </c>
      <c r="F2698" s="15" t="s">
        <v>633</v>
      </c>
      <c r="G2698" s="15"/>
      <c r="H2698" s="242" t="s">
        <v>1037</v>
      </c>
      <c r="I2698" s="141">
        <v>100</v>
      </c>
      <c r="J2698" s="141">
        <v>16631</v>
      </c>
      <c r="K2698" s="238">
        <f t="shared" si="220"/>
        <v>1663100</v>
      </c>
      <c r="L2698" s="25" t="s">
        <v>153</v>
      </c>
      <c r="M2698" s="25" t="s">
        <v>147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121"/>
    </row>
    <row r="2699" spans="1:26" ht="15.75" customHeight="1">
      <c r="A2699" s="125" t="str">
        <f>IF(B2699&lt;&gt;"",IF(AND(B2699&gt;=_TM1,B2699&lt;=_TM2,OR(TH!L2699="1111",TH!M2699="1111")),TH!D2699,""),"")</f>
        <v/>
      </c>
      <c r="B2699" s="11">
        <f t="shared" si="218"/>
        <v>12</v>
      </c>
      <c r="C2699" s="115">
        <f t="shared" si="219"/>
        <v>40904</v>
      </c>
      <c r="D2699" s="324" t="s">
        <v>1369</v>
      </c>
      <c r="E2699" s="115">
        <v>40904</v>
      </c>
      <c r="F2699" s="15" t="s">
        <v>622</v>
      </c>
      <c r="G2699" s="15"/>
      <c r="H2699" s="242" t="s">
        <v>1037</v>
      </c>
      <c r="I2699" s="141">
        <v>25</v>
      </c>
      <c r="J2699" s="141">
        <v>32878</v>
      </c>
      <c r="K2699" s="238">
        <f t="shared" si="220"/>
        <v>821950</v>
      </c>
      <c r="L2699" s="25" t="s">
        <v>153</v>
      </c>
      <c r="M2699" s="25" t="s">
        <v>147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121"/>
    </row>
    <row r="2700" spans="1:26" ht="15.75" customHeight="1">
      <c r="A2700" s="125" t="str">
        <f>IF(B2700&lt;&gt;"",IF(AND(B2700&gt;=_TM1,B2700&lt;=_TM2,OR(TH!L2700="1111",TH!M2700="1111")),TH!D2700,""),"")</f>
        <v/>
      </c>
      <c r="B2700" s="11">
        <f t="shared" si="218"/>
        <v>12</v>
      </c>
      <c r="C2700" s="115">
        <f t="shared" si="219"/>
        <v>40904</v>
      </c>
      <c r="D2700" s="324" t="s">
        <v>1370</v>
      </c>
      <c r="E2700" s="115">
        <v>40904</v>
      </c>
      <c r="F2700" s="15" t="s">
        <v>633</v>
      </c>
      <c r="G2700" s="15"/>
      <c r="H2700" s="242" t="s">
        <v>1037</v>
      </c>
      <c r="I2700" s="141">
        <v>190</v>
      </c>
      <c r="J2700" s="141">
        <v>16631</v>
      </c>
      <c r="K2700" s="238">
        <f t="shared" si="220"/>
        <v>3159890</v>
      </c>
      <c r="L2700" s="25" t="s">
        <v>153</v>
      </c>
      <c r="M2700" s="25" t="s">
        <v>147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121"/>
    </row>
    <row r="2701" spans="1:26" ht="15.75" customHeight="1">
      <c r="A2701" s="125" t="str">
        <f>IF(B2701&lt;&gt;"",IF(AND(B2701&gt;=_TM1,B2701&lt;=_TM2,OR(TH!L2701="1111",TH!M2701="1111")),TH!D2701,""),"")</f>
        <v/>
      </c>
      <c r="B2701" s="11">
        <f t="shared" si="218"/>
        <v>12</v>
      </c>
      <c r="C2701" s="115">
        <f t="shared" si="219"/>
        <v>40904</v>
      </c>
      <c r="D2701" s="324" t="s">
        <v>1370</v>
      </c>
      <c r="E2701" s="115">
        <v>40904</v>
      </c>
      <c r="F2701" s="15" t="s">
        <v>633</v>
      </c>
      <c r="G2701" s="15"/>
      <c r="H2701" s="242" t="s">
        <v>1037</v>
      </c>
      <c r="I2701" s="141">
        <v>130</v>
      </c>
      <c r="J2701" s="141">
        <v>16631</v>
      </c>
      <c r="K2701" s="238">
        <f t="shared" si="220"/>
        <v>2162030</v>
      </c>
      <c r="L2701" s="25" t="s">
        <v>153</v>
      </c>
      <c r="M2701" s="25" t="s">
        <v>147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121"/>
    </row>
    <row r="2702" spans="1:26" ht="15.75" customHeight="1">
      <c r="A2702" s="125" t="str">
        <f>IF(B2702&lt;&gt;"",IF(AND(B2702&gt;=_TM1,B2702&lt;=_TM2,OR(TH!L2702="1111",TH!M2702="1111")),TH!D2702,""),"")</f>
        <v/>
      </c>
      <c r="B2702" s="11">
        <f t="shared" si="218"/>
        <v>12</v>
      </c>
      <c r="C2702" s="115">
        <f t="shared" si="219"/>
        <v>40904</v>
      </c>
      <c r="D2702" s="324" t="s">
        <v>1370</v>
      </c>
      <c r="E2702" s="115">
        <v>40904</v>
      </c>
      <c r="F2702" s="15" t="s">
        <v>633</v>
      </c>
      <c r="G2702" s="15"/>
      <c r="H2702" s="242" t="s">
        <v>1037</v>
      </c>
      <c r="I2702" s="141">
        <v>110</v>
      </c>
      <c r="J2702" s="141">
        <v>16631</v>
      </c>
      <c r="K2702" s="238">
        <f t="shared" si="220"/>
        <v>1829410</v>
      </c>
      <c r="L2702" s="25" t="s">
        <v>153</v>
      </c>
      <c r="M2702" s="25" t="s">
        <v>147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121"/>
    </row>
    <row r="2703" spans="1:26" ht="15.75" customHeight="1">
      <c r="A2703" s="125" t="str">
        <f>IF(B2703&lt;&gt;"",IF(AND(B2703&gt;=_TM1,B2703&lt;=_TM2,OR(TH!L2703="1111",TH!M2703="1111")),TH!D2703,""),"")</f>
        <v/>
      </c>
      <c r="B2703" s="11">
        <f t="shared" si="218"/>
        <v>12</v>
      </c>
      <c r="C2703" s="115">
        <f t="shared" si="219"/>
        <v>40904</v>
      </c>
      <c r="D2703" s="324" t="s">
        <v>1370</v>
      </c>
      <c r="E2703" s="115">
        <v>40904</v>
      </c>
      <c r="F2703" s="15" t="s">
        <v>622</v>
      </c>
      <c r="G2703" s="15"/>
      <c r="H2703" s="242" t="s">
        <v>1037</v>
      </c>
      <c r="I2703" s="141">
        <v>6</v>
      </c>
      <c r="J2703" s="141">
        <v>32878</v>
      </c>
      <c r="K2703" s="238">
        <f t="shared" si="220"/>
        <v>197268</v>
      </c>
      <c r="L2703" s="25" t="s">
        <v>153</v>
      </c>
      <c r="M2703" s="25" t="s">
        <v>147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121"/>
    </row>
    <row r="2704" spans="1:26" ht="15.75" customHeight="1">
      <c r="A2704" s="125" t="str">
        <f>IF(B2704&lt;&gt;"",IF(AND(B2704&gt;=_TM1,B2704&lt;=_TM2,OR(TH!L2704="1111",TH!M2704="1111")),TH!D2704,""),"")</f>
        <v/>
      </c>
      <c r="B2704" s="11">
        <f t="shared" si="218"/>
        <v>12</v>
      </c>
      <c r="C2704" s="115">
        <v>40907</v>
      </c>
      <c r="D2704" s="115" t="s">
        <v>927</v>
      </c>
      <c r="E2704" s="115">
        <v>40907</v>
      </c>
      <c r="F2704" s="116" t="s">
        <v>1327</v>
      </c>
      <c r="G2704" s="224" t="s">
        <v>1328</v>
      </c>
      <c r="H2704" s="117" t="s">
        <v>740</v>
      </c>
      <c r="I2704" s="141">
        <v>392</v>
      </c>
      <c r="J2704" s="141">
        <v>11800</v>
      </c>
      <c r="K2704" s="238">
        <v>4625600</v>
      </c>
      <c r="L2704" s="118" t="s">
        <v>237</v>
      </c>
      <c r="M2704" s="118" t="s">
        <v>163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121"/>
    </row>
    <row r="2705" spans="1:26" ht="15.75" customHeight="1">
      <c r="A2705" s="125" t="str">
        <f>IF(B2705&lt;&gt;"",IF(AND(B2705&gt;=_TM1,B2705&lt;=_TM2,OR(TH!L2705="1111",TH!M2705="1111")),TH!D2705,""),"")</f>
        <v/>
      </c>
      <c r="B2705" s="11">
        <f t="shared" si="218"/>
        <v>12</v>
      </c>
      <c r="C2705" s="115">
        <v>40907</v>
      </c>
      <c r="D2705" s="115" t="s">
        <v>927</v>
      </c>
      <c r="E2705" s="115">
        <v>40907</v>
      </c>
      <c r="F2705" s="116" t="s">
        <v>1121</v>
      </c>
      <c r="G2705" s="224" t="s">
        <v>1328</v>
      </c>
      <c r="H2705" s="117" t="s">
        <v>740</v>
      </c>
      <c r="I2705" s="141"/>
      <c r="J2705" s="141"/>
      <c r="K2705" s="238">
        <f>462560+1</f>
        <v>462561</v>
      </c>
      <c r="L2705" s="118" t="s">
        <v>237</v>
      </c>
      <c r="M2705" s="118" t="s">
        <v>707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121"/>
    </row>
    <row r="2706" spans="1:26" ht="15.75" customHeight="1">
      <c r="A2706" s="125" t="str">
        <f>IF(B2706&lt;&gt;"",IF(AND(B2706&gt;=_TM1,B2706&lt;=_TM2,OR(TH!L2706="1111",TH!M2706="1111")),TH!D2706,""),"")</f>
        <v>T07</v>
      </c>
      <c r="B2706" s="11">
        <f t="shared" si="218"/>
        <v>12</v>
      </c>
      <c r="C2706" s="115">
        <v>40907</v>
      </c>
      <c r="D2706" s="115" t="s">
        <v>898</v>
      </c>
      <c r="E2706" s="115">
        <v>40907</v>
      </c>
      <c r="F2706" s="116" t="s">
        <v>1121</v>
      </c>
      <c r="G2706" s="224" t="s">
        <v>1328</v>
      </c>
      <c r="H2706" s="117" t="s">
        <v>740</v>
      </c>
      <c r="I2706" s="141"/>
      <c r="J2706" s="141"/>
      <c r="K2706" s="238">
        <v>5088161</v>
      </c>
      <c r="L2706" s="118" t="s">
        <v>44</v>
      </c>
      <c r="M2706" s="118" t="s">
        <v>237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121"/>
    </row>
    <row r="2707" spans="1:26" ht="15.75" customHeight="1">
      <c r="A2707" s="125" t="str">
        <f>IF(B2707&lt;&gt;"",IF(AND(B2707&gt;=_TM1,B2707&lt;=_TM2,OR(TH!L2707="1111",TH!M2707="1111")),TH!D2707,""),"")</f>
        <v/>
      </c>
      <c r="B2707" s="11">
        <f t="shared" si="218"/>
        <v>12</v>
      </c>
      <c r="C2707" s="115">
        <v>40907</v>
      </c>
      <c r="D2707" s="115" t="s">
        <v>928</v>
      </c>
      <c r="E2707" s="115">
        <v>40907</v>
      </c>
      <c r="F2707" s="116" t="s">
        <v>1329</v>
      </c>
      <c r="G2707" s="224" t="s">
        <v>611</v>
      </c>
      <c r="H2707" s="117" t="s">
        <v>709</v>
      </c>
      <c r="I2707" s="141">
        <v>65</v>
      </c>
      <c r="J2707" s="141">
        <v>22324</v>
      </c>
      <c r="K2707" s="238">
        <v>1451060</v>
      </c>
      <c r="L2707" s="118" t="s">
        <v>237</v>
      </c>
      <c r="M2707" s="118" t="s">
        <v>163</v>
      </c>
      <c r="N2707" s="25" t="str">
        <f>IF(AND('331-CT'!$E$7=TH!H2707,OR(L2707="331",M2707="331")),"331",IF(AND(OR(L2707="131",M2707="131"),H2707='131-CT'!$E$7),"131",""))</f>
        <v>131</v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121"/>
    </row>
    <row r="2708" spans="1:26" ht="15.75" customHeight="1">
      <c r="A2708" s="125" t="str">
        <f>IF(B2708&lt;&gt;"",IF(AND(B2708&gt;=_TM1,B2708&lt;=_TM2,OR(TH!L2708="1111",TH!M2708="1111")),TH!D2708,""),"")</f>
        <v/>
      </c>
      <c r="B2708" s="11">
        <f t="shared" si="218"/>
        <v>12</v>
      </c>
      <c r="C2708" s="115">
        <v>40907</v>
      </c>
      <c r="D2708" s="115" t="s">
        <v>928</v>
      </c>
      <c r="E2708" s="115">
        <v>40907</v>
      </c>
      <c r="F2708" s="116" t="s">
        <v>1330</v>
      </c>
      <c r="G2708" s="224" t="s">
        <v>611</v>
      </c>
      <c r="H2708" s="117" t="s">
        <v>709</v>
      </c>
      <c r="I2708" s="141">
        <v>10</v>
      </c>
      <c r="J2708" s="141">
        <v>18984</v>
      </c>
      <c r="K2708" s="238">
        <v>189840</v>
      </c>
      <c r="L2708" s="118" t="s">
        <v>237</v>
      </c>
      <c r="M2708" s="118" t="s">
        <v>163</v>
      </c>
      <c r="N2708" s="25" t="str">
        <f>IF(AND('331-CT'!$E$7=TH!H2708,OR(L2708="331",M2708="331")),"331",IF(AND(OR(L2708="131",M2708="131"),H2708='131-CT'!$E$7),"131",""))</f>
        <v>131</v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121"/>
    </row>
    <row r="2709" spans="1:26" ht="15.75" customHeight="1">
      <c r="A2709" s="125" t="str">
        <f>IF(B2709&lt;&gt;"",IF(AND(B2709&gt;=_TM1,B2709&lt;=_TM2,OR(TH!L2709="1111",TH!M2709="1111")),TH!D2709,""),"")</f>
        <v/>
      </c>
      <c r="B2709" s="11">
        <f t="shared" si="218"/>
        <v>12</v>
      </c>
      <c r="C2709" s="115">
        <v>40907</v>
      </c>
      <c r="D2709" s="115" t="s">
        <v>928</v>
      </c>
      <c r="E2709" s="115">
        <v>40907</v>
      </c>
      <c r="F2709" s="116" t="s">
        <v>1331</v>
      </c>
      <c r="G2709" s="224" t="s">
        <v>611</v>
      </c>
      <c r="H2709" s="117" t="s">
        <v>709</v>
      </c>
      <c r="I2709" s="141">
        <v>106</v>
      </c>
      <c r="J2709" s="141">
        <v>24273</v>
      </c>
      <c r="K2709" s="238">
        <v>2572938</v>
      </c>
      <c r="L2709" s="118" t="s">
        <v>237</v>
      </c>
      <c r="M2709" s="118" t="s">
        <v>163</v>
      </c>
      <c r="N2709" s="25" t="str">
        <f>IF(AND('331-CT'!$E$7=TH!H2709,OR(L2709="331",M2709="331")),"331",IF(AND(OR(L2709="131",M2709="131"),H2709='131-CT'!$E$7),"131",""))</f>
        <v>131</v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121"/>
    </row>
    <row r="2710" spans="1:26" ht="15.75" customHeight="1">
      <c r="A2710" s="125" t="str">
        <f>IF(B2710&lt;&gt;"",IF(AND(B2710&gt;=_TM1,B2710&lt;=_TM2,OR(TH!L2710="1111",TH!M2710="1111")),TH!D2710,""),"")</f>
        <v/>
      </c>
      <c r="B2710" s="11">
        <f t="shared" si="218"/>
        <v>12</v>
      </c>
      <c r="C2710" s="115">
        <v>40907</v>
      </c>
      <c r="D2710" s="115" t="s">
        <v>928</v>
      </c>
      <c r="E2710" s="115">
        <v>40907</v>
      </c>
      <c r="F2710" s="116" t="s">
        <v>1332</v>
      </c>
      <c r="G2710" s="224" t="s">
        <v>611</v>
      </c>
      <c r="H2710" s="117" t="s">
        <v>709</v>
      </c>
      <c r="I2710" s="141">
        <v>76</v>
      </c>
      <c r="J2710" s="141">
        <v>17216</v>
      </c>
      <c r="K2710" s="238">
        <v>1308416</v>
      </c>
      <c r="L2710" s="118" t="s">
        <v>237</v>
      </c>
      <c r="M2710" s="118" t="s">
        <v>163</v>
      </c>
      <c r="N2710" s="25" t="str">
        <f>IF(AND('331-CT'!$E$7=TH!H2710,OR(L2710="331",M2710="331")),"331",IF(AND(OR(L2710="131",M2710="131"),H2710='131-CT'!$E$7),"131",""))</f>
        <v>131</v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121"/>
    </row>
    <row r="2711" spans="1:26" ht="15.75" customHeight="1">
      <c r="A2711" s="125" t="str">
        <f>IF(B2711&lt;&gt;"",IF(AND(B2711&gt;=_TM1,B2711&lt;=_TM2,OR(TH!L2711="1111",TH!M2711="1111")),TH!D2711,""),"")</f>
        <v/>
      </c>
      <c r="B2711" s="11">
        <f t="shared" si="218"/>
        <v>12</v>
      </c>
      <c r="C2711" s="115">
        <v>40907</v>
      </c>
      <c r="D2711" s="115" t="s">
        <v>928</v>
      </c>
      <c r="E2711" s="115">
        <v>40907</v>
      </c>
      <c r="F2711" s="116" t="s">
        <v>1309</v>
      </c>
      <c r="G2711" s="224" t="s">
        <v>611</v>
      </c>
      <c r="H2711" s="117" t="s">
        <v>709</v>
      </c>
      <c r="I2711" s="141">
        <v>208</v>
      </c>
      <c r="J2711" s="141">
        <v>23012</v>
      </c>
      <c r="K2711" s="238">
        <v>4786496</v>
      </c>
      <c r="L2711" s="118" t="s">
        <v>237</v>
      </c>
      <c r="M2711" s="118" t="s">
        <v>163</v>
      </c>
      <c r="N2711" s="25" t="str">
        <f>IF(AND('331-CT'!$E$7=TH!H2711,OR(L2711="331",M2711="331")),"331",IF(AND(OR(L2711="131",M2711="131"),H2711='131-CT'!$E$7),"131",""))</f>
        <v>131</v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121"/>
    </row>
    <row r="2712" spans="1:26" ht="15.75" customHeight="1">
      <c r="A2712" s="125" t="str">
        <f>IF(B2712&lt;&gt;"",IF(AND(B2712&gt;=_TM1,B2712&lt;=_TM2,OR(TH!L2712="1111",TH!M2712="1111")),TH!D2712,""),"")</f>
        <v/>
      </c>
      <c r="B2712" s="11">
        <f t="shared" si="218"/>
        <v>12</v>
      </c>
      <c r="C2712" s="115">
        <v>40907</v>
      </c>
      <c r="D2712" s="115" t="s">
        <v>928</v>
      </c>
      <c r="E2712" s="115">
        <v>40907</v>
      </c>
      <c r="F2712" s="116" t="s">
        <v>1333</v>
      </c>
      <c r="G2712" s="224" t="s">
        <v>611</v>
      </c>
      <c r="H2712" s="117" t="s">
        <v>709</v>
      </c>
      <c r="I2712" s="141">
        <v>1</v>
      </c>
      <c r="J2712" s="141">
        <v>10643</v>
      </c>
      <c r="K2712" s="238">
        <v>10643</v>
      </c>
      <c r="L2712" s="118" t="s">
        <v>237</v>
      </c>
      <c r="M2712" s="118" t="s">
        <v>163</v>
      </c>
      <c r="N2712" s="25" t="str">
        <f>IF(AND('331-CT'!$E$7=TH!H2712,OR(L2712="331",M2712="331")),"331",IF(AND(OR(L2712="131",M2712="131"),H2712='131-CT'!$E$7),"131",""))</f>
        <v>131</v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121"/>
    </row>
    <row r="2713" spans="1:26" ht="15.75" customHeight="1">
      <c r="A2713" s="125" t="str">
        <f>IF(B2713&lt;&gt;"",IF(AND(B2713&gt;=_TM1,B2713&lt;=_TM2,OR(TH!L2713="1111",TH!M2713="1111")),TH!D2713,""),"")</f>
        <v/>
      </c>
      <c r="B2713" s="11">
        <f t="shared" si="218"/>
        <v>12</v>
      </c>
      <c r="C2713" s="115">
        <v>40907</v>
      </c>
      <c r="D2713" s="115" t="s">
        <v>928</v>
      </c>
      <c r="E2713" s="115">
        <v>40907</v>
      </c>
      <c r="F2713" s="116" t="s">
        <v>1334</v>
      </c>
      <c r="G2713" s="224" t="s">
        <v>611</v>
      </c>
      <c r="H2713" s="117" t="s">
        <v>709</v>
      </c>
      <c r="I2713" s="141">
        <v>12</v>
      </c>
      <c r="J2713" s="141">
        <v>14530</v>
      </c>
      <c r="K2713" s="238">
        <v>174360</v>
      </c>
      <c r="L2713" s="118" t="s">
        <v>237</v>
      </c>
      <c r="M2713" s="118" t="s">
        <v>163</v>
      </c>
      <c r="N2713" s="25" t="str">
        <f>IF(AND('331-CT'!$E$7=TH!H2713,OR(L2713="331",M2713="331")),"331",IF(AND(OR(L2713="131",M2713="131"),H2713='131-CT'!$E$7),"131",""))</f>
        <v>131</v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121"/>
    </row>
    <row r="2714" spans="1:26" ht="15.75" customHeight="1">
      <c r="A2714" s="125" t="str">
        <f>IF(B2714&lt;&gt;"",IF(AND(B2714&gt;=_TM1,B2714&lt;=_TM2,OR(TH!L2714="1111",TH!M2714="1111")),TH!D2714,""),"")</f>
        <v/>
      </c>
      <c r="B2714" s="11">
        <f t="shared" si="218"/>
        <v>12</v>
      </c>
      <c r="C2714" s="115">
        <v>40907</v>
      </c>
      <c r="D2714" s="115" t="s">
        <v>928</v>
      </c>
      <c r="E2714" s="115">
        <v>40907</v>
      </c>
      <c r="F2714" s="116" t="s">
        <v>880</v>
      </c>
      <c r="G2714" s="224" t="s">
        <v>611</v>
      </c>
      <c r="H2714" s="117" t="s">
        <v>709</v>
      </c>
      <c r="I2714" s="141">
        <v>91</v>
      </c>
      <c r="J2714" s="141">
        <v>11840</v>
      </c>
      <c r="K2714" s="238">
        <v>1077440</v>
      </c>
      <c r="L2714" s="118" t="s">
        <v>237</v>
      </c>
      <c r="M2714" s="118" t="s">
        <v>163</v>
      </c>
      <c r="N2714" s="25" t="str">
        <f>IF(AND('331-CT'!$E$7=TH!H2714,OR(L2714="331",M2714="331")),"331",IF(AND(OR(L2714="131",M2714="131"),H2714='131-CT'!$E$7),"131",""))</f>
        <v>131</v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121"/>
    </row>
    <row r="2715" spans="1:26" ht="15.75" customHeight="1">
      <c r="A2715" s="125" t="str">
        <f>IF(B2715&lt;&gt;"",IF(AND(B2715&gt;=_TM1,B2715&lt;=_TM2,OR(TH!L2715="1111",TH!M2715="1111")),TH!D2715,""),"")</f>
        <v/>
      </c>
      <c r="B2715" s="11">
        <f t="shared" si="218"/>
        <v>12</v>
      </c>
      <c r="C2715" s="115">
        <v>40907</v>
      </c>
      <c r="D2715" s="115" t="s">
        <v>928</v>
      </c>
      <c r="E2715" s="115">
        <v>40907</v>
      </c>
      <c r="F2715" s="116" t="s">
        <v>1335</v>
      </c>
      <c r="G2715" s="224" t="s">
        <v>611</v>
      </c>
      <c r="H2715" s="117" t="s">
        <v>709</v>
      </c>
      <c r="I2715" s="141">
        <v>1140</v>
      </c>
      <c r="J2715" s="141">
        <v>1310</v>
      </c>
      <c r="K2715" s="238">
        <v>1493400</v>
      </c>
      <c r="L2715" s="118" t="s">
        <v>237</v>
      </c>
      <c r="M2715" s="118" t="s">
        <v>163</v>
      </c>
      <c r="N2715" s="25" t="str">
        <f>IF(AND('331-CT'!$E$7=TH!H2715,OR(L2715="331",M2715="331")),"331",IF(AND(OR(L2715="131",M2715="131"),H2715='131-CT'!$E$7),"131",""))</f>
        <v>131</v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121"/>
    </row>
    <row r="2716" spans="1:26" ht="15.75" customHeight="1">
      <c r="A2716" s="125" t="str">
        <f>IF(B2716&lt;&gt;"",IF(AND(B2716&gt;=_TM1,B2716&lt;=_TM2,OR(TH!L2716="1111",TH!M2716="1111")),TH!D2716,""),"")</f>
        <v/>
      </c>
      <c r="B2716" s="11">
        <f t="shared" si="218"/>
        <v>12</v>
      </c>
      <c r="C2716" s="115">
        <v>40907</v>
      </c>
      <c r="D2716" s="115" t="s">
        <v>928</v>
      </c>
      <c r="E2716" s="115">
        <v>40907</v>
      </c>
      <c r="F2716" s="116" t="s">
        <v>1326</v>
      </c>
      <c r="G2716" s="224" t="s">
        <v>611</v>
      </c>
      <c r="H2716" s="117" t="s">
        <v>709</v>
      </c>
      <c r="I2716" s="141">
        <v>1140</v>
      </c>
      <c r="J2716" s="141">
        <v>1556</v>
      </c>
      <c r="K2716" s="238">
        <v>1773840</v>
      </c>
      <c r="L2716" s="118" t="s">
        <v>237</v>
      </c>
      <c r="M2716" s="118" t="s">
        <v>163</v>
      </c>
      <c r="N2716" s="25" t="str">
        <f>IF(AND('331-CT'!$E$7=TH!H2716,OR(L2716="331",M2716="331")),"331",IF(AND(OR(L2716="131",M2716="131"),H2716='131-CT'!$E$7),"131",""))</f>
        <v>131</v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121"/>
    </row>
    <row r="2717" spans="1:26" ht="15.75" customHeight="1">
      <c r="A2717" s="125" t="str">
        <f>IF(B2717&lt;&gt;"",IF(AND(B2717&gt;=_TM1,B2717&lt;=_TM2,OR(TH!L2717="1111",TH!M2717="1111")),TH!D2717,""),"")</f>
        <v/>
      </c>
      <c r="B2717" s="11">
        <f t="shared" ref="B2717:B2780" si="221">IF(C2717&lt;&gt;"",MONTH(C2717),"")</f>
        <v>12</v>
      </c>
      <c r="C2717" s="115">
        <v>40907</v>
      </c>
      <c r="D2717" s="115" t="s">
        <v>928</v>
      </c>
      <c r="E2717" s="115">
        <v>40907</v>
      </c>
      <c r="F2717" s="116" t="s">
        <v>1304</v>
      </c>
      <c r="G2717" s="224" t="s">
        <v>611</v>
      </c>
      <c r="H2717" s="117" t="s">
        <v>709</v>
      </c>
      <c r="I2717" s="141">
        <v>1</v>
      </c>
      <c r="J2717" s="141">
        <v>18928</v>
      </c>
      <c r="K2717" s="238">
        <v>18928</v>
      </c>
      <c r="L2717" s="118" t="s">
        <v>237</v>
      </c>
      <c r="M2717" s="118" t="s">
        <v>163</v>
      </c>
      <c r="N2717" s="25" t="str">
        <f>IF(AND('331-CT'!$E$7=TH!H2717,OR(L2717="331",M2717="331")),"331",IF(AND(OR(L2717="131",M2717="131"),H2717='131-CT'!$E$7),"131",""))</f>
        <v>131</v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121"/>
    </row>
    <row r="2718" spans="1:26" ht="15.75" customHeight="1">
      <c r="A2718" s="125" t="str">
        <f>IF(B2718&lt;&gt;"",IF(AND(B2718&gt;=_TM1,B2718&lt;=_TM2,OR(TH!L2718="1111",TH!M2718="1111")),TH!D2718,""),"")</f>
        <v/>
      </c>
      <c r="B2718" s="11">
        <f t="shared" si="221"/>
        <v>12</v>
      </c>
      <c r="C2718" s="115">
        <v>40907</v>
      </c>
      <c r="D2718" s="115" t="s">
        <v>928</v>
      </c>
      <c r="E2718" s="115">
        <v>40907</v>
      </c>
      <c r="F2718" s="116" t="s">
        <v>1336</v>
      </c>
      <c r="G2718" s="224" t="s">
        <v>611</v>
      </c>
      <c r="H2718" s="117" t="s">
        <v>709</v>
      </c>
      <c r="I2718" s="141">
        <v>7</v>
      </c>
      <c r="J2718" s="141">
        <v>17667</v>
      </c>
      <c r="K2718" s="238">
        <v>123669</v>
      </c>
      <c r="L2718" s="118" t="s">
        <v>237</v>
      </c>
      <c r="M2718" s="118" t="s">
        <v>163</v>
      </c>
      <c r="N2718" s="25" t="str">
        <f>IF(AND('331-CT'!$E$7=TH!H2718,OR(L2718="331",M2718="331")),"331",IF(AND(OR(L2718="131",M2718="131"),H2718='131-CT'!$E$7),"131",""))</f>
        <v>131</v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121"/>
    </row>
    <row r="2719" spans="1:26" ht="15.75" customHeight="1">
      <c r="A2719" s="125" t="str">
        <f>IF(B2719&lt;&gt;"",IF(AND(B2719&gt;=_TM1,B2719&lt;=_TM2,OR(TH!L2719="1111",TH!M2719="1111")),TH!D2719,""),"")</f>
        <v/>
      </c>
      <c r="B2719" s="11">
        <f t="shared" si="221"/>
        <v>12</v>
      </c>
      <c r="C2719" s="115">
        <v>40907</v>
      </c>
      <c r="D2719" s="115" t="s">
        <v>928</v>
      </c>
      <c r="E2719" s="115">
        <v>40907</v>
      </c>
      <c r="F2719" s="116" t="s">
        <v>1309</v>
      </c>
      <c r="G2719" s="224" t="s">
        <v>611</v>
      </c>
      <c r="H2719" s="117" t="s">
        <v>709</v>
      </c>
      <c r="I2719" s="141">
        <v>20</v>
      </c>
      <c r="J2719" s="141">
        <v>23117</v>
      </c>
      <c r="K2719" s="238">
        <v>462340</v>
      </c>
      <c r="L2719" s="118" t="s">
        <v>237</v>
      </c>
      <c r="M2719" s="118" t="s">
        <v>163</v>
      </c>
      <c r="N2719" s="25" t="str">
        <f>IF(AND('331-CT'!$E$7=TH!H2719,OR(L2719="331",M2719="331")),"331",IF(AND(OR(L2719="131",M2719="131"),H2719='131-CT'!$E$7),"131",""))</f>
        <v>131</v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121"/>
    </row>
    <row r="2720" spans="1:26" ht="15.75" customHeight="1">
      <c r="A2720" s="125" t="str">
        <f>IF(B2720&lt;&gt;"",IF(AND(B2720&gt;=_TM1,B2720&lt;=_TM2,OR(TH!L2720="1111",TH!M2720="1111")),TH!D2720,""),"")</f>
        <v/>
      </c>
      <c r="B2720" s="11">
        <f t="shared" si="221"/>
        <v>12</v>
      </c>
      <c r="C2720" s="115">
        <v>40907</v>
      </c>
      <c r="D2720" s="115" t="s">
        <v>928</v>
      </c>
      <c r="E2720" s="115">
        <v>40907</v>
      </c>
      <c r="F2720" s="116" t="s">
        <v>1337</v>
      </c>
      <c r="G2720" s="224" t="s">
        <v>611</v>
      </c>
      <c r="H2720" s="117" t="s">
        <v>709</v>
      </c>
      <c r="I2720" s="141">
        <v>10</v>
      </c>
      <c r="J2720" s="141">
        <v>19203</v>
      </c>
      <c r="K2720" s="238">
        <v>192030</v>
      </c>
      <c r="L2720" s="118" t="s">
        <v>237</v>
      </c>
      <c r="M2720" s="118" t="s">
        <v>163</v>
      </c>
      <c r="N2720" s="25" t="str">
        <f>IF(AND('331-CT'!$E$7=TH!H2720,OR(L2720="331",M2720="331")),"331",IF(AND(OR(L2720="131",M2720="131"),H2720='131-CT'!$E$7),"131",""))</f>
        <v>131</v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121"/>
    </row>
    <row r="2721" spans="1:26" ht="15.75" customHeight="1">
      <c r="A2721" s="125" t="str">
        <f>IF(B2721&lt;&gt;"",IF(AND(B2721&gt;=_TM1,B2721&lt;=_TM2,OR(TH!L2721="1111",TH!M2721="1111")),TH!D2721,""),"")</f>
        <v/>
      </c>
      <c r="B2721" s="11">
        <f t="shared" si="221"/>
        <v>12</v>
      </c>
      <c r="C2721" s="115">
        <v>40907</v>
      </c>
      <c r="D2721" s="115" t="s">
        <v>928</v>
      </c>
      <c r="E2721" s="115">
        <v>40907</v>
      </c>
      <c r="F2721" s="116" t="s">
        <v>1121</v>
      </c>
      <c r="G2721" s="224" t="s">
        <v>611</v>
      </c>
      <c r="H2721" s="117" t="s">
        <v>709</v>
      </c>
      <c r="I2721" s="141"/>
      <c r="J2721" s="141"/>
      <c r="K2721" s="238">
        <v>1563540</v>
      </c>
      <c r="L2721" s="118" t="s">
        <v>237</v>
      </c>
      <c r="M2721" s="118" t="s">
        <v>707</v>
      </c>
      <c r="N2721" s="25" t="str">
        <f>IF(AND('331-CT'!$E$7=TH!H2721,OR(L2721="331",M2721="331")),"331",IF(AND(OR(L2721="131",M2721="131"),H2721='131-CT'!$E$7),"131",""))</f>
        <v>131</v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121"/>
    </row>
    <row r="2722" spans="1:26" ht="15.75" customHeight="1">
      <c r="A2722" s="125" t="str">
        <f>IF(B2722&lt;&gt;"",IF(AND(B2722&gt;=_TM1,B2722&lt;=_TM2,OR(TH!L2722="1111",TH!M2722="1111")),TH!D2722,""),"")</f>
        <v/>
      </c>
      <c r="B2722" s="11">
        <f t="shared" si="221"/>
        <v>12</v>
      </c>
      <c r="C2722" s="115">
        <v>40907</v>
      </c>
      <c r="D2722" s="115" t="s">
        <v>929</v>
      </c>
      <c r="E2722" s="115">
        <v>40907</v>
      </c>
      <c r="F2722" s="116" t="s">
        <v>1255</v>
      </c>
      <c r="G2722" s="224" t="s">
        <v>1338</v>
      </c>
      <c r="H2722" s="117" t="s">
        <v>709</v>
      </c>
      <c r="I2722" s="141">
        <v>2</v>
      </c>
      <c r="J2722" s="141">
        <v>16215</v>
      </c>
      <c r="K2722" s="238">
        <v>32430</v>
      </c>
      <c r="L2722" s="118" t="s">
        <v>237</v>
      </c>
      <c r="M2722" s="118" t="s">
        <v>163</v>
      </c>
      <c r="N2722" s="25" t="str">
        <f>IF(AND('331-CT'!$E$7=TH!H2722,OR(L2722="331",M2722="331")),"331",IF(AND(OR(L2722="131",M2722="131"),H2722='131-CT'!$E$7),"131",""))</f>
        <v>131</v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121"/>
    </row>
    <row r="2723" spans="1:26" ht="15.75" customHeight="1">
      <c r="A2723" s="125" t="str">
        <f>IF(B2723&lt;&gt;"",IF(AND(B2723&gt;=_TM1,B2723&lt;=_TM2,OR(TH!L2723="1111",TH!M2723="1111")),TH!D2723,""),"")</f>
        <v/>
      </c>
      <c r="B2723" s="11">
        <f t="shared" si="221"/>
        <v>12</v>
      </c>
      <c r="C2723" s="115">
        <v>40907</v>
      </c>
      <c r="D2723" s="115" t="s">
        <v>929</v>
      </c>
      <c r="E2723" s="115">
        <v>40907</v>
      </c>
      <c r="F2723" s="116" t="s">
        <v>1309</v>
      </c>
      <c r="G2723" s="224" t="s">
        <v>1338</v>
      </c>
      <c r="H2723" s="117" t="s">
        <v>709</v>
      </c>
      <c r="I2723" s="141">
        <v>108</v>
      </c>
      <c r="J2723" s="141">
        <v>23012</v>
      </c>
      <c r="K2723" s="238">
        <v>2485296</v>
      </c>
      <c r="L2723" s="118" t="s">
        <v>237</v>
      </c>
      <c r="M2723" s="118" t="s">
        <v>163</v>
      </c>
      <c r="N2723" s="25" t="str">
        <f>IF(AND('331-CT'!$E$7=TH!H2723,OR(L2723="331",M2723="331")),"331",IF(AND(OR(L2723="131",M2723="131"),H2723='131-CT'!$E$7),"131",""))</f>
        <v>131</v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121"/>
    </row>
    <row r="2724" spans="1:26" ht="15.75" customHeight="1">
      <c r="A2724" s="125" t="str">
        <f>IF(B2724&lt;&gt;"",IF(AND(B2724&gt;=_TM1,B2724&lt;=_TM2,OR(TH!L2724="1111",TH!M2724="1111")),TH!D2724,""),"")</f>
        <v/>
      </c>
      <c r="B2724" s="11">
        <f t="shared" si="221"/>
        <v>12</v>
      </c>
      <c r="C2724" s="115">
        <v>40907</v>
      </c>
      <c r="D2724" s="115" t="s">
        <v>929</v>
      </c>
      <c r="E2724" s="115">
        <v>40907</v>
      </c>
      <c r="F2724" s="116" t="s">
        <v>1336</v>
      </c>
      <c r="G2724" s="224" t="s">
        <v>1338</v>
      </c>
      <c r="H2724" s="117" t="s">
        <v>709</v>
      </c>
      <c r="I2724" s="141">
        <v>2</v>
      </c>
      <c r="J2724" s="141">
        <v>17667</v>
      </c>
      <c r="K2724" s="238">
        <v>35334</v>
      </c>
      <c r="L2724" s="118" t="s">
        <v>237</v>
      </c>
      <c r="M2724" s="118" t="s">
        <v>163</v>
      </c>
      <c r="N2724" s="25" t="str">
        <f>IF(AND('331-CT'!$E$7=TH!H2724,OR(L2724="331",M2724="331")),"331",IF(AND(OR(L2724="131",M2724="131"),H2724='131-CT'!$E$7),"131",""))</f>
        <v>131</v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121"/>
    </row>
    <row r="2725" spans="1:26" ht="15.75" customHeight="1">
      <c r="A2725" s="125" t="str">
        <f>IF(B2725&lt;&gt;"",IF(AND(B2725&gt;=_TM1,B2725&lt;=_TM2,OR(TH!L2725="1111",TH!M2725="1111")),TH!D2725,""),"")</f>
        <v/>
      </c>
      <c r="B2725" s="11">
        <f t="shared" si="221"/>
        <v>12</v>
      </c>
      <c r="C2725" s="115">
        <v>40907</v>
      </c>
      <c r="D2725" s="115" t="s">
        <v>929</v>
      </c>
      <c r="E2725" s="115">
        <v>40907</v>
      </c>
      <c r="F2725" s="116" t="s">
        <v>1339</v>
      </c>
      <c r="G2725" s="224" t="s">
        <v>1338</v>
      </c>
      <c r="H2725" s="117" t="s">
        <v>709</v>
      </c>
      <c r="I2725" s="141">
        <v>3</v>
      </c>
      <c r="J2725" s="141">
        <v>10778</v>
      </c>
      <c r="K2725" s="238">
        <v>32334</v>
      </c>
      <c r="L2725" s="118" t="s">
        <v>237</v>
      </c>
      <c r="M2725" s="118" t="s">
        <v>163</v>
      </c>
      <c r="N2725" s="25" t="str">
        <f>IF(AND('331-CT'!$E$7=TH!H2725,OR(L2725="331",M2725="331")),"331",IF(AND(OR(L2725="131",M2725="131"),H2725='131-CT'!$E$7),"131",""))</f>
        <v>131</v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121"/>
    </row>
    <row r="2726" spans="1:26" ht="15.75" customHeight="1">
      <c r="A2726" s="125" t="str">
        <f>IF(B2726&lt;&gt;"",IF(AND(B2726&gt;=_TM1,B2726&lt;=_TM2,OR(TH!L2726="1111",TH!M2726="1111")),TH!D2726,""),"")</f>
        <v/>
      </c>
      <c r="B2726" s="11">
        <f t="shared" si="221"/>
        <v>12</v>
      </c>
      <c r="C2726" s="115">
        <v>40907</v>
      </c>
      <c r="D2726" s="115" t="s">
        <v>929</v>
      </c>
      <c r="E2726" s="115">
        <v>40907</v>
      </c>
      <c r="F2726" s="116" t="s">
        <v>1340</v>
      </c>
      <c r="G2726" s="224" t="s">
        <v>1338</v>
      </c>
      <c r="H2726" s="117" t="s">
        <v>709</v>
      </c>
      <c r="I2726" s="141">
        <v>2</v>
      </c>
      <c r="J2726" s="141">
        <v>18002</v>
      </c>
      <c r="K2726" s="238">
        <v>36004</v>
      </c>
      <c r="L2726" s="118" t="s">
        <v>237</v>
      </c>
      <c r="M2726" s="118" t="s">
        <v>163</v>
      </c>
      <c r="N2726" s="25" t="str">
        <f>IF(AND('331-CT'!$E$7=TH!H2726,OR(L2726="331",M2726="331")),"331",IF(AND(OR(L2726="131",M2726="131"),H2726='131-CT'!$E$7),"131",""))</f>
        <v>131</v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121"/>
    </row>
    <row r="2727" spans="1:26" ht="15.75" customHeight="1">
      <c r="A2727" s="125" t="str">
        <f>IF(B2727&lt;&gt;"",IF(AND(B2727&gt;=_TM1,B2727&lt;=_TM2,OR(TH!L2727="1111",TH!M2727="1111")),TH!D2727,""),"")</f>
        <v/>
      </c>
      <c r="B2727" s="11">
        <f t="shared" si="221"/>
        <v>12</v>
      </c>
      <c r="C2727" s="115">
        <v>40907</v>
      </c>
      <c r="D2727" s="115" t="s">
        <v>929</v>
      </c>
      <c r="E2727" s="115">
        <v>40907</v>
      </c>
      <c r="F2727" s="116" t="s">
        <v>1254</v>
      </c>
      <c r="G2727" s="224" t="s">
        <v>1338</v>
      </c>
      <c r="H2727" s="117" t="s">
        <v>709</v>
      </c>
      <c r="I2727" s="141">
        <v>4</v>
      </c>
      <c r="J2727" s="141">
        <v>11987</v>
      </c>
      <c r="K2727" s="238">
        <v>47948</v>
      </c>
      <c r="L2727" s="118" t="s">
        <v>237</v>
      </c>
      <c r="M2727" s="118" t="s">
        <v>163</v>
      </c>
      <c r="N2727" s="25" t="str">
        <f>IF(AND('331-CT'!$E$7=TH!H2727,OR(L2727="331",M2727="331")),"331",IF(AND(OR(L2727="131",M2727="131"),H2727='131-CT'!$E$7),"131",""))</f>
        <v>131</v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121"/>
    </row>
    <row r="2728" spans="1:26" ht="15.75" customHeight="1">
      <c r="A2728" s="125" t="str">
        <f>IF(B2728&lt;&gt;"",IF(AND(B2728&gt;=_TM1,B2728&lt;=_TM2,OR(TH!L2728="1111",TH!M2728="1111")),TH!D2728,""),"")</f>
        <v/>
      </c>
      <c r="B2728" s="11">
        <f t="shared" si="221"/>
        <v>12</v>
      </c>
      <c r="C2728" s="115">
        <v>40907</v>
      </c>
      <c r="D2728" s="115" t="s">
        <v>929</v>
      </c>
      <c r="E2728" s="115">
        <v>40907</v>
      </c>
      <c r="F2728" s="116" t="s">
        <v>1257</v>
      </c>
      <c r="G2728" s="224" t="s">
        <v>1338</v>
      </c>
      <c r="H2728" s="117" t="s">
        <v>709</v>
      </c>
      <c r="I2728" s="141">
        <v>2</v>
      </c>
      <c r="J2728" s="141">
        <v>14798</v>
      </c>
      <c r="K2728" s="238">
        <v>29596</v>
      </c>
      <c r="L2728" s="118" t="s">
        <v>237</v>
      </c>
      <c r="M2728" s="118" t="s">
        <v>163</v>
      </c>
      <c r="N2728" s="25" t="str">
        <f>IF(AND('331-CT'!$E$7=TH!H2728,OR(L2728="331",M2728="331")),"331",IF(AND(OR(L2728="131",M2728="131"),H2728='131-CT'!$E$7),"131",""))</f>
        <v>131</v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121"/>
    </row>
    <row r="2729" spans="1:26" ht="15.75" customHeight="1">
      <c r="A2729" s="125" t="str">
        <f>IF(B2729&lt;&gt;"",IF(AND(B2729&gt;=_TM1,B2729&lt;=_TM2,OR(TH!L2729="1111",TH!M2729="1111")),TH!D2729,""),"")</f>
        <v/>
      </c>
      <c r="B2729" s="11">
        <f t="shared" si="221"/>
        <v>12</v>
      </c>
      <c r="C2729" s="115">
        <v>40907</v>
      </c>
      <c r="D2729" s="115" t="s">
        <v>929</v>
      </c>
      <c r="E2729" s="115">
        <v>40907</v>
      </c>
      <c r="F2729" s="116" t="s">
        <v>1341</v>
      </c>
      <c r="G2729" s="224" t="s">
        <v>1338</v>
      </c>
      <c r="H2729" s="117" t="s">
        <v>709</v>
      </c>
      <c r="I2729" s="141">
        <v>1</v>
      </c>
      <c r="J2729" s="141">
        <v>13310</v>
      </c>
      <c r="K2729" s="238">
        <v>13310</v>
      </c>
      <c r="L2729" s="118" t="s">
        <v>237</v>
      </c>
      <c r="M2729" s="118" t="s">
        <v>163</v>
      </c>
      <c r="N2729" s="25" t="str">
        <f>IF(AND('331-CT'!$E$7=TH!H2729,OR(L2729="331",M2729="331")),"331",IF(AND(OR(L2729="131",M2729="131"),H2729='131-CT'!$E$7),"131",""))</f>
        <v>131</v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121"/>
    </row>
    <row r="2730" spans="1:26" ht="15.75" customHeight="1">
      <c r="A2730" s="125" t="str">
        <f>IF(B2730&lt;&gt;"",IF(AND(B2730&gt;=_TM1,B2730&lt;=_TM2,OR(TH!L2730="1111",TH!M2730="1111")),TH!D2730,""),"")</f>
        <v/>
      </c>
      <c r="B2730" s="11">
        <f t="shared" si="221"/>
        <v>12</v>
      </c>
      <c r="C2730" s="115">
        <v>40907</v>
      </c>
      <c r="D2730" s="115" t="s">
        <v>929</v>
      </c>
      <c r="E2730" s="115">
        <v>40907</v>
      </c>
      <c r="F2730" s="116" t="s">
        <v>1332</v>
      </c>
      <c r="G2730" s="224" t="s">
        <v>1338</v>
      </c>
      <c r="H2730" s="117" t="s">
        <v>709</v>
      </c>
      <c r="I2730" s="141">
        <v>1</v>
      </c>
      <c r="J2730" s="141">
        <v>17216</v>
      </c>
      <c r="K2730" s="238">
        <v>17216</v>
      </c>
      <c r="L2730" s="118" t="s">
        <v>237</v>
      </c>
      <c r="M2730" s="118" t="s">
        <v>163</v>
      </c>
      <c r="N2730" s="25" t="str">
        <f>IF(AND('331-CT'!$E$7=TH!H2730,OR(L2730="331",M2730="331")),"331",IF(AND(OR(L2730="131",M2730="131"),H2730='131-CT'!$E$7),"131",""))</f>
        <v>131</v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121"/>
    </row>
    <row r="2731" spans="1:26" ht="15.75" customHeight="1">
      <c r="A2731" s="125" t="str">
        <f>IF(B2731&lt;&gt;"",IF(AND(B2731&gt;=_TM1,B2731&lt;=_TM2,OR(TH!L2731="1111",TH!M2731="1111")),TH!D2731,""),"")</f>
        <v/>
      </c>
      <c r="B2731" s="11">
        <f t="shared" si="221"/>
        <v>12</v>
      </c>
      <c r="C2731" s="115">
        <v>40907</v>
      </c>
      <c r="D2731" s="115" t="s">
        <v>929</v>
      </c>
      <c r="E2731" s="115">
        <v>40907</v>
      </c>
      <c r="F2731" s="116" t="s">
        <v>1342</v>
      </c>
      <c r="G2731" s="224" t="s">
        <v>1338</v>
      </c>
      <c r="H2731" s="117" t="s">
        <v>709</v>
      </c>
      <c r="I2731" s="141">
        <v>2</v>
      </c>
      <c r="J2731" s="141">
        <v>15261</v>
      </c>
      <c r="K2731" s="238">
        <v>30522</v>
      </c>
      <c r="L2731" s="118" t="s">
        <v>237</v>
      </c>
      <c r="M2731" s="118" t="s">
        <v>163</v>
      </c>
      <c r="N2731" s="25" t="str">
        <f>IF(AND('331-CT'!$E$7=TH!H2731,OR(L2731="331",M2731="331")),"331",IF(AND(OR(L2731="131",M2731="131"),H2731='131-CT'!$E$7),"131",""))</f>
        <v>131</v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121"/>
    </row>
    <row r="2732" spans="1:26" ht="15.75" customHeight="1">
      <c r="A2732" s="125" t="str">
        <f>IF(B2732&lt;&gt;"",IF(AND(B2732&gt;=_TM1,B2732&lt;=_TM2,OR(TH!L2732="1111",TH!M2732="1111")),TH!D2732,""),"")</f>
        <v/>
      </c>
      <c r="B2732" s="11">
        <f t="shared" si="221"/>
        <v>12</v>
      </c>
      <c r="C2732" s="115">
        <v>40907</v>
      </c>
      <c r="D2732" s="115" t="s">
        <v>929</v>
      </c>
      <c r="E2732" s="115">
        <v>40907</v>
      </c>
      <c r="F2732" s="116" t="s">
        <v>720</v>
      </c>
      <c r="G2732" s="224" t="s">
        <v>1338</v>
      </c>
      <c r="H2732" s="117" t="s">
        <v>709</v>
      </c>
      <c r="I2732" s="141">
        <v>1</v>
      </c>
      <c r="J2732" s="141">
        <v>14462</v>
      </c>
      <c r="K2732" s="238">
        <v>14462</v>
      </c>
      <c r="L2732" s="118" t="s">
        <v>237</v>
      </c>
      <c r="M2732" s="118" t="s">
        <v>163</v>
      </c>
      <c r="N2732" s="25" t="str">
        <f>IF(AND('331-CT'!$E$7=TH!H2732,OR(L2732="331",M2732="331")),"331",IF(AND(OR(L2732="131",M2732="131"),H2732='131-CT'!$E$7),"131",""))</f>
        <v>131</v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121"/>
    </row>
    <row r="2733" spans="1:26" ht="15.75" customHeight="1">
      <c r="A2733" s="125" t="str">
        <f>IF(B2733&lt;&gt;"",IF(AND(B2733&gt;=_TM1,B2733&lt;=_TM2,OR(TH!L2733="1111",TH!M2733="1111")),TH!D2733,""),"")</f>
        <v/>
      </c>
      <c r="B2733" s="11">
        <f t="shared" si="221"/>
        <v>12</v>
      </c>
      <c r="C2733" s="115">
        <v>40907</v>
      </c>
      <c r="D2733" s="115" t="s">
        <v>929</v>
      </c>
      <c r="E2733" s="115">
        <v>40907</v>
      </c>
      <c r="F2733" s="116" t="s">
        <v>1343</v>
      </c>
      <c r="G2733" s="224" t="s">
        <v>1338</v>
      </c>
      <c r="H2733" s="117" t="s">
        <v>709</v>
      </c>
      <c r="I2733" s="141">
        <v>1</v>
      </c>
      <c r="J2733" s="141">
        <v>16025</v>
      </c>
      <c r="K2733" s="238">
        <v>16025</v>
      </c>
      <c r="L2733" s="118" t="s">
        <v>237</v>
      </c>
      <c r="M2733" s="118" t="s">
        <v>163</v>
      </c>
      <c r="N2733" s="25" t="str">
        <f>IF(AND('331-CT'!$E$7=TH!H2733,OR(L2733="331",M2733="331")),"331",IF(AND(OR(L2733="131",M2733="131"),H2733='131-CT'!$E$7),"131",""))</f>
        <v>131</v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121"/>
    </row>
    <row r="2734" spans="1:26" ht="15.75" customHeight="1">
      <c r="A2734" s="125" t="str">
        <f>IF(B2734&lt;&gt;"",IF(AND(B2734&gt;=_TM1,B2734&lt;=_TM2,OR(TH!L2734="1111",TH!M2734="1111")),TH!D2734,""),"")</f>
        <v/>
      </c>
      <c r="B2734" s="11">
        <f t="shared" si="221"/>
        <v>12</v>
      </c>
      <c r="C2734" s="115">
        <v>40907</v>
      </c>
      <c r="D2734" s="115" t="s">
        <v>929</v>
      </c>
      <c r="E2734" s="115">
        <v>40907</v>
      </c>
      <c r="F2734" s="116" t="s">
        <v>1344</v>
      </c>
      <c r="G2734" s="224" t="s">
        <v>1338</v>
      </c>
      <c r="H2734" s="117" t="s">
        <v>709</v>
      </c>
      <c r="I2734" s="141">
        <v>1</v>
      </c>
      <c r="J2734" s="141">
        <v>13871</v>
      </c>
      <c r="K2734" s="238">
        <v>13871</v>
      </c>
      <c r="L2734" s="118" t="s">
        <v>237</v>
      </c>
      <c r="M2734" s="118" t="s">
        <v>163</v>
      </c>
      <c r="N2734" s="25" t="str">
        <f>IF(AND('331-CT'!$E$7=TH!H2734,OR(L2734="331",M2734="331")),"331",IF(AND(OR(L2734="131",M2734="131"),H2734='131-CT'!$E$7),"131",""))</f>
        <v>131</v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121"/>
    </row>
    <row r="2735" spans="1:26" ht="15.75" customHeight="1">
      <c r="A2735" s="125" t="str">
        <f>IF(B2735&lt;&gt;"",IF(AND(B2735&gt;=_TM1,B2735&lt;=_TM2,OR(TH!L2735="1111",TH!M2735="1111")),TH!D2735,""),"")</f>
        <v/>
      </c>
      <c r="B2735" s="11">
        <f t="shared" si="221"/>
        <v>12</v>
      </c>
      <c r="C2735" s="115">
        <v>40907</v>
      </c>
      <c r="D2735" s="115" t="s">
        <v>929</v>
      </c>
      <c r="E2735" s="115">
        <v>40907</v>
      </c>
      <c r="F2735" s="116" t="s">
        <v>1345</v>
      </c>
      <c r="G2735" s="224" t="s">
        <v>1338</v>
      </c>
      <c r="H2735" s="117" t="s">
        <v>709</v>
      </c>
      <c r="I2735" s="141">
        <v>1</v>
      </c>
      <c r="J2735" s="141">
        <v>19814</v>
      </c>
      <c r="K2735" s="238">
        <v>19814</v>
      </c>
      <c r="L2735" s="118" t="s">
        <v>237</v>
      </c>
      <c r="M2735" s="118" t="s">
        <v>163</v>
      </c>
      <c r="N2735" s="25" t="str">
        <f>IF(AND('331-CT'!$E$7=TH!H2735,OR(L2735="331",M2735="331")),"331",IF(AND(OR(L2735="131",M2735="131"),H2735='131-CT'!$E$7),"131",""))</f>
        <v>131</v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121"/>
    </row>
    <row r="2736" spans="1:26" ht="15.75" customHeight="1">
      <c r="A2736" s="125" t="str">
        <f>IF(B2736&lt;&gt;"",IF(AND(B2736&gt;=_TM1,B2736&lt;=_TM2,OR(TH!L2736="1111",TH!M2736="1111")),TH!D2736,""),"")</f>
        <v/>
      </c>
      <c r="B2736" s="11">
        <f t="shared" si="221"/>
        <v>12</v>
      </c>
      <c r="C2736" s="115">
        <v>40907</v>
      </c>
      <c r="D2736" s="115" t="s">
        <v>929</v>
      </c>
      <c r="E2736" s="115">
        <v>40907</v>
      </c>
      <c r="F2736" s="116" t="s">
        <v>1305</v>
      </c>
      <c r="G2736" s="224" t="s">
        <v>1338</v>
      </c>
      <c r="H2736" s="117" t="s">
        <v>709</v>
      </c>
      <c r="I2736" s="141">
        <v>11</v>
      </c>
      <c r="J2736" s="141">
        <v>15524</v>
      </c>
      <c r="K2736" s="238">
        <v>170764</v>
      </c>
      <c r="L2736" s="118" t="s">
        <v>237</v>
      </c>
      <c r="M2736" s="118" t="s">
        <v>163</v>
      </c>
      <c r="N2736" s="25" t="str">
        <f>IF(AND('331-CT'!$E$7=TH!H2736,OR(L2736="331",M2736="331")),"331",IF(AND(OR(L2736="131",M2736="131"),H2736='131-CT'!$E$7),"131",""))</f>
        <v>131</v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121"/>
    </row>
    <row r="2737" spans="1:26" ht="15.75" customHeight="1">
      <c r="A2737" s="125" t="str">
        <f>IF(B2737&lt;&gt;"",IF(AND(B2737&gt;=_TM1,B2737&lt;=_TM2,OR(TH!L2737="1111",TH!M2737="1111")),TH!D2737,""),"")</f>
        <v/>
      </c>
      <c r="B2737" s="11">
        <f t="shared" si="221"/>
        <v>12</v>
      </c>
      <c r="C2737" s="115">
        <v>40907</v>
      </c>
      <c r="D2737" s="115" t="s">
        <v>929</v>
      </c>
      <c r="E2737" s="115">
        <v>40907</v>
      </c>
      <c r="F2737" s="116" t="s">
        <v>1306</v>
      </c>
      <c r="G2737" s="224" t="s">
        <v>1338</v>
      </c>
      <c r="H2737" s="117" t="s">
        <v>709</v>
      </c>
      <c r="I2737" s="141">
        <v>260</v>
      </c>
      <c r="J2737" s="141">
        <v>24159</v>
      </c>
      <c r="K2737" s="238">
        <v>6281340</v>
      </c>
      <c r="L2737" s="118" t="s">
        <v>237</v>
      </c>
      <c r="M2737" s="118" t="s">
        <v>163</v>
      </c>
      <c r="N2737" s="25" t="str">
        <f>IF(AND('331-CT'!$E$7=TH!H2737,OR(L2737="331",M2737="331")),"331",IF(AND(OR(L2737="131",M2737="131"),H2737='131-CT'!$E$7),"131",""))</f>
        <v>131</v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121"/>
    </row>
    <row r="2738" spans="1:26" ht="15.75" customHeight="1">
      <c r="A2738" s="125" t="str">
        <f>IF(B2738&lt;&gt;"",IF(AND(B2738&gt;=_TM1,B2738&lt;=_TM2,OR(TH!L2738="1111",TH!M2738="1111")),TH!D2738,""),"")</f>
        <v/>
      </c>
      <c r="B2738" s="11">
        <f t="shared" si="221"/>
        <v>12</v>
      </c>
      <c r="C2738" s="115">
        <v>40907</v>
      </c>
      <c r="D2738" s="115" t="s">
        <v>929</v>
      </c>
      <c r="E2738" s="115">
        <v>40907</v>
      </c>
      <c r="F2738" s="116" t="s">
        <v>1121</v>
      </c>
      <c r="G2738" s="224" t="s">
        <v>1338</v>
      </c>
      <c r="H2738" s="117" t="s">
        <v>709</v>
      </c>
      <c r="I2738" s="141"/>
      <c r="J2738" s="141"/>
      <c r="K2738" s="238">
        <f>927627+1</f>
        <v>927628</v>
      </c>
      <c r="L2738" s="118" t="s">
        <v>237</v>
      </c>
      <c r="M2738" s="118" t="s">
        <v>707</v>
      </c>
      <c r="N2738" s="25" t="str">
        <f>IF(AND('331-CT'!$E$7=TH!H2738,OR(L2738="331",M2738="331")),"331",IF(AND(OR(L2738="131",M2738="131"),H2738='131-CT'!$E$7),"131",""))</f>
        <v>131</v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121"/>
    </row>
    <row r="2739" spans="1:26" ht="15.75" customHeight="1">
      <c r="A2739" s="125" t="str">
        <f>IF(B2739&lt;&gt;"",IF(AND(B2739&gt;=_TM1,B2739&lt;=_TM2,OR(TH!L2739="1111",TH!M2739="1111")),TH!D2739,""),"")</f>
        <v/>
      </c>
      <c r="B2739" s="11">
        <f t="shared" si="221"/>
        <v>12</v>
      </c>
      <c r="C2739" s="115">
        <v>40907</v>
      </c>
      <c r="D2739" s="115" t="s">
        <v>930</v>
      </c>
      <c r="E2739" s="115">
        <v>40907</v>
      </c>
      <c r="F2739" s="116" t="s">
        <v>1274</v>
      </c>
      <c r="G2739" s="224" t="s">
        <v>1346</v>
      </c>
      <c r="H2739" s="117" t="s">
        <v>711</v>
      </c>
      <c r="I2739" s="141">
        <v>50</v>
      </c>
      <c r="J2739" s="141">
        <v>18100</v>
      </c>
      <c r="K2739" s="238">
        <v>905000</v>
      </c>
      <c r="L2739" s="118" t="s">
        <v>237</v>
      </c>
      <c r="M2739" s="118" t="s">
        <v>163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121"/>
    </row>
    <row r="2740" spans="1:26" ht="15.75" customHeight="1">
      <c r="A2740" s="125" t="str">
        <f>IF(B2740&lt;&gt;"",IF(AND(B2740&gt;=_TM1,B2740&lt;=_TM2,OR(TH!L2740="1111",TH!M2740="1111")),TH!D2740,""),"")</f>
        <v/>
      </c>
      <c r="B2740" s="11">
        <f t="shared" si="221"/>
        <v>12</v>
      </c>
      <c r="C2740" s="115">
        <v>40907</v>
      </c>
      <c r="D2740" s="115" t="s">
        <v>930</v>
      </c>
      <c r="E2740" s="115">
        <v>40907</v>
      </c>
      <c r="F2740" s="116" t="s">
        <v>1276</v>
      </c>
      <c r="G2740" s="224" t="s">
        <v>1346</v>
      </c>
      <c r="H2740" s="117" t="s">
        <v>711</v>
      </c>
      <c r="I2740" s="141">
        <v>100</v>
      </c>
      <c r="J2740" s="141">
        <v>23260</v>
      </c>
      <c r="K2740" s="238">
        <v>2326000</v>
      </c>
      <c r="L2740" s="118" t="s">
        <v>237</v>
      </c>
      <c r="M2740" s="118" t="s">
        <v>163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121"/>
    </row>
    <row r="2741" spans="1:26" ht="15.75" customHeight="1">
      <c r="A2741" s="125" t="str">
        <f>IF(B2741&lt;&gt;"",IF(AND(B2741&gt;=_TM1,B2741&lt;=_TM2,OR(TH!L2741="1111",TH!M2741="1111")),TH!D2741,""),"")</f>
        <v/>
      </c>
      <c r="B2741" s="11">
        <f t="shared" si="221"/>
        <v>12</v>
      </c>
      <c r="C2741" s="115">
        <v>40907</v>
      </c>
      <c r="D2741" s="115" t="s">
        <v>930</v>
      </c>
      <c r="E2741" s="115">
        <v>40907</v>
      </c>
      <c r="F2741" s="116" t="s">
        <v>1277</v>
      </c>
      <c r="G2741" s="224" t="s">
        <v>1346</v>
      </c>
      <c r="H2741" s="117" t="s">
        <v>711</v>
      </c>
      <c r="I2741" s="141">
        <v>50</v>
      </c>
      <c r="J2741" s="141">
        <v>20090</v>
      </c>
      <c r="K2741" s="238">
        <v>1004500</v>
      </c>
      <c r="L2741" s="118" t="s">
        <v>237</v>
      </c>
      <c r="M2741" s="118" t="s">
        <v>163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121"/>
    </row>
    <row r="2742" spans="1:26" ht="15.75" customHeight="1">
      <c r="A2742" s="125" t="str">
        <f>IF(B2742&lt;&gt;"",IF(AND(B2742&gt;=_TM1,B2742&lt;=_TM2,OR(TH!L2742="1111",TH!M2742="1111")),TH!D2742,""),"")</f>
        <v/>
      </c>
      <c r="B2742" s="11">
        <f t="shared" si="221"/>
        <v>12</v>
      </c>
      <c r="C2742" s="115">
        <v>40907</v>
      </c>
      <c r="D2742" s="115" t="s">
        <v>930</v>
      </c>
      <c r="E2742" s="115">
        <v>40907</v>
      </c>
      <c r="F2742" s="116" t="s">
        <v>1278</v>
      </c>
      <c r="G2742" s="224" t="s">
        <v>1346</v>
      </c>
      <c r="H2742" s="117" t="s">
        <v>711</v>
      </c>
      <c r="I2742" s="141">
        <v>190</v>
      </c>
      <c r="J2742" s="141">
        <v>18170</v>
      </c>
      <c r="K2742" s="238">
        <v>3452300</v>
      </c>
      <c r="L2742" s="118" t="s">
        <v>237</v>
      </c>
      <c r="M2742" s="118" t="s">
        <v>163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121"/>
    </row>
    <row r="2743" spans="1:26" ht="15.75" customHeight="1">
      <c r="A2743" s="125" t="str">
        <f>IF(B2743&lt;&gt;"",IF(AND(B2743&gt;=_TM1,B2743&lt;=_TM2,OR(TH!L2743="1111",TH!M2743="1111")),TH!D2743,""),"")</f>
        <v/>
      </c>
      <c r="B2743" s="11">
        <f t="shared" si="221"/>
        <v>12</v>
      </c>
      <c r="C2743" s="115">
        <v>40907</v>
      </c>
      <c r="D2743" s="115" t="s">
        <v>930</v>
      </c>
      <c r="E2743" s="115">
        <v>40907</v>
      </c>
      <c r="F2743" s="116" t="s">
        <v>1279</v>
      </c>
      <c r="G2743" s="224" t="s">
        <v>1346</v>
      </c>
      <c r="H2743" s="117" t="s">
        <v>711</v>
      </c>
      <c r="I2743" s="141">
        <v>130</v>
      </c>
      <c r="J2743" s="141">
        <v>19420</v>
      </c>
      <c r="K2743" s="238">
        <v>2524600</v>
      </c>
      <c r="L2743" s="118" t="s">
        <v>237</v>
      </c>
      <c r="M2743" s="118" t="s">
        <v>163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121"/>
    </row>
    <row r="2744" spans="1:26" ht="15.75" customHeight="1">
      <c r="A2744" s="125" t="str">
        <f>IF(B2744&lt;&gt;"",IF(AND(B2744&gt;=_TM1,B2744&lt;=_TM2,OR(TH!L2744="1111",TH!M2744="1111")),TH!D2744,""),"")</f>
        <v/>
      </c>
      <c r="B2744" s="11">
        <f t="shared" si="221"/>
        <v>12</v>
      </c>
      <c r="C2744" s="115">
        <v>40907</v>
      </c>
      <c r="D2744" s="115" t="s">
        <v>930</v>
      </c>
      <c r="E2744" s="115">
        <v>40907</v>
      </c>
      <c r="F2744" s="116" t="s">
        <v>1280</v>
      </c>
      <c r="G2744" s="224" t="s">
        <v>1346</v>
      </c>
      <c r="H2744" s="117" t="s">
        <v>711</v>
      </c>
      <c r="I2744" s="141">
        <v>110</v>
      </c>
      <c r="J2744" s="141">
        <v>19450</v>
      </c>
      <c r="K2744" s="238">
        <v>2139500</v>
      </c>
      <c r="L2744" s="118" t="s">
        <v>237</v>
      </c>
      <c r="M2744" s="118" t="s">
        <v>163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121"/>
    </row>
    <row r="2745" spans="1:26" ht="15.75" customHeight="1">
      <c r="A2745" s="125" t="str">
        <f>IF(B2745&lt;&gt;"",IF(AND(B2745&gt;=_TM1,B2745&lt;=_TM2,OR(TH!L2745="1111",TH!M2745="1111")),TH!D2745,""),"")</f>
        <v/>
      </c>
      <c r="B2745" s="11">
        <f t="shared" si="221"/>
        <v>12</v>
      </c>
      <c r="C2745" s="115">
        <v>40907</v>
      </c>
      <c r="D2745" s="115" t="s">
        <v>930</v>
      </c>
      <c r="E2745" s="115">
        <v>40907</v>
      </c>
      <c r="F2745" s="116" t="s">
        <v>1347</v>
      </c>
      <c r="G2745" s="224" t="s">
        <v>1346</v>
      </c>
      <c r="H2745" s="117" t="s">
        <v>711</v>
      </c>
      <c r="I2745" s="141">
        <v>12</v>
      </c>
      <c r="J2745" s="141">
        <v>19625</v>
      </c>
      <c r="K2745" s="238">
        <v>235500</v>
      </c>
      <c r="L2745" s="118" t="s">
        <v>237</v>
      </c>
      <c r="M2745" s="118" t="s">
        <v>163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121"/>
    </row>
    <row r="2746" spans="1:26" ht="15.75" customHeight="1">
      <c r="A2746" s="125" t="str">
        <f>IF(B2746&lt;&gt;"",IF(AND(B2746&gt;=_TM1,B2746&lt;=_TM2,OR(TH!L2746="1111",TH!M2746="1111")),TH!D2746,""),"")</f>
        <v/>
      </c>
      <c r="B2746" s="11">
        <f t="shared" si="221"/>
        <v>12</v>
      </c>
      <c r="C2746" s="115">
        <v>40907</v>
      </c>
      <c r="D2746" s="115" t="s">
        <v>930</v>
      </c>
      <c r="E2746" s="115">
        <v>40907</v>
      </c>
      <c r="F2746" s="116" t="s">
        <v>1121</v>
      </c>
      <c r="G2746" s="224" t="s">
        <v>1346</v>
      </c>
      <c r="H2746" s="117" t="s">
        <v>711</v>
      </c>
      <c r="I2746" s="141"/>
      <c r="J2746" s="141"/>
      <c r="K2746" s="238">
        <v>1258740</v>
      </c>
      <c r="L2746" s="118" t="s">
        <v>237</v>
      </c>
      <c r="M2746" s="118" t="s">
        <v>707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121"/>
    </row>
    <row r="2747" spans="1:26" ht="15.75" customHeight="1">
      <c r="A2747" s="125" t="str">
        <f>IF(B2747&lt;&gt;"",IF(AND(B2747&gt;=_TM1,B2747&lt;=_TM2,OR(TH!L2747="1111",TH!M2747="1111")),TH!D2747,""),"")</f>
        <v/>
      </c>
      <c r="B2747" s="11">
        <f t="shared" si="221"/>
        <v>12</v>
      </c>
      <c r="C2747" s="115">
        <f t="shared" ref="C2747:C2778" si="222">E2747</f>
        <v>40907</v>
      </c>
      <c r="D2747" s="21" t="s">
        <v>1358</v>
      </c>
      <c r="E2747" s="115">
        <v>40907</v>
      </c>
      <c r="F2747" s="15" t="s">
        <v>1327</v>
      </c>
      <c r="G2747" s="15"/>
      <c r="H2747" s="242" t="s">
        <v>1037</v>
      </c>
      <c r="I2747" s="141">
        <v>392</v>
      </c>
      <c r="J2747" s="141">
        <v>8026.0056348250355</v>
      </c>
      <c r="K2747" s="238">
        <f t="shared" ref="K2747:K2778" si="223">ROUND(I2747*J2747,0)</f>
        <v>3146194</v>
      </c>
      <c r="L2747" s="14" t="s">
        <v>155</v>
      </c>
      <c r="M2747" s="14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121"/>
    </row>
    <row r="2748" spans="1:26" ht="15.75" customHeight="1">
      <c r="A2748" s="125" t="str">
        <f>IF(B2748&lt;&gt;"",IF(AND(B2748&gt;=_TM1,B2748&lt;=_TM2,OR(TH!L2748="1111",TH!M2748="1111")),TH!D2748,""),"")</f>
        <v/>
      </c>
      <c r="B2748" s="11">
        <f t="shared" si="221"/>
        <v>12</v>
      </c>
      <c r="C2748" s="115">
        <f t="shared" si="222"/>
        <v>40907</v>
      </c>
      <c r="D2748" s="21" t="s">
        <v>1358</v>
      </c>
      <c r="E2748" s="115">
        <v>40907</v>
      </c>
      <c r="F2748" s="15" t="s">
        <v>1329</v>
      </c>
      <c r="G2748" s="15"/>
      <c r="H2748" s="242" t="s">
        <v>1037</v>
      </c>
      <c r="I2748" s="141">
        <v>65</v>
      </c>
      <c r="J2748" s="141">
        <v>17737.492801230059</v>
      </c>
      <c r="K2748" s="238">
        <f t="shared" si="223"/>
        <v>1152937</v>
      </c>
      <c r="L2748" s="14" t="s">
        <v>155</v>
      </c>
      <c r="M2748" s="14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121"/>
    </row>
    <row r="2749" spans="1:26" ht="15.75" customHeight="1">
      <c r="A2749" s="125" t="str">
        <f>IF(B2749&lt;&gt;"",IF(AND(B2749&gt;=_TM1,B2749&lt;=_TM2,OR(TH!L2749="1111",TH!M2749="1111")),TH!D2749,""),"")</f>
        <v/>
      </c>
      <c r="B2749" s="11">
        <f t="shared" si="221"/>
        <v>12</v>
      </c>
      <c r="C2749" s="115">
        <f t="shared" si="222"/>
        <v>40907</v>
      </c>
      <c r="D2749" s="21" t="s">
        <v>1358</v>
      </c>
      <c r="E2749" s="115">
        <v>40907</v>
      </c>
      <c r="F2749" s="15" t="s">
        <v>1330</v>
      </c>
      <c r="G2749" s="15"/>
      <c r="H2749" s="242" t="s">
        <v>1037</v>
      </c>
      <c r="I2749" s="141">
        <v>10</v>
      </c>
      <c r="J2749" s="141">
        <v>18725.408185845445</v>
      </c>
      <c r="K2749" s="238">
        <f t="shared" si="223"/>
        <v>187254</v>
      </c>
      <c r="L2749" s="14" t="s">
        <v>155</v>
      </c>
      <c r="M2749" s="14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121"/>
    </row>
    <row r="2750" spans="1:26" ht="15.75" customHeight="1">
      <c r="A2750" s="125" t="str">
        <f>IF(B2750&lt;&gt;"",IF(AND(B2750&gt;=_TM1,B2750&lt;=_TM2,OR(TH!L2750="1111",TH!M2750="1111")),TH!D2750,""),"")</f>
        <v/>
      </c>
      <c r="B2750" s="11">
        <f t="shared" si="221"/>
        <v>12</v>
      </c>
      <c r="C2750" s="115">
        <f t="shared" si="222"/>
        <v>40907</v>
      </c>
      <c r="D2750" s="21" t="s">
        <v>1358</v>
      </c>
      <c r="E2750" s="115">
        <v>40907</v>
      </c>
      <c r="F2750" s="15" t="s">
        <v>1331</v>
      </c>
      <c r="G2750" s="15"/>
      <c r="H2750" s="242" t="s">
        <v>1037</v>
      </c>
      <c r="I2750" s="141">
        <v>106</v>
      </c>
      <c r="J2750" s="141">
        <v>17929.49875188318</v>
      </c>
      <c r="K2750" s="238">
        <f t="shared" si="223"/>
        <v>1900527</v>
      </c>
      <c r="L2750" s="14" t="s">
        <v>155</v>
      </c>
      <c r="M2750" s="14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121"/>
    </row>
    <row r="2751" spans="1:26" ht="15.75" customHeight="1">
      <c r="A2751" s="125" t="str">
        <f>IF(B2751&lt;&gt;"",IF(AND(B2751&gt;=_TM1,B2751&lt;=_TM2,OR(TH!L2751="1111",TH!M2751="1111")),TH!D2751,""),"")</f>
        <v/>
      </c>
      <c r="B2751" s="11">
        <f t="shared" si="221"/>
        <v>12</v>
      </c>
      <c r="C2751" s="115">
        <f t="shared" si="222"/>
        <v>40907</v>
      </c>
      <c r="D2751" s="21" t="s">
        <v>1358</v>
      </c>
      <c r="E2751" s="115">
        <v>40907</v>
      </c>
      <c r="F2751" s="15" t="s">
        <v>1332</v>
      </c>
      <c r="G2751" s="15"/>
      <c r="H2751" s="242" t="s">
        <v>1037</v>
      </c>
      <c r="I2751" s="141">
        <v>76</v>
      </c>
      <c r="J2751" s="141">
        <v>14753.495027950701</v>
      </c>
      <c r="K2751" s="238">
        <f t="shared" si="223"/>
        <v>1121266</v>
      </c>
      <c r="L2751" s="14" t="s">
        <v>155</v>
      </c>
      <c r="M2751" s="14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121"/>
    </row>
    <row r="2752" spans="1:26" ht="15.75" customHeight="1">
      <c r="A2752" s="125" t="str">
        <f>IF(B2752&lt;&gt;"",IF(AND(B2752&gt;=_TM1,B2752&lt;=_TM2,OR(TH!L2752="1111",TH!M2752="1111")),TH!D2752,""),"")</f>
        <v/>
      </c>
      <c r="B2752" s="11">
        <f t="shared" si="221"/>
        <v>12</v>
      </c>
      <c r="C2752" s="115">
        <f t="shared" si="222"/>
        <v>40907</v>
      </c>
      <c r="D2752" s="21" t="s">
        <v>1358</v>
      </c>
      <c r="E2752" s="115">
        <v>40907</v>
      </c>
      <c r="F2752" s="15" t="s">
        <v>1309</v>
      </c>
      <c r="G2752" s="15"/>
      <c r="H2752" s="242" t="s">
        <v>1037</v>
      </c>
      <c r="I2752" s="141">
        <v>208</v>
      </c>
      <c r="J2752" s="141">
        <v>17929.503378153135</v>
      </c>
      <c r="K2752" s="238">
        <f t="shared" si="223"/>
        <v>3729337</v>
      </c>
      <c r="L2752" s="14" t="s">
        <v>155</v>
      </c>
      <c r="M2752" s="14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121"/>
    </row>
    <row r="2753" spans="1:26" ht="15.75" customHeight="1">
      <c r="A2753" s="125" t="str">
        <f>IF(B2753&lt;&gt;"",IF(AND(B2753&gt;=_TM1,B2753&lt;=_TM2,OR(TH!L2753="1111",TH!M2753="1111")),TH!D2753,""),"")</f>
        <v/>
      </c>
      <c r="B2753" s="11">
        <f t="shared" si="221"/>
        <v>12</v>
      </c>
      <c r="C2753" s="115">
        <f t="shared" si="222"/>
        <v>40907</v>
      </c>
      <c r="D2753" s="21" t="s">
        <v>1358</v>
      </c>
      <c r="E2753" s="115">
        <v>40907</v>
      </c>
      <c r="F2753" s="15" t="s">
        <v>1333</v>
      </c>
      <c r="G2753" s="15"/>
      <c r="H2753" s="242" t="s">
        <v>1037</v>
      </c>
      <c r="I2753" s="141">
        <v>1</v>
      </c>
      <c r="J2753" s="141">
        <v>9917.5081858454432</v>
      </c>
      <c r="K2753" s="238">
        <f t="shared" si="223"/>
        <v>9918</v>
      </c>
      <c r="L2753" s="14" t="s">
        <v>155</v>
      </c>
      <c r="M2753" s="14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121"/>
    </row>
    <row r="2754" spans="1:26" ht="15.75" customHeight="1">
      <c r="A2754" s="125" t="str">
        <f>IF(B2754&lt;&gt;"",IF(AND(B2754&gt;=_TM1,B2754&lt;=_TM2,OR(TH!L2754="1111",TH!M2754="1111")),TH!D2754,""),"")</f>
        <v/>
      </c>
      <c r="B2754" s="11">
        <f t="shared" si="221"/>
        <v>12</v>
      </c>
      <c r="C2754" s="115">
        <f t="shared" si="222"/>
        <v>40907</v>
      </c>
      <c r="D2754" s="21" t="s">
        <v>1358</v>
      </c>
      <c r="E2754" s="115">
        <v>40907</v>
      </c>
      <c r="F2754" s="15" t="s">
        <v>1334</v>
      </c>
      <c r="G2754" s="15"/>
      <c r="H2754" s="242" t="s">
        <v>1037</v>
      </c>
      <c r="I2754" s="141">
        <v>12</v>
      </c>
      <c r="J2754" s="141">
        <v>12257.758185845443</v>
      </c>
      <c r="K2754" s="238">
        <f t="shared" si="223"/>
        <v>147093</v>
      </c>
      <c r="L2754" s="14" t="s">
        <v>155</v>
      </c>
      <c r="M2754" s="14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121"/>
    </row>
    <row r="2755" spans="1:26" ht="15.75" customHeight="1">
      <c r="A2755" s="125" t="str">
        <f>IF(B2755&lt;&gt;"",IF(AND(B2755&gt;=_TM1,B2755&lt;=_TM2,OR(TH!L2755="1111",TH!M2755="1111")),TH!D2755,""),"")</f>
        <v/>
      </c>
      <c r="B2755" s="11">
        <f t="shared" si="221"/>
        <v>12</v>
      </c>
      <c r="C2755" s="115">
        <f t="shared" si="222"/>
        <v>40907</v>
      </c>
      <c r="D2755" s="21" t="s">
        <v>1358</v>
      </c>
      <c r="E2755" s="115">
        <v>40907</v>
      </c>
      <c r="F2755" s="15" t="s">
        <v>880</v>
      </c>
      <c r="G2755" s="15"/>
      <c r="H2755" s="242" t="s">
        <v>1037</v>
      </c>
      <c r="I2755" s="141">
        <v>91</v>
      </c>
      <c r="J2755" s="141">
        <v>11252.497196834454</v>
      </c>
      <c r="K2755" s="238">
        <f t="shared" si="223"/>
        <v>1023977</v>
      </c>
      <c r="L2755" s="14" t="s">
        <v>155</v>
      </c>
      <c r="M2755" s="14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121"/>
    </row>
    <row r="2756" spans="1:26" ht="15.75" customHeight="1">
      <c r="A2756" s="125" t="str">
        <f>IF(B2756&lt;&gt;"",IF(AND(B2756&gt;=_TM1,B2756&lt;=_TM2,OR(TH!L2756="1111",TH!M2756="1111")),TH!D2756,""),"")</f>
        <v/>
      </c>
      <c r="B2756" s="11">
        <f t="shared" si="221"/>
        <v>12</v>
      </c>
      <c r="C2756" s="115">
        <f t="shared" si="222"/>
        <v>40907</v>
      </c>
      <c r="D2756" s="21" t="s">
        <v>1359</v>
      </c>
      <c r="E2756" s="115">
        <v>40907</v>
      </c>
      <c r="F2756" s="15" t="s">
        <v>1335</v>
      </c>
      <c r="G2756" s="15"/>
      <c r="H2756" s="242" t="s">
        <v>1037</v>
      </c>
      <c r="I2756" s="141">
        <v>1140</v>
      </c>
      <c r="J2756" s="141">
        <v>1770.0125718103548</v>
      </c>
      <c r="K2756" s="238">
        <f t="shared" si="223"/>
        <v>2017814</v>
      </c>
      <c r="L2756" s="14" t="s">
        <v>155</v>
      </c>
      <c r="M2756" s="14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121"/>
    </row>
    <row r="2757" spans="1:26" ht="15.75" customHeight="1">
      <c r="A2757" s="125" t="str">
        <f>IF(B2757&lt;&gt;"",IF(AND(B2757&gt;=_TM1,B2757&lt;=_TM2,OR(TH!L2757="1111",TH!M2757="1111")),TH!D2757,""),"")</f>
        <v/>
      </c>
      <c r="B2757" s="11">
        <f t="shared" si="221"/>
        <v>12</v>
      </c>
      <c r="C2757" s="115">
        <f t="shared" si="222"/>
        <v>40907</v>
      </c>
      <c r="D2757" s="21" t="s">
        <v>1359</v>
      </c>
      <c r="E2757" s="115">
        <v>40907</v>
      </c>
      <c r="F2757" s="15" t="s">
        <v>1326</v>
      </c>
      <c r="G2757" s="15"/>
      <c r="H2757" s="242" t="s">
        <v>1037</v>
      </c>
      <c r="I2757" s="141">
        <v>1140</v>
      </c>
      <c r="J2757" s="141">
        <v>1770.0125718103548</v>
      </c>
      <c r="K2757" s="238">
        <f t="shared" si="223"/>
        <v>2017814</v>
      </c>
      <c r="L2757" s="14" t="s">
        <v>155</v>
      </c>
      <c r="M2757" s="14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121"/>
    </row>
    <row r="2758" spans="1:26" ht="15.75" customHeight="1">
      <c r="A2758" s="125" t="str">
        <f>IF(B2758&lt;&gt;"",IF(AND(B2758&gt;=_TM1,B2758&lt;=_TM2,OR(TH!L2758="1111",TH!M2758="1111")),TH!D2758,""),"")</f>
        <v/>
      </c>
      <c r="B2758" s="11">
        <f t="shared" si="221"/>
        <v>12</v>
      </c>
      <c r="C2758" s="115">
        <f t="shared" si="222"/>
        <v>40907</v>
      </c>
      <c r="D2758" s="21" t="s">
        <v>1359</v>
      </c>
      <c r="E2758" s="115">
        <v>40907</v>
      </c>
      <c r="F2758" s="15" t="s">
        <v>1304</v>
      </c>
      <c r="G2758" s="15"/>
      <c r="H2758" s="242" t="s">
        <v>1037</v>
      </c>
      <c r="I2758" s="141">
        <v>1</v>
      </c>
      <c r="J2758" s="141">
        <v>18724.508185845447</v>
      </c>
      <c r="K2758" s="238">
        <f t="shared" si="223"/>
        <v>18725</v>
      </c>
      <c r="L2758" s="14" t="s">
        <v>155</v>
      </c>
      <c r="M2758" s="14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121"/>
    </row>
    <row r="2759" spans="1:26" ht="15.75" customHeight="1">
      <c r="A2759" s="125" t="str">
        <f>IF(B2759&lt;&gt;"",IF(AND(B2759&gt;=_TM1,B2759&lt;=_TM2,OR(TH!L2759="1111",TH!M2759="1111")),TH!D2759,""),"")</f>
        <v/>
      </c>
      <c r="B2759" s="11">
        <f t="shared" si="221"/>
        <v>12</v>
      </c>
      <c r="C2759" s="115">
        <f t="shared" si="222"/>
        <v>40907</v>
      </c>
      <c r="D2759" s="21" t="s">
        <v>1359</v>
      </c>
      <c r="E2759" s="115">
        <v>40907</v>
      </c>
      <c r="F2759" s="15" t="s">
        <v>1336</v>
      </c>
      <c r="G2759" s="15"/>
      <c r="H2759" s="242" t="s">
        <v>1037</v>
      </c>
      <c r="I2759" s="141">
        <v>7</v>
      </c>
      <c r="J2759" s="141">
        <v>16741.365328702585</v>
      </c>
      <c r="K2759" s="238">
        <f t="shared" si="223"/>
        <v>117190</v>
      </c>
      <c r="L2759" s="14" t="s">
        <v>155</v>
      </c>
      <c r="M2759" s="14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121"/>
    </row>
    <row r="2760" spans="1:26" ht="15.75" customHeight="1">
      <c r="A2760" s="125" t="str">
        <f>IF(B2760&lt;&gt;"",IF(AND(B2760&gt;=_TM1,B2760&lt;=_TM2,OR(TH!L2760="1111",TH!M2760="1111")),TH!D2760,""),"")</f>
        <v/>
      </c>
      <c r="B2760" s="11">
        <f t="shared" si="221"/>
        <v>12</v>
      </c>
      <c r="C2760" s="115">
        <f t="shared" si="222"/>
        <v>40907</v>
      </c>
      <c r="D2760" s="21" t="s">
        <v>1359</v>
      </c>
      <c r="E2760" s="115">
        <v>40907</v>
      </c>
      <c r="F2760" s="15" t="s">
        <v>1309</v>
      </c>
      <c r="G2760" s="15"/>
      <c r="H2760" s="242" t="s">
        <v>1037</v>
      </c>
      <c r="I2760" s="141">
        <v>20</v>
      </c>
      <c r="J2760" s="141">
        <v>21576.458185845444</v>
      </c>
      <c r="K2760" s="238">
        <f t="shared" si="223"/>
        <v>431529</v>
      </c>
      <c r="L2760" s="14" t="s">
        <v>155</v>
      </c>
      <c r="M2760" s="14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121"/>
    </row>
    <row r="2761" spans="1:26" ht="15.75" customHeight="1">
      <c r="A2761" s="125" t="str">
        <f>IF(B2761&lt;&gt;"",IF(AND(B2761&gt;=_TM1,B2761&lt;=_TM2,OR(TH!L2761="1111",TH!M2761="1111")),TH!D2761,""),"")</f>
        <v/>
      </c>
      <c r="B2761" s="11">
        <f t="shared" si="221"/>
        <v>12</v>
      </c>
      <c r="C2761" s="115">
        <f t="shared" si="222"/>
        <v>40907</v>
      </c>
      <c r="D2761" s="21" t="s">
        <v>1359</v>
      </c>
      <c r="E2761" s="115">
        <v>40907</v>
      </c>
      <c r="F2761" s="15" t="s">
        <v>1337</v>
      </c>
      <c r="G2761" s="15"/>
      <c r="H2761" s="242" t="s">
        <v>1037</v>
      </c>
      <c r="I2761" s="141">
        <v>10</v>
      </c>
      <c r="J2761" s="141">
        <v>18672.408185845445</v>
      </c>
      <c r="K2761" s="238">
        <f t="shared" si="223"/>
        <v>186724</v>
      </c>
      <c r="L2761" s="14" t="s">
        <v>155</v>
      </c>
      <c r="M2761" s="14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121"/>
    </row>
    <row r="2762" spans="1:26" ht="15.75" customHeight="1">
      <c r="A2762" s="125" t="str">
        <f>IF(B2762&lt;&gt;"",IF(AND(B2762&gt;=_TM1,B2762&lt;=_TM2,OR(TH!L2762="1111",TH!M2762="1111")),TH!D2762,""),"")</f>
        <v/>
      </c>
      <c r="B2762" s="11">
        <f t="shared" si="221"/>
        <v>12</v>
      </c>
      <c r="C2762" s="115">
        <f t="shared" si="222"/>
        <v>40907</v>
      </c>
      <c r="D2762" s="21" t="s">
        <v>1359</v>
      </c>
      <c r="E2762" s="115">
        <v>40907</v>
      </c>
      <c r="F2762" s="15" t="s">
        <v>1255</v>
      </c>
      <c r="G2762" s="15"/>
      <c r="H2762" s="242" t="s">
        <v>1037</v>
      </c>
      <c r="I2762" s="141">
        <v>2</v>
      </c>
      <c r="J2762" s="141">
        <v>16741.008185845443</v>
      </c>
      <c r="K2762" s="238">
        <f t="shared" si="223"/>
        <v>33482</v>
      </c>
      <c r="L2762" s="14" t="s">
        <v>155</v>
      </c>
      <c r="M2762" s="14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121"/>
    </row>
    <row r="2763" spans="1:26" ht="15.75" customHeight="1">
      <c r="A2763" s="125" t="str">
        <f>IF(B2763&lt;&gt;"",IF(AND(B2763&gt;=_TM1,B2763&lt;=_TM2,OR(TH!L2763="1111",TH!M2763="1111")),TH!D2763,""),"")</f>
        <v/>
      </c>
      <c r="B2763" s="11">
        <f t="shared" si="221"/>
        <v>12</v>
      </c>
      <c r="C2763" s="115">
        <f t="shared" si="222"/>
        <v>40907</v>
      </c>
      <c r="D2763" s="21" t="s">
        <v>1360</v>
      </c>
      <c r="E2763" s="115">
        <v>40907</v>
      </c>
      <c r="F2763" s="15" t="s">
        <v>1309</v>
      </c>
      <c r="G2763" s="15"/>
      <c r="H2763" s="242" t="s">
        <v>1037</v>
      </c>
      <c r="I2763" s="141">
        <v>108</v>
      </c>
      <c r="J2763" s="141">
        <v>17929.498926586184</v>
      </c>
      <c r="K2763" s="238">
        <f t="shared" si="223"/>
        <v>1936386</v>
      </c>
      <c r="L2763" s="14" t="s">
        <v>155</v>
      </c>
      <c r="M2763" s="14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121"/>
    </row>
    <row r="2764" spans="1:26" ht="15.75" customHeight="1">
      <c r="A2764" s="125" t="str">
        <f>IF(B2764&lt;&gt;"",IF(AND(B2764&gt;=_TM1,B2764&lt;=_TM2,OR(TH!L2764="1111",TH!M2764="1111")),TH!D2764,""),"")</f>
        <v/>
      </c>
      <c r="B2764" s="11">
        <f t="shared" si="221"/>
        <v>12</v>
      </c>
      <c r="C2764" s="115">
        <f t="shared" si="222"/>
        <v>40907</v>
      </c>
      <c r="D2764" s="21" t="s">
        <v>1360</v>
      </c>
      <c r="E2764" s="115">
        <v>40907</v>
      </c>
      <c r="F2764" s="15" t="s">
        <v>1336</v>
      </c>
      <c r="G2764" s="15"/>
      <c r="H2764" s="242" t="s">
        <v>1037</v>
      </c>
      <c r="I2764" s="141">
        <v>2</v>
      </c>
      <c r="J2764" s="141">
        <v>16741.008185845443</v>
      </c>
      <c r="K2764" s="238">
        <f t="shared" si="223"/>
        <v>33482</v>
      </c>
      <c r="L2764" s="14" t="s">
        <v>155</v>
      </c>
      <c r="M2764" s="14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121"/>
    </row>
    <row r="2765" spans="1:26" ht="15.75" customHeight="1">
      <c r="A2765" s="125" t="str">
        <f>IF(B2765&lt;&gt;"",IF(AND(B2765&gt;=_TM1,B2765&lt;=_TM2,OR(TH!L2765="1111",TH!M2765="1111")),TH!D2765,""),"")</f>
        <v/>
      </c>
      <c r="B2765" s="11">
        <f t="shared" si="221"/>
        <v>12</v>
      </c>
      <c r="C2765" s="115">
        <f t="shared" si="222"/>
        <v>40907</v>
      </c>
      <c r="D2765" s="21" t="s">
        <v>1360</v>
      </c>
      <c r="E2765" s="115">
        <v>40907</v>
      </c>
      <c r="F2765" s="15" t="s">
        <v>1339</v>
      </c>
      <c r="G2765" s="15"/>
      <c r="H2765" s="242" t="s">
        <v>1037</v>
      </c>
      <c r="I2765" s="141">
        <v>3</v>
      </c>
      <c r="J2765" s="141">
        <v>9918.5081858454414</v>
      </c>
      <c r="K2765" s="238">
        <f t="shared" si="223"/>
        <v>29756</v>
      </c>
      <c r="L2765" s="14" t="s">
        <v>155</v>
      </c>
      <c r="M2765" s="14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121"/>
    </row>
    <row r="2766" spans="1:26" ht="15.75" customHeight="1">
      <c r="A2766" s="125" t="str">
        <f>IF(B2766&lt;&gt;"",IF(AND(B2766&gt;=_TM1,B2766&lt;=_TM2,OR(TH!L2766="1111",TH!M2766="1111")),TH!D2766,""),"")</f>
        <v/>
      </c>
      <c r="B2766" s="11">
        <f t="shared" si="221"/>
        <v>12</v>
      </c>
      <c r="C2766" s="115">
        <f t="shared" si="222"/>
        <v>40907</v>
      </c>
      <c r="D2766" s="21" t="s">
        <v>1360</v>
      </c>
      <c r="E2766" s="115">
        <v>40907</v>
      </c>
      <c r="F2766" s="15" t="s">
        <v>1340</v>
      </c>
      <c r="G2766" s="15"/>
      <c r="H2766" s="242" t="s">
        <v>1037</v>
      </c>
      <c r="I2766" s="141">
        <v>2</v>
      </c>
      <c r="J2766" s="141">
        <v>15252.508185845443</v>
      </c>
      <c r="K2766" s="238">
        <f t="shared" si="223"/>
        <v>30505</v>
      </c>
      <c r="L2766" s="14" t="s">
        <v>155</v>
      </c>
      <c r="M2766" s="14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121"/>
    </row>
    <row r="2767" spans="1:26" ht="15.75" customHeight="1">
      <c r="A2767" s="125" t="str">
        <f>IF(B2767&lt;&gt;"",IF(AND(B2767&gt;=_TM1,B2767&lt;=_TM2,OR(TH!L2767="1111",TH!M2767="1111")),TH!D2767,""),"")</f>
        <v/>
      </c>
      <c r="B2767" s="11">
        <f t="shared" si="221"/>
        <v>12</v>
      </c>
      <c r="C2767" s="115">
        <f t="shared" si="222"/>
        <v>40907</v>
      </c>
      <c r="D2767" s="21" t="s">
        <v>1360</v>
      </c>
      <c r="E2767" s="115">
        <v>40907</v>
      </c>
      <c r="F2767" s="15" t="s">
        <v>1254</v>
      </c>
      <c r="G2767" s="15"/>
      <c r="H2767" s="242" t="s">
        <v>1037</v>
      </c>
      <c r="I2767" s="141">
        <v>4</v>
      </c>
      <c r="J2767" s="141">
        <v>10012.008185845443</v>
      </c>
      <c r="K2767" s="238">
        <f t="shared" si="223"/>
        <v>40048</v>
      </c>
      <c r="L2767" s="14" t="s">
        <v>155</v>
      </c>
      <c r="M2767" s="14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121"/>
    </row>
    <row r="2768" spans="1:26" ht="15.75" customHeight="1">
      <c r="A2768" s="125" t="str">
        <f>IF(B2768&lt;&gt;"",IF(AND(B2768&gt;=_TM1,B2768&lt;=_TM2,OR(TH!L2768="1111",TH!M2768="1111")),TH!D2768,""),"")</f>
        <v/>
      </c>
      <c r="B2768" s="11">
        <f t="shared" si="221"/>
        <v>12</v>
      </c>
      <c r="C2768" s="115">
        <f t="shared" si="222"/>
        <v>40907</v>
      </c>
      <c r="D2768" s="21" t="s">
        <v>1360</v>
      </c>
      <c r="E2768" s="115">
        <v>40907</v>
      </c>
      <c r="F2768" s="15" t="s">
        <v>1257</v>
      </c>
      <c r="G2768" s="15"/>
      <c r="H2768" s="242" t="s">
        <v>1037</v>
      </c>
      <c r="I2768" s="141">
        <v>2</v>
      </c>
      <c r="J2768" s="141">
        <v>14753.508185845443</v>
      </c>
      <c r="K2768" s="238">
        <f t="shared" si="223"/>
        <v>29507</v>
      </c>
      <c r="L2768" s="14" t="s">
        <v>155</v>
      </c>
      <c r="M2768" s="14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121"/>
    </row>
    <row r="2769" spans="1:26" ht="15.75" customHeight="1">
      <c r="A2769" s="125" t="str">
        <f>IF(B2769&lt;&gt;"",IF(AND(B2769&gt;=_TM1,B2769&lt;=_TM2,OR(TH!L2769="1111",TH!M2769="1111")),TH!D2769,""),"")</f>
        <v/>
      </c>
      <c r="B2769" s="11">
        <f t="shared" si="221"/>
        <v>12</v>
      </c>
      <c r="C2769" s="115">
        <f t="shared" si="222"/>
        <v>40907</v>
      </c>
      <c r="D2769" s="21" t="s">
        <v>1360</v>
      </c>
      <c r="E2769" s="115">
        <v>40907</v>
      </c>
      <c r="F2769" s="15" t="s">
        <v>1341</v>
      </c>
      <c r="G2769" s="15"/>
      <c r="H2769" s="242" t="s">
        <v>1037</v>
      </c>
      <c r="I2769" s="141">
        <v>1</v>
      </c>
      <c r="J2769" s="141">
        <v>14753.508185845443</v>
      </c>
      <c r="K2769" s="238">
        <f t="shared" si="223"/>
        <v>14754</v>
      </c>
      <c r="L2769" s="14" t="s">
        <v>155</v>
      </c>
      <c r="M2769" s="14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121"/>
    </row>
    <row r="2770" spans="1:26" ht="15.75" customHeight="1">
      <c r="A2770" s="125" t="str">
        <f>IF(B2770&lt;&gt;"",IF(AND(B2770&gt;=_TM1,B2770&lt;=_TM2,OR(TH!L2770="1111",TH!M2770="1111")),TH!D2770,""),"")</f>
        <v/>
      </c>
      <c r="B2770" s="11">
        <f t="shared" si="221"/>
        <v>12</v>
      </c>
      <c r="C2770" s="115">
        <f t="shared" si="222"/>
        <v>40907</v>
      </c>
      <c r="D2770" s="21" t="s">
        <v>1360</v>
      </c>
      <c r="E2770" s="115">
        <v>40907</v>
      </c>
      <c r="F2770" s="15" t="s">
        <v>1332</v>
      </c>
      <c r="G2770" s="15"/>
      <c r="H2770" s="242" t="s">
        <v>1037</v>
      </c>
      <c r="I2770" s="141">
        <v>1</v>
      </c>
      <c r="J2770" s="141">
        <v>16741.508185845443</v>
      </c>
      <c r="K2770" s="238">
        <f t="shared" si="223"/>
        <v>16742</v>
      </c>
      <c r="L2770" s="14" t="s">
        <v>155</v>
      </c>
      <c r="M2770" s="14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121"/>
    </row>
    <row r="2771" spans="1:26" ht="15.75" customHeight="1">
      <c r="A2771" s="125" t="str">
        <f>IF(B2771&lt;&gt;"",IF(AND(B2771&gt;=_TM1,B2771&lt;=_TM2,OR(TH!L2771="1111",TH!M2771="1111")),TH!D2771,""),"")</f>
        <v/>
      </c>
      <c r="B2771" s="11">
        <f t="shared" si="221"/>
        <v>12</v>
      </c>
      <c r="C2771" s="115">
        <f t="shared" si="222"/>
        <v>40907</v>
      </c>
      <c r="D2771" s="21" t="s">
        <v>1360</v>
      </c>
      <c r="E2771" s="115">
        <v>40907</v>
      </c>
      <c r="F2771" s="15" t="s">
        <v>1342</v>
      </c>
      <c r="G2771" s="15"/>
      <c r="H2771" s="242" t="s">
        <v>1037</v>
      </c>
      <c r="I2771" s="141">
        <v>2</v>
      </c>
      <c r="J2771" s="141">
        <v>14753.508185845443</v>
      </c>
      <c r="K2771" s="238">
        <f t="shared" si="223"/>
        <v>29507</v>
      </c>
      <c r="L2771" s="14" t="s">
        <v>155</v>
      </c>
      <c r="M2771" s="14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121"/>
    </row>
    <row r="2772" spans="1:26" ht="15.75" customHeight="1">
      <c r="A2772" s="125" t="str">
        <f>IF(B2772&lt;&gt;"",IF(AND(B2772&gt;=_TM1,B2772&lt;=_TM2,OR(TH!L2772="1111",TH!M2772="1111")),TH!D2772,""),"")</f>
        <v/>
      </c>
      <c r="B2772" s="11">
        <f t="shared" si="221"/>
        <v>12</v>
      </c>
      <c r="C2772" s="115">
        <f t="shared" si="222"/>
        <v>40907</v>
      </c>
      <c r="D2772" s="21" t="s">
        <v>1361</v>
      </c>
      <c r="E2772" s="115">
        <v>40907</v>
      </c>
      <c r="F2772" s="15" t="s">
        <v>720</v>
      </c>
      <c r="G2772" s="15"/>
      <c r="H2772" s="242" t="s">
        <v>1037</v>
      </c>
      <c r="I2772" s="141">
        <v>1</v>
      </c>
      <c r="J2772" s="141">
        <v>14753.508185845443</v>
      </c>
      <c r="K2772" s="238">
        <f t="shared" si="223"/>
        <v>14754</v>
      </c>
      <c r="L2772" s="14" t="s">
        <v>155</v>
      </c>
      <c r="M2772" s="14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121"/>
    </row>
    <row r="2773" spans="1:26" ht="15.75" customHeight="1">
      <c r="A2773" s="125" t="str">
        <f>IF(B2773&lt;&gt;"",IF(AND(B2773&gt;=_TM1,B2773&lt;=_TM2,OR(TH!L2773="1111",TH!M2773="1111")),TH!D2773,""),"")</f>
        <v/>
      </c>
      <c r="B2773" s="11">
        <f t="shared" si="221"/>
        <v>12</v>
      </c>
      <c r="C2773" s="115">
        <f t="shared" si="222"/>
        <v>40907</v>
      </c>
      <c r="D2773" s="21" t="s">
        <v>1361</v>
      </c>
      <c r="E2773" s="115">
        <v>40907</v>
      </c>
      <c r="F2773" s="15" t="s">
        <v>1343</v>
      </c>
      <c r="G2773" s="15"/>
      <c r="H2773" s="242" t="s">
        <v>1037</v>
      </c>
      <c r="I2773" s="141">
        <v>1</v>
      </c>
      <c r="J2773" s="141">
        <v>16741.508185845443</v>
      </c>
      <c r="K2773" s="238">
        <f t="shared" si="223"/>
        <v>16742</v>
      </c>
      <c r="L2773" s="14" t="s">
        <v>155</v>
      </c>
      <c r="M2773" s="14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121"/>
    </row>
    <row r="2774" spans="1:26" ht="15.75" customHeight="1">
      <c r="A2774" s="125" t="str">
        <f>IF(B2774&lt;&gt;"",IF(AND(B2774&gt;=_TM1,B2774&lt;=_TM2,OR(TH!L2774="1111",TH!M2774="1111")),TH!D2774,""),"")</f>
        <v/>
      </c>
      <c r="B2774" s="11">
        <f t="shared" si="221"/>
        <v>12</v>
      </c>
      <c r="C2774" s="115">
        <f t="shared" si="222"/>
        <v>40907</v>
      </c>
      <c r="D2774" s="21" t="s">
        <v>1361</v>
      </c>
      <c r="E2774" s="115">
        <v>40907</v>
      </c>
      <c r="F2774" s="15" t="s">
        <v>1344</v>
      </c>
      <c r="G2774" s="15"/>
      <c r="H2774" s="242" t="s">
        <v>1037</v>
      </c>
      <c r="I2774" s="141">
        <v>1</v>
      </c>
      <c r="J2774" s="141">
        <v>14753.508185845443</v>
      </c>
      <c r="K2774" s="238">
        <f t="shared" si="223"/>
        <v>14754</v>
      </c>
      <c r="L2774" s="14" t="s">
        <v>155</v>
      </c>
      <c r="M2774" s="14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121"/>
    </row>
    <row r="2775" spans="1:26" ht="15.75" customHeight="1">
      <c r="A2775" s="125" t="str">
        <f>IF(B2775&lt;&gt;"",IF(AND(B2775&gt;=_TM1,B2775&lt;=_TM2,OR(TH!L2775="1111",TH!M2775="1111")),TH!D2775,""),"")</f>
        <v/>
      </c>
      <c r="B2775" s="11">
        <f t="shared" si="221"/>
        <v>12</v>
      </c>
      <c r="C2775" s="115">
        <f t="shared" si="222"/>
        <v>40907</v>
      </c>
      <c r="D2775" s="21" t="s">
        <v>1361</v>
      </c>
      <c r="E2775" s="115">
        <v>40907</v>
      </c>
      <c r="F2775" s="15" t="s">
        <v>1345</v>
      </c>
      <c r="G2775" s="15"/>
      <c r="H2775" s="242" t="s">
        <v>1037</v>
      </c>
      <c r="I2775" s="141">
        <v>1</v>
      </c>
      <c r="J2775" s="141">
        <v>17737.508185845447</v>
      </c>
      <c r="K2775" s="238">
        <f t="shared" si="223"/>
        <v>17738</v>
      </c>
      <c r="L2775" s="14" t="s">
        <v>155</v>
      </c>
      <c r="M2775" s="14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121"/>
    </row>
    <row r="2776" spans="1:26" ht="15.75" customHeight="1">
      <c r="A2776" s="125" t="str">
        <f>IF(B2776&lt;&gt;"",IF(AND(B2776&gt;=_TM1,B2776&lt;=_TM2,OR(TH!L2776="1111",TH!M2776="1111")),TH!D2776,""),"")</f>
        <v/>
      </c>
      <c r="B2776" s="11">
        <f t="shared" si="221"/>
        <v>12</v>
      </c>
      <c r="C2776" s="115">
        <f t="shared" si="222"/>
        <v>40907</v>
      </c>
      <c r="D2776" s="21" t="s">
        <v>1361</v>
      </c>
      <c r="E2776" s="115">
        <v>40907</v>
      </c>
      <c r="F2776" s="15" t="s">
        <v>1305</v>
      </c>
      <c r="G2776" s="15"/>
      <c r="H2776" s="242" t="s">
        <v>1037</v>
      </c>
      <c r="I2776" s="141">
        <v>11</v>
      </c>
      <c r="J2776" s="141">
        <v>14753.508185845443</v>
      </c>
      <c r="K2776" s="238">
        <f t="shared" si="223"/>
        <v>162289</v>
      </c>
      <c r="L2776" s="14" t="s">
        <v>155</v>
      </c>
      <c r="M2776" s="14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121"/>
    </row>
    <row r="2777" spans="1:26" ht="15.75" customHeight="1">
      <c r="A2777" s="125" t="str">
        <f>IF(B2777&lt;&gt;"",IF(AND(B2777&gt;=_TM1,B2777&lt;=_TM2,OR(TH!L2777="1111",TH!M2777="1111")),TH!D2777,""),"")</f>
        <v/>
      </c>
      <c r="B2777" s="11">
        <f t="shared" si="221"/>
        <v>12</v>
      </c>
      <c r="C2777" s="115">
        <f t="shared" si="222"/>
        <v>40907</v>
      </c>
      <c r="D2777" s="21" t="s">
        <v>1361</v>
      </c>
      <c r="E2777" s="115">
        <v>40907</v>
      </c>
      <c r="F2777" s="15" t="s">
        <v>1306</v>
      </c>
      <c r="G2777" s="15"/>
      <c r="H2777" s="242" t="s">
        <v>1037</v>
      </c>
      <c r="I2777" s="141">
        <v>260</v>
      </c>
      <c r="J2777" s="141">
        <v>17929.508185845447</v>
      </c>
      <c r="K2777" s="238">
        <f t="shared" si="223"/>
        <v>4661672</v>
      </c>
      <c r="L2777" s="14" t="s">
        <v>155</v>
      </c>
      <c r="M2777" s="14" t="s">
        <v>153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121"/>
    </row>
    <row r="2778" spans="1:26" ht="15.75" customHeight="1">
      <c r="A2778" s="125" t="str">
        <f>IF(B2778&lt;&gt;"",IF(AND(B2778&gt;=_TM1,B2778&lt;=_TM2,OR(TH!L2778="1111",TH!M2778="1111")),TH!D2778,""),"")</f>
        <v/>
      </c>
      <c r="B2778" s="11">
        <f t="shared" si="221"/>
        <v>12</v>
      </c>
      <c r="C2778" s="115">
        <f t="shared" si="222"/>
        <v>40907</v>
      </c>
      <c r="D2778" s="21" t="s">
        <v>1361</v>
      </c>
      <c r="E2778" s="115">
        <v>40907</v>
      </c>
      <c r="F2778" s="15" t="s">
        <v>1274</v>
      </c>
      <c r="G2778" s="15"/>
      <c r="H2778" s="242" t="s">
        <v>1037</v>
      </c>
      <c r="I2778" s="141">
        <v>50</v>
      </c>
      <c r="J2778" s="141">
        <v>16741.508185845443</v>
      </c>
      <c r="K2778" s="238">
        <f t="shared" si="223"/>
        <v>837075</v>
      </c>
      <c r="L2778" s="14" t="s">
        <v>155</v>
      </c>
      <c r="M2778" s="14" t="s">
        <v>153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121"/>
    </row>
    <row r="2779" spans="1:26" ht="15.75" customHeight="1">
      <c r="A2779" s="125" t="str">
        <f>IF(B2779&lt;&gt;"",IF(AND(B2779&gt;=_TM1,B2779&lt;=_TM2,OR(TH!L2779="1111",TH!M2779="1111")),TH!D2779,""),"")</f>
        <v/>
      </c>
      <c r="B2779" s="11">
        <f t="shared" si="221"/>
        <v>12</v>
      </c>
      <c r="C2779" s="115">
        <f t="shared" ref="C2779:C2810" si="224">E2779</f>
        <v>40907</v>
      </c>
      <c r="D2779" s="21" t="s">
        <v>1362</v>
      </c>
      <c r="E2779" s="115">
        <v>40907</v>
      </c>
      <c r="F2779" s="15" t="s">
        <v>1276</v>
      </c>
      <c r="G2779" s="15"/>
      <c r="H2779" s="242" t="s">
        <v>1037</v>
      </c>
      <c r="I2779" s="141">
        <v>100</v>
      </c>
      <c r="J2779" s="141">
        <v>17929.508185845443</v>
      </c>
      <c r="K2779" s="238">
        <f t="shared" ref="K2779:K2810" si="225">ROUND(I2779*J2779,0)</f>
        <v>1792951</v>
      </c>
      <c r="L2779" s="14" t="s">
        <v>155</v>
      </c>
      <c r="M2779" s="14" t="s">
        <v>153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121"/>
    </row>
    <row r="2780" spans="1:26" ht="15.75" customHeight="1">
      <c r="A2780" s="125" t="str">
        <f>IF(B2780&lt;&gt;"",IF(AND(B2780&gt;=_TM1,B2780&lt;=_TM2,OR(TH!L2780="1111",TH!M2780="1111")),TH!D2780,""),"")</f>
        <v/>
      </c>
      <c r="B2780" s="11">
        <f t="shared" si="221"/>
        <v>12</v>
      </c>
      <c r="C2780" s="115">
        <f t="shared" si="224"/>
        <v>40907</v>
      </c>
      <c r="D2780" s="21" t="s">
        <v>1362</v>
      </c>
      <c r="E2780" s="115">
        <v>40907</v>
      </c>
      <c r="F2780" s="15" t="s">
        <v>1277</v>
      </c>
      <c r="G2780" s="15"/>
      <c r="H2780" s="242" t="s">
        <v>1037</v>
      </c>
      <c r="I2780" s="141">
        <v>50</v>
      </c>
      <c r="J2780" s="141">
        <v>17737.508185845443</v>
      </c>
      <c r="K2780" s="238">
        <f t="shared" si="225"/>
        <v>886875</v>
      </c>
      <c r="L2780" s="14" t="s">
        <v>155</v>
      </c>
      <c r="M2780" s="14" t="s">
        <v>153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121"/>
    </row>
    <row r="2781" spans="1:26" ht="15.75" customHeight="1">
      <c r="A2781" s="125" t="str">
        <f>IF(B2781&lt;&gt;"",IF(AND(B2781&gt;=_TM1,B2781&lt;=_TM2,OR(TH!L2781="1111",TH!M2781="1111")),TH!D2781,""),"")</f>
        <v/>
      </c>
      <c r="B2781" s="11">
        <f t="shared" ref="B2781:B2828" si="226">IF(C2781&lt;&gt;"",MONTH(C2781),"")</f>
        <v>12</v>
      </c>
      <c r="C2781" s="115">
        <f t="shared" si="224"/>
        <v>40907</v>
      </c>
      <c r="D2781" s="21" t="s">
        <v>1362</v>
      </c>
      <c r="E2781" s="115">
        <v>40907</v>
      </c>
      <c r="F2781" s="15" t="s">
        <v>1278</v>
      </c>
      <c r="G2781" s="15"/>
      <c r="H2781" s="242" t="s">
        <v>1037</v>
      </c>
      <c r="I2781" s="141">
        <v>190</v>
      </c>
      <c r="J2781" s="141">
        <v>17929.508185845443</v>
      </c>
      <c r="K2781" s="238">
        <f t="shared" si="225"/>
        <v>3406607</v>
      </c>
      <c r="L2781" s="14" t="s">
        <v>155</v>
      </c>
      <c r="M2781" s="14" t="s">
        <v>153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121"/>
    </row>
    <row r="2782" spans="1:26" ht="15.75" customHeight="1">
      <c r="A2782" s="125" t="str">
        <f>IF(B2782&lt;&gt;"",IF(AND(B2782&gt;=_TM1,B2782&lt;=_TM2,OR(TH!L2782="1111",TH!M2782="1111")),TH!D2782,""),"")</f>
        <v/>
      </c>
      <c r="B2782" s="11">
        <f t="shared" si="226"/>
        <v>12</v>
      </c>
      <c r="C2782" s="115">
        <f t="shared" si="224"/>
        <v>40907</v>
      </c>
      <c r="D2782" s="21" t="s">
        <v>1362</v>
      </c>
      <c r="E2782" s="115">
        <v>40907</v>
      </c>
      <c r="F2782" s="15" t="s">
        <v>1279</v>
      </c>
      <c r="G2782" s="15"/>
      <c r="H2782" s="242" t="s">
        <v>1037</v>
      </c>
      <c r="I2782" s="141">
        <v>130</v>
      </c>
      <c r="J2782" s="141">
        <v>17929.508185845447</v>
      </c>
      <c r="K2782" s="238">
        <f t="shared" si="225"/>
        <v>2330836</v>
      </c>
      <c r="L2782" s="14" t="s">
        <v>155</v>
      </c>
      <c r="M2782" s="14" t="s">
        <v>153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121"/>
    </row>
    <row r="2783" spans="1:26" ht="15.75" customHeight="1">
      <c r="A2783" s="125" t="str">
        <f>IF(B2783&lt;&gt;"",IF(AND(B2783&gt;=_TM1,B2783&lt;=_TM2,OR(TH!L2783="1111",TH!M2783="1111")),TH!D2783,""),"")</f>
        <v/>
      </c>
      <c r="B2783" s="11">
        <f t="shared" si="226"/>
        <v>12</v>
      </c>
      <c r="C2783" s="115">
        <f t="shared" si="224"/>
        <v>40907</v>
      </c>
      <c r="D2783" s="21" t="s">
        <v>1362</v>
      </c>
      <c r="E2783" s="115">
        <v>40907</v>
      </c>
      <c r="F2783" s="15" t="s">
        <v>1280</v>
      </c>
      <c r="G2783" s="15"/>
      <c r="H2783" s="242" t="s">
        <v>1037</v>
      </c>
      <c r="I2783" s="141">
        <v>110</v>
      </c>
      <c r="J2783" s="141">
        <v>17929.508185845443</v>
      </c>
      <c r="K2783" s="238">
        <f t="shared" si="225"/>
        <v>1972246</v>
      </c>
      <c r="L2783" s="14" t="s">
        <v>155</v>
      </c>
      <c r="M2783" s="14" t="s">
        <v>153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121"/>
    </row>
    <row r="2784" spans="1:26" ht="15.75" customHeight="1">
      <c r="A2784" s="125" t="str">
        <f>IF(B2784&lt;&gt;"",IF(AND(B2784&gt;=_TM1,B2784&lt;=_TM2,OR(TH!L2784="1111",TH!M2784="1111")),TH!D2784,""),"")</f>
        <v/>
      </c>
      <c r="B2784" s="11">
        <f t="shared" si="226"/>
        <v>12</v>
      </c>
      <c r="C2784" s="115">
        <f t="shared" si="224"/>
        <v>40907</v>
      </c>
      <c r="D2784" s="21" t="s">
        <v>1362</v>
      </c>
      <c r="E2784" s="115">
        <v>40907</v>
      </c>
      <c r="F2784" s="15" t="s">
        <v>1347</v>
      </c>
      <c r="G2784" s="15"/>
      <c r="H2784" s="242" t="s">
        <v>1037</v>
      </c>
      <c r="I2784" s="141">
        <v>12</v>
      </c>
      <c r="J2784" s="141">
        <v>17737.508185845443</v>
      </c>
      <c r="K2784" s="238">
        <f t="shared" si="225"/>
        <v>212850</v>
      </c>
      <c r="L2784" s="14" t="s">
        <v>155</v>
      </c>
      <c r="M2784" s="14" t="s">
        <v>153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121"/>
    </row>
    <row r="2785" spans="1:26" ht="15.75" customHeight="1">
      <c r="A2785" s="125" t="str">
        <f>IF(B2785&lt;&gt;"",IF(AND(B2785&gt;=_TM1,B2785&lt;=_TM2,OR(TH!L2785="1111",TH!M2785="1111")),TH!D2785,""),"")</f>
        <v/>
      </c>
      <c r="B2785" s="11">
        <f t="shared" si="226"/>
        <v>12</v>
      </c>
      <c r="C2785" s="115">
        <f t="shared" si="224"/>
        <v>40907</v>
      </c>
      <c r="D2785" s="12" t="s">
        <v>927</v>
      </c>
      <c r="E2785" s="115">
        <v>40907</v>
      </c>
      <c r="F2785" s="116" t="s">
        <v>1327</v>
      </c>
      <c r="G2785" s="224" t="s">
        <v>1328</v>
      </c>
      <c r="H2785" s="117" t="s">
        <v>740</v>
      </c>
      <c r="I2785" s="141">
        <v>392</v>
      </c>
      <c r="J2785" s="141">
        <v>8026.0056348250355</v>
      </c>
      <c r="K2785" s="330">
        <f t="shared" si="225"/>
        <v>3146194</v>
      </c>
      <c r="L2785" s="319" t="s">
        <v>161</v>
      </c>
      <c r="M2785" s="319" t="s">
        <v>155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121"/>
    </row>
    <row r="2786" spans="1:26" ht="15.75" customHeight="1">
      <c r="A2786" s="125" t="str">
        <f>IF(B2786&lt;&gt;"",IF(AND(B2786&gt;=_TM1,B2786&lt;=_TM2,OR(TH!L2786="1111",TH!M2786="1111")),TH!D2786,""),"")</f>
        <v/>
      </c>
      <c r="B2786" s="11">
        <f t="shared" si="226"/>
        <v>12</v>
      </c>
      <c r="C2786" s="115">
        <f t="shared" si="224"/>
        <v>40907</v>
      </c>
      <c r="D2786" s="12" t="s">
        <v>928</v>
      </c>
      <c r="E2786" s="115">
        <v>40907</v>
      </c>
      <c r="F2786" s="116" t="s">
        <v>1329</v>
      </c>
      <c r="G2786" s="224" t="s">
        <v>611</v>
      </c>
      <c r="H2786" s="117" t="s">
        <v>709</v>
      </c>
      <c r="I2786" s="141">
        <v>65</v>
      </c>
      <c r="J2786" s="141">
        <v>17737.492801230059</v>
      </c>
      <c r="K2786" s="330">
        <f t="shared" si="225"/>
        <v>1152937</v>
      </c>
      <c r="L2786" s="319" t="s">
        <v>161</v>
      </c>
      <c r="M2786" s="319" t="s">
        <v>155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121"/>
    </row>
    <row r="2787" spans="1:26" ht="15.75" customHeight="1">
      <c r="A2787" s="125" t="str">
        <f>IF(B2787&lt;&gt;"",IF(AND(B2787&gt;=_TM1,B2787&lt;=_TM2,OR(TH!L2787="1111",TH!M2787="1111")),TH!D2787,""),"")</f>
        <v/>
      </c>
      <c r="B2787" s="11">
        <f t="shared" si="226"/>
        <v>12</v>
      </c>
      <c r="C2787" s="115">
        <f t="shared" si="224"/>
        <v>40907</v>
      </c>
      <c r="D2787" s="12" t="s">
        <v>928</v>
      </c>
      <c r="E2787" s="115">
        <v>40907</v>
      </c>
      <c r="F2787" s="116" t="s">
        <v>1330</v>
      </c>
      <c r="G2787" s="224" t="s">
        <v>611</v>
      </c>
      <c r="H2787" s="117" t="s">
        <v>709</v>
      </c>
      <c r="I2787" s="141">
        <v>10</v>
      </c>
      <c r="J2787" s="141">
        <v>18725.408185845445</v>
      </c>
      <c r="K2787" s="330">
        <f t="shared" si="225"/>
        <v>187254</v>
      </c>
      <c r="L2787" s="319" t="s">
        <v>161</v>
      </c>
      <c r="M2787" s="319" t="s">
        <v>155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121"/>
    </row>
    <row r="2788" spans="1:26" ht="15.75" customHeight="1">
      <c r="A2788" s="125" t="str">
        <f>IF(B2788&lt;&gt;"",IF(AND(B2788&gt;=_TM1,B2788&lt;=_TM2,OR(TH!L2788="1111",TH!M2788="1111")),TH!D2788,""),"")</f>
        <v/>
      </c>
      <c r="B2788" s="11">
        <f t="shared" si="226"/>
        <v>12</v>
      </c>
      <c r="C2788" s="115">
        <f t="shared" si="224"/>
        <v>40907</v>
      </c>
      <c r="D2788" s="12" t="s">
        <v>928</v>
      </c>
      <c r="E2788" s="115">
        <v>40907</v>
      </c>
      <c r="F2788" s="116" t="s">
        <v>1331</v>
      </c>
      <c r="G2788" s="224" t="s">
        <v>611</v>
      </c>
      <c r="H2788" s="117" t="s">
        <v>709</v>
      </c>
      <c r="I2788" s="141">
        <v>106</v>
      </c>
      <c r="J2788" s="141">
        <v>17929.49875188318</v>
      </c>
      <c r="K2788" s="330">
        <f t="shared" si="225"/>
        <v>1900527</v>
      </c>
      <c r="L2788" s="319" t="s">
        <v>161</v>
      </c>
      <c r="M2788" s="319" t="s">
        <v>155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121"/>
    </row>
    <row r="2789" spans="1:26" ht="15.75" customHeight="1">
      <c r="A2789" s="125" t="str">
        <f>IF(B2789&lt;&gt;"",IF(AND(B2789&gt;=_TM1,B2789&lt;=_TM2,OR(TH!L2789="1111",TH!M2789="1111")),TH!D2789,""),"")</f>
        <v/>
      </c>
      <c r="B2789" s="11">
        <f t="shared" si="226"/>
        <v>12</v>
      </c>
      <c r="C2789" s="115">
        <f t="shared" si="224"/>
        <v>40907</v>
      </c>
      <c r="D2789" s="12" t="s">
        <v>928</v>
      </c>
      <c r="E2789" s="115">
        <v>40907</v>
      </c>
      <c r="F2789" s="116" t="s">
        <v>1332</v>
      </c>
      <c r="G2789" s="224" t="s">
        <v>611</v>
      </c>
      <c r="H2789" s="117" t="s">
        <v>709</v>
      </c>
      <c r="I2789" s="141">
        <v>76</v>
      </c>
      <c r="J2789" s="141">
        <v>14753.495027950701</v>
      </c>
      <c r="K2789" s="330">
        <f t="shared" si="225"/>
        <v>1121266</v>
      </c>
      <c r="L2789" s="319" t="s">
        <v>161</v>
      </c>
      <c r="M2789" s="319" t="s">
        <v>155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121"/>
    </row>
    <row r="2790" spans="1:26" ht="15.75" customHeight="1">
      <c r="A2790" s="125" t="str">
        <f>IF(B2790&lt;&gt;"",IF(AND(B2790&gt;=_TM1,B2790&lt;=_TM2,OR(TH!L2790="1111",TH!M2790="1111")),TH!D2790,""),"")</f>
        <v/>
      </c>
      <c r="B2790" s="11">
        <f t="shared" si="226"/>
        <v>12</v>
      </c>
      <c r="C2790" s="115">
        <f t="shared" si="224"/>
        <v>40907</v>
      </c>
      <c r="D2790" s="12" t="s">
        <v>928</v>
      </c>
      <c r="E2790" s="115">
        <v>40907</v>
      </c>
      <c r="F2790" s="116" t="s">
        <v>1309</v>
      </c>
      <c r="G2790" s="224" t="s">
        <v>611</v>
      </c>
      <c r="H2790" s="117" t="s">
        <v>709</v>
      </c>
      <c r="I2790" s="141">
        <v>208</v>
      </c>
      <c r="J2790" s="141">
        <v>17929.503378153135</v>
      </c>
      <c r="K2790" s="330">
        <f t="shared" si="225"/>
        <v>3729337</v>
      </c>
      <c r="L2790" s="319" t="s">
        <v>161</v>
      </c>
      <c r="M2790" s="319" t="s">
        <v>155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121"/>
    </row>
    <row r="2791" spans="1:26" ht="15.75" customHeight="1">
      <c r="A2791" s="125" t="str">
        <f>IF(B2791&lt;&gt;"",IF(AND(B2791&gt;=_TM1,B2791&lt;=_TM2,OR(TH!L2791="1111",TH!M2791="1111")),TH!D2791,""),"")</f>
        <v/>
      </c>
      <c r="B2791" s="11">
        <f t="shared" si="226"/>
        <v>12</v>
      </c>
      <c r="C2791" s="115">
        <f t="shared" si="224"/>
        <v>40907</v>
      </c>
      <c r="D2791" s="12" t="s">
        <v>928</v>
      </c>
      <c r="E2791" s="115">
        <v>40907</v>
      </c>
      <c r="F2791" s="116" t="s">
        <v>1333</v>
      </c>
      <c r="G2791" s="224" t="s">
        <v>611</v>
      </c>
      <c r="H2791" s="117" t="s">
        <v>709</v>
      </c>
      <c r="I2791" s="141">
        <v>1</v>
      </c>
      <c r="J2791" s="141">
        <v>9917.5081858454432</v>
      </c>
      <c r="K2791" s="330">
        <f t="shared" si="225"/>
        <v>9918</v>
      </c>
      <c r="L2791" s="319" t="s">
        <v>161</v>
      </c>
      <c r="M2791" s="319" t="s">
        <v>155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121"/>
    </row>
    <row r="2792" spans="1:26" ht="15.75" customHeight="1">
      <c r="A2792" s="125" t="str">
        <f>IF(B2792&lt;&gt;"",IF(AND(B2792&gt;=_TM1,B2792&lt;=_TM2,OR(TH!L2792="1111",TH!M2792="1111")),TH!D2792,""),"")</f>
        <v/>
      </c>
      <c r="B2792" s="11">
        <f t="shared" si="226"/>
        <v>12</v>
      </c>
      <c r="C2792" s="115">
        <f t="shared" si="224"/>
        <v>40907</v>
      </c>
      <c r="D2792" s="12" t="s">
        <v>928</v>
      </c>
      <c r="E2792" s="115">
        <v>40907</v>
      </c>
      <c r="F2792" s="116" t="s">
        <v>1334</v>
      </c>
      <c r="G2792" s="224" t="s">
        <v>611</v>
      </c>
      <c r="H2792" s="117" t="s">
        <v>709</v>
      </c>
      <c r="I2792" s="141">
        <v>12</v>
      </c>
      <c r="J2792" s="141">
        <v>12257.758185845443</v>
      </c>
      <c r="K2792" s="330">
        <f t="shared" si="225"/>
        <v>147093</v>
      </c>
      <c r="L2792" s="319" t="s">
        <v>161</v>
      </c>
      <c r="M2792" s="319" t="s">
        <v>155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121"/>
    </row>
    <row r="2793" spans="1:26" ht="15.75" customHeight="1">
      <c r="A2793" s="125" t="str">
        <f>IF(B2793&lt;&gt;"",IF(AND(B2793&gt;=_TM1,B2793&lt;=_TM2,OR(TH!L2793="1111",TH!M2793="1111")),TH!D2793,""),"")</f>
        <v/>
      </c>
      <c r="B2793" s="11">
        <f t="shared" si="226"/>
        <v>12</v>
      </c>
      <c r="C2793" s="115">
        <f t="shared" si="224"/>
        <v>40907</v>
      </c>
      <c r="D2793" s="12" t="s">
        <v>928</v>
      </c>
      <c r="E2793" s="115">
        <v>40907</v>
      </c>
      <c r="F2793" s="116" t="s">
        <v>880</v>
      </c>
      <c r="G2793" s="224" t="s">
        <v>611</v>
      </c>
      <c r="H2793" s="117" t="s">
        <v>709</v>
      </c>
      <c r="I2793" s="141">
        <v>91</v>
      </c>
      <c r="J2793" s="141">
        <v>11252.497196834454</v>
      </c>
      <c r="K2793" s="330">
        <f t="shared" si="225"/>
        <v>1023977</v>
      </c>
      <c r="L2793" s="319" t="s">
        <v>161</v>
      </c>
      <c r="M2793" s="319" t="s">
        <v>155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121"/>
    </row>
    <row r="2794" spans="1:26" ht="15.75" customHeight="1">
      <c r="A2794" s="125" t="str">
        <f>IF(B2794&lt;&gt;"",IF(AND(B2794&gt;=_TM1,B2794&lt;=_TM2,OR(TH!L2794="1111",TH!M2794="1111")),TH!D2794,""),"")</f>
        <v/>
      </c>
      <c r="B2794" s="11">
        <f t="shared" si="226"/>
        <v>12</v>
      </c>
      <c r="C2794" s="115">
        <f t="shared" si="224"/>
        <v>40907</v>
      </c>
      <c r="D2794" s="12" t="s">
        <v>928</v>
      </c>
      <c r="E2794" s="115">
        <v>40907</v>
      </c>
      <c r="F2794" s="116" t="s">
        <v>1335</v>
      </c>
      <c r="G2794" s="224" t="s">
        <v>611</v>
      </c>
      <c r="H2794" s="117" t="s">
        <v>709</v>
      </c>
      <c r="I2794" s="141">
        <v>1140</v>
      </c>
      <c r="J2794" s="141">
        <v>1770.0125718103548</v>
      </c>
      <c r="K2794" s="330">
        <f t="shared" si="225"/>
        <v>2017814</v>
      </c>
      <c r="L2794" s="319" t="s">
        <v>161</v>
      </c>
      <c r="M2794" s="319" t="s">
        <v>155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121"/>
    </row>
    <row r="2795" spans="1:26" ht="15.75" customHeight="1">
      <c r="A2795" s="125" t="str">
        <f>IF(B2795&lt;&gt;"",IF(AND(B2795&gt;=_TM1,B2795&lt;=_TM2,OR(TH!L2795="1111",TH!M2795="1111")),TH!D2795,""),"")</f>
        <v/>
      </c>
      <c r="B2795" s="11">
        <f t="shared" si="226"/>
        <v>12</v>
      </c>
      <c r="C2795" s="115">
        <f t="shared" si="224"/>
        <v>40907</v>
      </c>
      <c r="D2795" s="12" t="s">
        <v>928</v>
      </c>
      <c r="E2795" s="115">
        <v>40907</v>
      </c>
      <c r="F2795" s="116" t="s">
        <v>1326</v>
      </c>
      <c r="G2795" s="224" t="s">
        <v>611</v>
      </c>
      <c r="H2795" s="117" t="s">
        <v>709</v>
      </c>
      <c r="I2795" s="141">
        <v>1140</v>
      </c>
      <c r="J2795" s="141">
        <v>1770.0125718103548</v>
      </c>
      <c r="K2795" s="330">
        <f t="shared" si="225"/>
        <v>2017814</v>
      </c>
      <c r="L2795" s="319" t="s">
        <v>161</v>
      </c>
      <c r="M2795" s="319" t="s">
        <v>155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121"/>
    </row>
    <row r="2796" spans="1:26" ht="15.75" customHeight="1">
      <c r="A2796" s="125" t="str">
        <f>IF(B2796&lt;&gt;"",IF(AND(B2796&gt;=_TM1,B2796&lt;=_TM2,OR(TH!L2796="1111",TH!M2796="1111")),TH!D2796,""),"")</f>
        <v/>
      </c>
      <c r="B2796" s="11">
        <f t="shared" si="226"/>
        <v>12</v>
      </c>
      <c r="C2796" s="115">
        <f t="shared" si="224"/>
        <v>40907</v>
      </c>
      <c r="D2796" s="12" t="s">
        <v>928</v>
      </c>
      <c r="E2796" s="115">
        <v>40907</v>
      </c>
      <c r="F2796" s="116" t="s">
        <v>1304</v>
      </c>
      <c r="G2796" s="224" t="s">
        <v>611</v>
      </c>
      <c r="H2796" s="117" t="s">
        <v>709</v>
      </c>
      <c r="I2796" s="141">
        <v>1</v>
      </c>
      <c r="J2796" s="141">
        <v>18724.508185845447</v>
      </c>
      <c r="K2796" s="330">
        <f t="shared" si="225"/>
        <v>18725</v>
      </c>
      <c r="L2796" s="319" t="s">
        <v>161</v>
      </c>
      <c r="M2796" s="319" t="s">
        <v>155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121"/>
    </row>
    <row r="2797" spans="1:26" ht="15.75" customHeight="1">
      <c r="A2797" s="125" t="str">
        <f>IF(B2797&lt;&gt;"",IF(AND(B2797&gt;=_TM1,B2797&lt;=_TM2,OR(TH!L2797="1111",TH!M2797="1111")),TH!D2797,""),"")</f>
        <v/>
      </c>
      <c r="B2797" s="11">
        <f t="shared" si="226"/>
        <v>12</v>
      </c>
      <c r="C2797" s="115">
        <f t="shared" si="224"/>
        <v>40907</v>
      </c>
      <c r="D2797" s="12" t="s">
        <v>928</v>
      </c>
      <c r="E2797" s="115">
        <v>40907</v>
      </c>
      <c r="F2797" s="116" t="s">
        <v>1336</v>
      </c>
      <c r="G2797" s="224" t="s">
        <v>611</v>
      </c>
      <c r="H2797" s="117" t="s">
        <v>709</v>
      </c>
      <c r="I2797" s="141">
        <v>7</v>
      </c>
      <c r="J2797" s="141">
        <v>16741.365328702585</v>
      </c>
      <c r="K2797" s="330">
        <f t="shared" si="225"/>
        <v>117190</v>
      </c>
      <c r="L2797" s="319" t="s">
        <v>161</v>
      </c>
      <c r="M2797" s="319" t="s">
        <v>155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121"/>
    </row>
    <row r="2798" spans="1:26" ht="15.75" customHeight="1">
      <c r="A2798" s="125" t="str">
        <f>IF(B2798&lt;&gt;"",IF(AND(B2798&gt;=_TM1,B2798&lt;=_TM2,OR(TH!L2798="1111",TH!M2798="1111")),TH!D2798,""),"")</f>
        <v/>
      </c>
      <c r="B2798" s="11">
        <f t="shared" si="226"/>
        <v>12</v>
      </c>
      <c r="C2798" s="115">
        <f t="shared" si="224"/>
        <v>40907</v>
      </c>
      <c r="D2798" s="12" t="s">
        <v>928</v>
      </c>
      <c r="E2798" s="115">
        <v>40907</v>
      </c>
      <c r="F2798" s="116" t="s">
        <v>1309</v>
      </c>
      <c r="G2798" s="224" t="s">
        <v>611</v>
      </c>
      <c r="H2798" s="117" t="s">
        <v>709</v>
      </c>
      <c r="I2798" s="141">
        <v>20</v>
      </c>
      <c r="J2798" s="141">
        <v>21576.458185845444</v>
      </c>
      <c r="K2798" s="330">
        <f t="shared" si="225"/>
        <v>431529</v>
      </c>
      <c r="L2798" s="319" t="s">
        <v>161</v>
      </c>
      <c r="M2798" s="319" t="s">
        <v>155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121"/>
    </row>
    <row r="2799" spans="1:26" ht="15.75" customHeight="1">
      <c r="A2799" s="125" t="str">
        <f>IF(B2799&lt;&gt;"",IF(AND(B2799&gt;=_TM1,B2799&lt;=_TM2,OR(TH!L2799="1111",TH!M2799="1111")),TH!D2799,""),"")</f>
        <v/>
      </c>
      <c r="B2799" s="11">
        <f t="shared" si="226"/>
        <v>12</v>
      </c>
      <c r="C2799" s="115">
        <f t="shared" si="224"/>
        <v>40907</v>
      </c>
      <c r="D2799" s="12" t="s">
        <v>928</v>
      </c>
      <c r="E2799" s="115">
        <v>40907</v>
      </c>
      <c r="F2799" s="116" t="s">
        <v>1337</v>
      </c>
      <c r="G2799" s="224" t="s">
        <v>611</v>
      </c>
      <c r="H2799" s="117" t="s">
        <v>709</v>
      </c>
      <c r="I2799" s="141">
        <v>10</v>
      </c>
      <c r="J2799" s="141">
        <v>18672.408185845445</v>
      </c>
      <c r="K2799" s="330">
        <f t="shared" si="225"/>
        <v>186724</v>
      </c>
      <c r="L2799" s="319" t="s">
        <v>161</v>
      </c>
      <c r="M2799" s="319" t="s">
        <v>155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121"/>
    </row>
    <row r="2800" spans="1:26" ht="15.75" customHeight="1">
      <c r="A2800" s="125" t="str">
        <f>IF(B2800&lt;&gt;"",IF(AND(B2800&gt;=_TM1,B2800&lt;=_TM2,OR(TH!L2800="1111",TH!M2800="1111")),TH!D2800,""),"")</f>
        <v/>
      </c>
      <c r="B2800" s="11">
        <f t="shared" si="226"/>
        <v>12</v>
      </c>
      <c r="C2800" s="115">
        <f t="shared" si="224"/>
        <v>40907</v>
      </c>
      <c r="D2800" s="12" t="s">
        <v>929</v>
      </c>
      <c r="E2800" s="115">
        <v>40907</v>
      </c>
      <c r="F2800" s="116" t="s">
        <v>1255</v>
      </c>
      <c r="G2800" s="224" t="s">
        <v>1338</v>
      </c>
      <c r="H2800" s="117" t="s">
        <v>709</v>
      </c>
      <c r="I2800" s="141">
        <v>2</v>
      </c>
      <c r="J2800" s="141">
        <v>16741.008185845443</v>
      </c>
      <c r="K2800" s="330">
        <f t="shared" si="225"/>
        <v>33482</v>
      </c>
      <c r="L2800" s="319" t="s">
        <v>161</v>
      </c>
      <c r="M2800" s="319" t="s">
        <v>155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121"/>
    </row>
    <row r="2801" spans="1:26" ht="15.75" customHeight="1">
      <c r="A2801" s="125" t="str">
        <f>IF(B2801&lt;&gt;"",IF(AND(B2801&gt;=_TM1,B2801&lt;=_TM2,OR(TH!L2801="1111",TH!M2801="1111")),TH!D2801,""),"")</f>
        <v/>
      </c>
      <c r="B2801" s="11">
        <f t="shared" si="226"/>
        <v>12</v>
      </c>
      <c r="C2801" s="115">
        <f t="shared" si="224"/>
        <v>40907</v>
      </c>
      <c r="D2801" s="12" t="s">
        <v>929</v>
      </c>
      <c r="E2801" s="115">
        <v>40907</v>
      </c>
      <c r="F2801" s="116" t="s">
        <v>1309</v>
      </c>
      <c r="G2801" s="224" t="s">
        <v>1338</v>
      </c>
      <c r="H2801" s="117" t="s">
        <v>709</v>
      </c>
      <c r="I2801" s="141">
        <v>108</v>
      </c>
      <c r="J2801" s="141">
        <v>17929.498926586184</v>
      </c>
      <c r="K2801" s="330">
        <f t="shared" si="225"/>
        <v>1936386</v>
      </c>
      <c r="L2801" s="319" t="s">
        <v>161</v>
      </c>
      <c r="M2801" s="319" t="s">
        <v>155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121"/>
    </row>
    <row r="2802" spans="1:26" ht="15.75" customHeight="1">
      <c r="A2802" s="125" t="str">
        <f>IF(B2802&lt;&gt;"",IF(AND(B2802&gt;=_TM1,B2802&lt;=_TM2,OR(TH!L2802="1111",TH!M2802="1111")),TH!D2802,""),"")</f>
        <v/>
      </c>
      <c r="B2802" s="11">
        <f t="shared" si="226"/>
        <v>12</v>
      </c>
      <c r="C2802" s="115">
        <f t="shared" si="224"/>
        <v>40907</v>
      </c>
      <c r="D2802" s="12" t="s">
        <v>929</v>
      </c>
      <c r="E2802" s="115">
        <v>40907</v>
      </c>
      <c r="F2802" s="116" t="s">
        <v>1336</v>
      </c>
      <c r="G2802" s="224" t="s">
        <v>1338</v>
      </c>
      <c r="H2802" s="117" t="s">
        <v>709</v>
      </c>
      <c r="I2802" s="141">
        <v>2</v>
      </c>
      <c r="J2802" s="141">
        <v>16741.008185845443</v>
      </c>
      <c r="K2802" s="330">
        <f t="shared" si="225"/>
        <v>33482</v>
      </c>
      <c r="L2802" s="319" t="s">
        <v>161</v>
      </c>
      <c r="M2802" s="319" t="s">
        <v>155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121"/>
    </row>
    <row r="2803" spans="1:26" ht="15.75" customHeight="1">
      <c r="A2803" s="125" t="str">
        <f>IF(B2803&lt;&gt;"",IF(AND(B2803&gt;=_TM1,B2803&lt;=_TM2,OR(TH!L2803="1111",TH!M2803="1111")),TH!D2803,""),"")</f>
        <v/>
      </c>
      <c r="B2803" s="11">
        <f t="shared" si="226"/>
        <v>12</v>
      </c>
      <c r="C2803" s="115">
        <f t="shared" si="224"/>
        <v>40907</v>
      </c>
      <c r="D2803" s="12" t="s">
        <v>929</v>
      </c>
      <c r="E2803" s="115">
        <v>40907</v>
      </c>
      <c r="F2803" s="116" t="s">
        <v>1339</v>
      </c>
      <c r="G2803" s="224" t="s">
        <v>1338</v>
      </c>
      <c r="H2803" s="117" t="s">
        <v>709</v>
      </c>
      <c r="I2803" s="141">
        <v>3</v>
      </c>
      <c r="J2803" s="141">
        <v>9918.5081858454414</v>
      </c>
      <c r="K2803" s="330">
        <f t="shared" si="225"/>
        <v>29756</v>
      </c>
      <c r="L2803" s="319" t="s">
        <v>161</v>
      </c>
      <c r="M2803" s="319" t="s">
        <v>155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121"/>
    </row>
    <row r="2804" spans="1:26" ht="15.75" customHeight="1">
      <c r="A2804" s="125" t="str">
        <f>IF(B2804&lt;&gt;"",IF(AND(B2804&gt;=_TM1,B2804&lt;=_TM2,OR(TH!L2804="1111",TH!M2804="1111")),TH!D2804,""),"")</f>
        <v/>
      </c>
      <c r="B2804" s="11">
        <f t="shared" si="226"/>
        <v>12</v>
      </c>
      <c r="C2804" s="115">
        <f t="shared" si="224"/>
        <v>40907</v>
      </c>
      <c r="D2804" s="12" t="s">
        <v>929</v>
      </c>
      <c r="E2804" s="115">
        <v>40907</v>
      </c>
      <c r="F2804" s="116" t="s">
        <v>1340</v>
      </c>
      <c r="G2804" s="224" t="s">
        <v>1338</v>
      </c>
      <c r="H2804" s="117" t="s">
        <v>709</v>
      </c>
      <c r="I2804" s="141">
        <v>2</v>
      </c>
      <c r="J2804" s="141">
        <v>15252.508185845443</v>
      </c>
      <c r="K2804" s="330">
        <f t="shared" si="225"/>
        <v>30505</v>
      </c>
      <c r="L2804" s="319" t="s">
        <v>161</v>
      </c>
      <c r="M2804" s="319" t="s">
        <v>155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121"/>
    </row>
    <row r="2805" spans="1:26" ht="15.75" customHeight="1">
      <c r="A2805" s="125" t="str">
        <f>IF(B2805&lt;&gt;"",IF(AND(B2805&gt;=_TM1,B2805&lt;=_TM2,OR(TH!L2805="1111",TH!M2805="1111")),TH!D2805,""),"")</f>
        <v/>
      </c>
      <c r="B2805" s="11">
        <f t="shared" si="226"/>
        <v>12</v>
      </c>
      <c r="C2805" s="115">
        <f t="shared" si="224"/>
        <v>40907</v>
      </c>
      <c r="D2805" s="12" t="s">
        <v>929</v>
      </c>
      <c r="E2805" s="115">
        <v>40907</v>
      </c>
      <c r="F2805" s="116" t="s">
        <v>1254</v>
      </c>
      <c r="G2805" s="224" t="s">
        <v>1338</v>
      </c>
      <c r="H2805" s="117" t="s">
        <v>709</v>
      </c>
      <c r="I2805" s="141">
        <v>4</v>
      </c>
      <c r="J2805" s="141">
        <v>10012.008185845443</v>
      </c>
      <c r="K2805" s="330">
        <f t="shared" si="225"/>
        <v>40048</v>
      </c>
      <c r="L2805" s="319" t="s">
        <v>161</v>
      </c>
      <c r="M2805" s="319" t="s">
        <v>155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121"/>
    </row>
    <row r="2806" spans="1:26" ht="15.75" customHeight="1">
      <c r="A2806" s="125" t="str">
        <f>IF(B2806&lt;&gt;"",IF(AND(B2806&gt;=_TM1,B2806&lt;=_TM2,OR(TH!L2806="1111",TH!M2806="1111")),TH!D2806,""),"")</f>
        <v/>
      </c>
      <c r="B2806" s="11">
        <f t="shared" si="226"/>
        <v>12</v>
      </c>
      <c r="C2806" s="115">
        <f t="shared" si="224"/>
        <v>40907</v>
      </c>
      <c r="D2806" s="12" t="s">
        <v>929</v>
      </c>
      <c r="E2806" s="115">
        <v>40907</v>
      </c>
      <c r="F2806" s="116" t="s">
        <v>1257</v>
      </c>
      <c r="G2806" s="224" t="s">
        <v>1338</v>
      </c>
      <c r="H2806" s="117" t="s">
        <v>709</v>
      </c>
      <c r="I2806" s="141">
        <v>2</v>
      </c>
      <c r="J2806" s="141">
        <v>14753.508185845443</v>
      </c>
      <c r="K2806" s="330">
        <f t="shared" si="225"/>
        <v>29507</v>
      </c>
      <c r="L2806" s="319" t="s">
        <v>161</v>
      </c>
      <c r="M2806" s="319" t="s">
        <v>155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121"/>
    </row>
    <row r="2807" spans="1:26" ht="15.75" customHeight="1">
      <c r="A2807" s="125" t="str">
        <f>IF(B2807&lt;&gt;"",IF(AND(B2807&gt;=_TM1,B2807&lt;=_TM2,OR(TH!L2807="1111",TH!M2807="1111")),TH!D2807,""),"")</f>
        <v/>
      </c>
      <c r="B2807" s="11">
        <f t="shared" si="226"/>
        <v>12</v>
      </c>
      <c r="C2807" s="115">
        <f t="shared" si="224"/>
        <v>40907</v>
      </c>
      <c r="D2807" s="12" t="s">
        <v>929</v>
      </c>
      <c r="E2807" s="115">
        <v>40907</v>
      </c>
      <c r="F2807" s="116" t="s">
        <v>1341</v>
      </c>
      <c r="G2807" s="224" t="s">
        <v>1338</v>
      </c>
      <c r="H2807" s="117" t="s">
        <v>709</v>
      </c>
      <c r="I2807" s="141">
        <v>1</v>
      </c>
      <c r="J2807" s="141">
        <v>14753.508185845443</v>
      </c>
      <c r="K2807" s="330">
        <f t="shared" si="225"/>
        <v>14754</v>
      </c>
      <c r="L2807" s="319" t="s">
        <v>161</v>
      </c>
      <c r="M2807" s="319" t="s">
        <v>155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121"/>
    </row>
    <row r="2808" spans="1:26" ht="15.75" customHeight="1">
      <c r="A2808" s="125" t="str">
        <f>IF(B2808&lt;&gt;"",IF(AND(B2808&gt;=_TM1,B2808&lt;=_TM2,OR(TH!L2808="1111",TH!M2808="1111")),TH!D2808,""),"")</f>
        <v/>
      </c>
      <c r="B2808" s="11">
        <f t="shared" si="226"/>
        <v>12</v>
      </c>
      <c r="C2808" s="115">
        <f t="shared" si="224"/>
        <v>40907</v>
      </c>
      <c r="D2808" s="12" t="s">
        <v>929</v>
      </c>
      <c r="E2808" s="115">
        <v>40907</v>
      </c>
      <c r="F2808" s="116" t="s">
        <v>1332</v>
      </c>
      <c r="G2808" s="224" t="s">
        <v>1338</v>
      </c>
      <c r="H2808" s="117" t="s">
        <v>709</v>
      </c>
      <c r="I2808" s="141">
        <v>1</v>
      </c>
      <c r="J2808" s="141">
        <v>16741.508185845443</v>
      </c>
      <c r="K2808" s="330">
        <f t="shared" si="225"/>
        <v>16742</v>
      </c>
      <c r="L2808" s="319" t="s">
        <v>161</v>
      </c>
      <c r="M2808" s="319" t="s">
        <v>155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121"/>
    </row>
    <row r="2809" spans="1:26" ht="15.75" customHeight="1">
      <c r="A2809" s="125" t="str">
        <f>IF(B2809&lt;&gt;"",IF(AND(B2809&gt;=_TM1,B2809&lt;=_TM2,OR(TH!L2809="1111",TH!M2809="1111")),TH!D2809,""),"")</f>
        <v/>
      </c>
      <c r="B2809" s="11">
        <f t="shared" si="226"/>
        <v>12</v>
      </c>
      <c r="C2809" s="115">
        <f t="shared" si="224"/>
        <v>40907</v>
      </c>
      <c r="D2809" s="12" t="s">
        <v>929</v>
      </c>
      <c r="E2809" s="115">
        <v>40907</v>
      </c>
      <c r="F2809" s="116" t="s">
        <v>1342</v>
      </c>
      <c r="G2809" s="224" t="s">
        <v>1338</v>
      </c>
      <c r="H2809" s="117" t="s">
        <v>709</v>
      </c>
      <c r="I2809" s="141">
        <v>2</v>
      </c>
      <c r="J2809" s="141">
        <v>14753.508185845443</v>
      </c>
      <c r="K2809" s="330">
        <f t="shared" si="225"/>
        <v>29507</v>
      </c>
      <c r="L2809" s="319" t="s">
        <v>161</v>
      </c>
      <c r="M2809" s="319" t="s">
        <v>155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121"/>
    </row>
    <row r="2810" spans="1:26" ht="15.75" customHeight="1">
      <c r="A2810" s="125" t="str">
        <f>IF(B2810&lt;&gt;"",IF(AND(B2810&gt;=_TM1,B2810&lt;=_TM2,OR(TH!L2810="1111",TH!M2810="1111")),TH!D2810,""),"")</f>
        <v/>
      </c>
      <c r="B2810" s="11">
        <f t="shared" si="226"/>
        <v>12</v>
      </c>
      <c r="C2810" s="115">
        <f t="shared" si="224"/>
        <v>40907</v>
      </c>
      <c r="D2810" s="12" t="s">
        <v>929</v>
      </c>
      <c r="E2810" s="115">
        <v>40907</v>
      </c>
      <c r="F2810" s="116" t="s">
        <v>720</v>
      </c>
      <c r="G2810" s="224" t="s">
        <v>1338</v>
      </c>
      <c r="H2810" s="117" t="s">
        <v>709</v>
      </c>
      <c r="I2810" s="141">
        <v>1</v>
      </c>
      <c r="J2810" s="141">
        <v>14753.508185845443</v>
      </c>
      <c r="K2810" s="330">
        <f t="shared" si="225"/>
        <v>14754</v>
      </c>
      <c r="L2810" s="319" t="s">
        <v>161</v>
      </c>
      <c r="M2810" s="319" t="s">
        <v>155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121"/>
    </row>
    <row r="2811" spans="1:26" ht="15.75" customHeight="1">
      <c r="A2811" s="125" t="str">
        <f>IF(B2811&lt;&gt;"",IF(AND(B2811&gt;=_TM1,B2811&lt;=_TM2,OR(TH!L2811="1111",TH!M2811="1111")),TH!D2811,""),"")</f>
        <v/>
      </c>
      <c r="B2811" s="11">
        <f t="shared" si="226"/>
        <v>12</v>
      </c>
      <c r="C2811" s="115">
        <f t="shared" ref="C2811:C2822" si="227">E2811</f>
        <v>40907</v>
      </c>
      <c r="D2811" s="12" t="s">
        <v>929</v>
      </c>
      <c r="E2811" s="115">
        <v>40907</v>
      </c>
      <c r="F2811" s="116" t="s">
        <v>1343</v>
      </c>
      <c r="G2811" s="224" t="s">
        <v>1338</v>
      </c>
      <c r="H2811" s="117" t="s">
        <v>709</v>
      </c>
      <c r="I2811" s="141">
        <v>1</v>
      </c>
      <c r="J2811" s="141">
        <v>16741.508185845443</v>
      </c>
      <c r="K2811" s="330">
        <f t="shared" ref="K2811:K2822" si="228">ROUND(I2811*J2811,0)</f>
        <v>16742</v>
      </c>
      <c r="L2811" s="319" t="s">
        <v>161</v>
      </c>
      <c r="M2811" s="319" t="s">
        <v>155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121"/>
    </row>
    <row r="2812" spans="1:26" ht="15.75" customHeight="1">
      <c r="A2812" s="125" t="str">
        <f>IF(B2812&lt;&gt;"",IF(AND(B2812&gt;=_TM1,B2812&lt;=_TM2,OR(TH!L2812="1111",TH!M2812="1111")),TH!D2812,""),"")</f>
        <v/>
      </c>
      <c r="B2812" s="11">
        <f t="shared" si="226"/>
        <v>12</v>
      </c>
      <c r="C2812" s="115">
        <f t="shared" si="227"/>
        <v>40907</v>
      </c>
      <c r="D2812" s="12" t="s">
        <v>929</v>
      </c>
      <c r="E2812" s="115">
        <v>40907</v>
      </c>
      <c r="F2812" s="116" t="s">
        <v>1344</v>
      </c>
      <c r="G2812" s="224" t="s">
        <v>1338</v>
      </c>
      <c r="H2812" s="117" t="s">
        <v>709</v>
      </c>
      <c r="I2812" s="141">
        <v>1</v>
      </c>
      <c r="J2812" s="141">
        <v>14753.508185845443</v>
      </c>
      <c r="K2812" s="330">
        <f t="shared" si="228"/>
        <v>14754</v>
      </c>
      <c r="L2812" s="319" t="s">
        <v>161</v>
      </c>
      <c r="M2812" s="319" t="s">
        <v>155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121"/>
    </row>
    <row r="2813" spans="1:26" ht="15.75" customHeight="1">
      <c r="A2813" s="125" t="str">
        <f>IF(B2813&lt;&gt;"",IF(AND(B2813&gt;=_TM1,B2813&lt;=_TM2,OR(TH!L2813="1111",TH!M2813="1111")),TH!D2813,""),"")</f>
        <v/>
      </c>
      <c r="B2813" s="11">
        <f t="shared" si="226"/>
        <v>12</v>
      </c>
      <c r="C2813" s="115">
        <f t="shared" si="227"/>
        <v>40907</v>
      </c>
      <c r="D2813" s="12" t="s">
        <v>929</v>
      </c>
      <c r="E2813" s="115">
        <v>40907</v>
      </c>
      <c r="F2813" s="116" t="s">
        <v>1345</v>
      </c>
      <c r="G2813" s="224" t="s">
        <v>1338</v>
      </c>
      <c r="H2813" s="117" t="s">
        <v>709</v>
      </c>
      <c r="I2813" s="141">
        <v>1</v>
      </c>
      <c r="J2813" s="141">
        <v>17737.508185845447</v>
      </c>
      <c r="K2813" s="330">
        <f t="shared" si="228"/>
        <v>17738</v>
      </c>
      <c r="L2813" s="319" t="s">
        <v>161</v>
      </c>
      <c r="M2813" s="319" t="s">
        <v>155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121"/>
    </row>
    <row r="2814" spans="1:26" ht="15.75" customHeight="1">
      <c r="A2814" s="125" t="str">
        <f>IF(B2814&lt;&gt;"",IF(AND(B2814&gt;=_TM1,B2814&lt;=_TM2,OR(TH!L2814="1111",TH!M2814="1111")),TH!D2814,""),"")</f>
        <v/>
      </c>
      <c r="B2814" s="11">
        <f t="shared" si="226"/>
        <v>12</v>
      </c>
      <c r="C2814" s="115">
        <f t="shared" si="227"/>
        <v>40907</v>
      </c>
      <c r="D2814" s="12" t="s">
        <v>929</v>
      </c>
      <c r="E2814" s="115">
        <v>40907</v>
      </c>
      <c r="F2814" s="116" t="s">
        <v>1305</v>
      </c>
      <c r="G2814" s="224" t="s">
        <v>1338</v>
      </c>
      <c r="H2814" s="117" t="s">
        <v>709</v>
      </c>
      <c r="I2814" s="141">
        <v>11</v>
      </c>
      <c r="J2814" s="141">
        <v>14753.508185845443</v>
      </c>
      <c r="K2814" s="330">
        <f t="shared" si="228"/>
        <v>162289</v>
      </c>
      <c r="L2814" s="319" t="s">
        <v>161</v>
      </c>
      <c r="M2814" s="319" t="s">
        <v>155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121"/>
    </row>
    <row r="2815" spans="1:26" ht="15.75" customHeight="1">
      <c r="A2815" s="125" t="str">
        <f>IF(B2815&lt;&gt;"",IF(AND(B2815&gt;=_TM1,B2815&lt;=_TM2,OR(TH!L2815="1111",TH!M2815="1111")),TH!D2815,""),"")</f>
        <v/>
      </c>
      <c r="B2815" s="11">
        <f t="shared" si="226"/>
        <v>12</v>
      </c>
      <c r="C2815" s="115">
        <f t="shared" si="227"/>
        <v>40907</v>
      </c>
      <c r="D2815" s="12" t="s">
        <v>929</v>
      </c>
      <c r="E2815" s="115">
        <v>40907</v>
      </c>
      <c r="F2815" s="116" t="s">
        <v>1306</v>
      </c>
      <c r="G2815" s="224" t="s">
        <v>1338</v>
      </c>
      <c r="H2815" s="117" t="s">
        <v>709</v>
      </c>
      <c r="I2815" s="141">
        <v>260</v>
      </c>
      <c r="J2815" s="141">
        <v>17929.508185845447</v>
      </c>
      <c r="K2815" s="330">
        <f t="shared" si="228"/>
        <v>4661672</v>
      </c>
      <c r="L2815" s="319" t="s">
        <v>161</v>
      </c>
      <c r="M2815" s="319" t="s">
        <v>155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121"/>
    </row>
    <row r="2816" spans="1:26" ht="15.75" customHeight="1">
      <c r="A2816" s="125" t="str">
        <f>IF(B2816&lt;&gt;"",IF(AND(B2816&gt;=_TM1,B2816&lt;=_TM2,OR(TH!L2816="1111",TH!M2816="1111")),TH!D2816,""),"")</f>
        <v/>
      </c>
      <c r="B2816" s="11">
        <f t="shared" si="226"/>
        <v>12</v>
      </c>
      <c r="C2816" s="115">
        <f t="shared" si="227"/>
        <v>40907</v>
      </c>
      <c r="D2816" s="12" t="s">
        <v>930</v>
      </c>
      <c r="E2816" s="115">
        <v>40907</v>
      </c>
      <c r="F2816" s="116" t="s">
        <v>1274</v>
      </c>
      <c r="G2816" s="224" t="s">
        <v>1346</v>
      </c>
      <c r="H2816" s="117" t="s">
        <v>711</v>
      </c>
      <c r="I2816" s="141">
        <v>50</v>
      </c>
      <c r="J2816" s="141">
        <v>16741.508185845443</v>
      </c>
      <c r="K2816" s="330">
        <f t="shared" si="228"/>
        <v>837075</v>
      </c>
      <c r="L2816" s="319" t="s">
        <v>161</v>
      </c>
      <c r="M2816" s="319" t="s">
        <v>155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121"/>
    </row>
    <row r="2817" spans="1:26" ht="15.75" customHeight="1">
      <c r="A2817" s="125" t="str">
        <f>IF(B2817&lt;&gt;"",IF(AND(B2817&gt;=_TM1,B2817&lt;=_TM2,OR(TH!L2817="1111",TH!M2817="1111")),TH!D2817,""),"")</f>
        <v/>
      </c>
      <c r="B2817" s="11">
        <f t="shared" si="226"/>
        <v>12</v>
      </c>
      <c r="C2817" s="115">
        <f t="shared" si="227"/>
        <v>40907</v>
      </c>
      <c r="D2817" s="12" t="s">
        <v>930</v>
      </c>
      <c r="E2817" s="115">
        <v>40907</v>
      </c>
      <c r="F2817" s="116" t="s">
        <v>1276</v>
      </c>
      <c r="G2817" s="224" t="s">
        <v>1346</v>
      </c>
      <c r="H2817" s="117" t="s">
        <v>711</v>
      </c>
      <c r="I2817" s="141">
        <v>100</v>
      </c>
      <c r="J2817" s="141">
        <v>17929.508185845443</v>
      </c>
      <c r="K2817" s="330">
        <f t="shared" si="228"/>
        <v>1792951</v>
      </c>
      <c r="L2817" s="319" t="s">
        <v>161</v>
      </c>
      <c r="M2817" s="319" t="s">
        <v>155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121"/>
    </row>
    <row r="2818" spans="1:26" ht="15.75" customHeight="1">
      <c r="A2818" s="125" t="str">
        <f>IF(B2818&lt;&gt;"",IF(AND(B2818&gt;=_TM1,B2818&lt;=_TM2,OR(TH!L2818="1111",TH!M2818="1111")),TH!D2818,""),"")</f>
        <v/>
      </c>
      <c r="B2818" s="11">
        <f t="shared" si="226"/>
        <v>12</v>
      </c>
      <c r="C2818" s="115">
        <f t="shared" si="227"/>
        <v>40907</v>
      </c>
      <c r="D2818" s="12" t="s">
        <v>930</v>
      </c>
      <c r="E2818" s="115">
        <v>40907</v>
      </c>
      <c r="F2818" s="116" t="s">
        <v>1277</v>
      </c>
      <c r="G2818" s="224" t="s">
        <v>1346</v>
      </c>
      <c r="H2818" s="117" t="s">
        <v>711</v>
      </c>
      <c r="I2818" s="141">
        <v>50</v>
      </c>
      <c r="J2818" s="141">
        <v>17737.508185845443</v>
      </c>
      <c r="K2818" s="330">
        <f t="shared" si="228"/>
        <v>886875</v>
      </c>
      <c r="L2818" s="319" t="s">
        <v>161</v>
      </c>
      <c r="M2818" s="319" t="s">
        <v>155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121"/>
    </row>
    <row r="2819" spans="1:26" ht="15.75" customHeight="1">
      <c r="A2819" s="125" t="str">
        <f>IF(B2819&lt;&gt;"",IF(AND(B2819&gt;=_TM1,B2819&lt;=_TM2,OR(TH!L2819="1111",TH!M2819="1111")),TH!D2819,""),"")</f>
        <v/>
      </c>
      <c r="B2819" s="11">
        <f t="shared" si="226"/>
        <v>12</v>
      </c>
      <c r="C2819" s="115">
        <f t="shared" si="227"/>
        <v>40907</v>
      </c>
      <c r="D2819" s="12" t="s">
        <v>930</v>
      </c>
      <c r="E2819" s="115">
        <v>40907</v>
      </c>
      <c r="F2819" s="116" t="s">
        <v>1278</v>
      </c>
      <c r="G2819" s="224" t="s">
        <v>1346</v>
      </c>
      <c r="H2819" s="117" t="s">
        <v>711</v>
      </c>
      <c r="I2819" s="141">
        <v>190</v>
      </c>
      <c r="J2819" s="141">
        <v>17929.508185845443</v>
      </c>
      <c r="K2819" s="330">
        <f t="shared" si="228"/>
        <v>3406607</v>
      </c>
      <c r="L2819" s="319" t="s">
        <v>161</v>
      </c>
      <c r="M2819" s="319" t="s">
        <v>155</v>
      </c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21"/>
    </row>
    <row r="2820" spans="1:26" ht="15.75" customHeight="1">
      <c r="A2820" s="125" t="str">
        <f>IF(B2820&lt;&gt;"",IF(AND(B2820&gt;=_TM1,B2820&lt;=_TM2,OR(TH!L2820="1111",TH!M2820="1111")),TH!D2820,""),"")</f>
        <v/>
      </c>
      <c r="B2820" s="11">
        <f t="shared" si="226"/>
        <v>12</v>
      </c>
      <c r="C2820" s="115">
        <f t="shared" si="227"/>
        <v>40907</v>
      </c>
      <c r="D2820" s="12" t="s">
        <v>930</v>
      </c>
      <c r="E2820" s="115">
        <v>40907</v>
      </c>
      <c r="F2820" s="116" t="s">
        <v>1279</v>
      </c>
      <c r="G2820" s="224" t="s">
        <v>1346</v>
      </c>
      <c r="H2820" s="117" t="s">
        <v>711</v>
      </c>
      <c r="I2820" s="141">
        <v>130</v>
      </c>
      <c r="J2820" s="141">
        <v>17929.508185845447</v>
      </c>
      <c r="K2820" s="330">
        <f t="shared" si="228"/>
        <v>2330836</v>
      </c>
      <c r="L2820" s="319" t="s">
        <v>161</v>
      </c>
      <c r="M2820" s="319" t="s">
        <v>155</v>
      </c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21"/>
    </row>
    <row r="2821" spans="1:26" ht="15.75" customHeight="1">
      <c r="A2821" s="125" t="str">
        <f>IF(B2821&lt;&gt;"",IF(AND(B2821&gt;=_TM1,B2821&lt;=_TM2,OR(TH!L2821="1111",TH!M2821="1111")),TH!D2821,""),"")</f>
        <v/>
      </c>
      <c r="B2821" s="11">
        <f t="shared" si="226"/>
        <v>12</v>
      </c>
      <c r="C2821" s="115">
        <f t="shared" si="227"/>
        <v>40907</v>
      </c>
      <c r="D2821" s="12" t="s">
        <v>930</v>
      </c>
      <c r="E2821" s="115">
        <v>40907</v>
      </c>
      <c r="F2821" s="116" t="s">
        <v>1280</v>
      </c>
      <c r="G2821" s="224" t="s">
        <v>1346</v>
      </c>
      <c r="H2821" s="117" t="s">
        <v>711</v>
      </c>
      <c r="I2821" s="141">
        <v>110</v>
      </c>
      <c r="J2821" s="141">
        <v>17929.508185845443</v>
      </c>
      <c r="K2821" s="330">
        <f t="shared" si="228"/>
        <v>1972246</v>
      </c>
      <c r="L2821" s="319" t="s">
        <v>161</v>
      </c>
      <c r="M2821" s="319" t="s">
        <v>155</v>
      </c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21"/>
    </row>
    <row r="2822" spans="1:26" ht="15.75" customHeight="1">
      <c r="A2822" s="125" t="str">
        <f>IF(B2822&lt;&gt;"",IF(AND(B2822&gt;=_TM1,B2822&lt;=_TM2,OR(TH!L2822="1111",TH!M2822="1111")),TH!D2822,""),"")</f>
        <v/>
      </c>
      <c r="B2822" s="11">
        <f t="shared" si="226"/>
        <v>12</v>
      </c>
      <c r="C2822" s="115">
        <f t="shared" si="227"/>
        <v>40907</v>
      </c>
      <c r="D2822" s="12" t="s">
        <v>930</v>
      </c>
      <c r="E2822" s="115">
        <v>40907</v>
      </c>
      <c r="F2822" s="116" t="s">
        <v>1347</v>
      </c>
      <c r="G2822" s="224" t="s">
        <v>1346</v>
      </c>
      <c r="H2822" s="117" t="s">
        <v>711</v>
      </c>
      <c r="I2822" s="141">
        <v>12</v>
      </c>
      <c r="J2822" s="141">
        <v>17737.508185845443</v>
      </c>
      <c r="K2822" s="330">
        <f t="shared" si="228"/>
        <v>212850</v>
      </c>
      <c r="L2822" s="319" t="s">
        <v>161</v>
      </c>
      <c r="M2822" s="319" t="s">
        <v>155</v>
      </c>
      <c r="N2822" s="25" t="str">
        <f>IF(AND('331-CT'!$E$7=TH!H2822,OR(L2822="331",M2822="331")),"331",IF(AND(OR(L2822="131",M2822="131"),H2822='131-CT'!$E$7),"131",""))</f>
        <v/>
      </c>
      <c r="O2822" s="25" t="str">
        <f>IF(AND($B2822&gt;='111'!$N$11,$B2822&lt;='111'!$O$11,OR($L2822=$O$7,$M2822=$O$7)),"x","")</f>
        <v/>
      </c>
      <c r="P2822" s="25" t="str">
        <f>IF(AND($L2822=$O$7,$B2822&lt;'111'!$N$11),"x","")</f>
        <v/>
      </c>
      <c r="Q2822" s="25" t="str">
        <f>IF(AND($M2822=$O$7,$B2822&lt;'111'!$N$11),"x","")</f>
        <v/>
      </c>
      <c r="R2822" s="25" t="str">
        <f>IF(ISERROR(FIND('112'!$M$9,G2822,1)),"",IF((AND(FIND('112'!$M$9,G2822,1)&gt;=1,$B2822&gt;='112'!$N$8,$B2822&lt;='112'!$O$8,OR($L2822='112'!$I$6,$M2822='112'!$I$6))),"x",""))</f>
        <v/>
      </c>
      <c r="S2822" s="25" t="str">
        <f>IF(ISERROR(FIND('112'!$M$9,G2822,1)),"",IF((AND(LEFT(G2822,2)=LEFT('112'!$M$9,2),B2822&lt;'112'!$N$8,$L2822='112'!$I$6)),"x",""))</f>
        <v/>
      </c>
      <c r="T2822" s="25" t="str">
        <f>IF(ISERROR(FIND('112'!$M$9,G2822,1)),"",IF((AND(RIGHT(G2822,2)=RIGHT('112'!$M$9,2),B2822&lt;'112'!$N$8,$M2822='112'!$I$6)),"x",""))</f>
        <v/>
      </c>
      <c r="U2822" s="25" t="str">
        <f>IF(OR(TH!L2822=TH!$U$7,M2822=TH!$U$7),"x","")</f>
        <v/>
      </c>
      <c r="V2822" s="25" t="str">
        <f>IF(AND(B2822&gt;='IN-NX'!$P$3,B2822&lt;='IN-NX'!$Q$3,'IN-NX'!$D$7=D2822,OR(LEFT(L2822,2)="15",AND(LEFT(M2822,2)&lt;&gt;"15",LEFT(M2822,2)&lt;&gt;"33"))),"x","")</f>
        <v/>
      </c>
      <c r="W2822" s="25" t="str">
        <f>IF(AND(OR(LEFT(TH!L2822,2)="15",LEFT(TH!M2822,2)="15"),'152-CT'!$J$8=TH!F2822),"x","")</f>
        <v/>
      </c>
      <c r="X2822" s="25" t="str">
        <f>IF(AND(OR(LEFT(TH!L2822,2)="15",LEFT(TH!M2822,2)="15"),TK!$E$7=TH!F2822),"x","")</f>
        <v/>
      </c>
      <c r="Y2822" s="25" t="str">
        <f>IF(AND(B2822&lt;=NKC!$N$8,B2822&gt;=NKC!$M$8),"x","")</f>
        <v/>
      </c>
      <c r="Z2822" s="121"/>
    </row>
    <row r="2823" spans="1:26" ht="15.75" customHeight="1">
      <c r="A2823" s="125" t="str">
        <f>IF(B2823&lt;&gt;"",IF(AND(B2823&gt;=_TM1,B2823&lt;=_TM2,OR(TH!L2823="1111",TH!M2823="1111")),TH!D2823,""),"")</f>
        <v/>
      </c>
      <c r="B2823" s="11">
        <f t="shared" si="226"/>
        <v>12</v>
      </c>
      <c r="C2823" s="288">
        <v>40908</v>
      </c>
      <c r="D2823" s="288" t="s">
        <v>314</v>
      </c>
      <c r="E2823" s="312">
        <v>40908</v>
      </c>
      <c r="F2823" s="289" t="s">
        <v>895</v>
      </c>
      <c r="G2823" s="290"/>
      <c r="H2823" s="242"/>
      <c r="I2823" s="220"/>
      <c r="J2823" s="220"/>
      <c r="K2823" s="291">
        <v>6329945</v>
      </c>
      <c r="L2823" s="292" t="s">
        <v>73</v>
      </c>
      <c r="M2823" s="292" t="s">
        <v>240</v>
      </c>
      <c r="N2823" s="25" t="str">
        <f>IF(AND('331-CT'!$E$7=TH!H2823,OR(L2823="331",M2823="331")),"331",IF(AND(OR(L2823="131",M2823="131"),H2823='131-CT'!$E$7),"131",""))</f>
        <v/>
      </c>
      <c r="O2823" s="25" t="str">
        <f>IF(AND($B2823&gt;='111'!$N$11,$B2823&lt;='111'!$O$11,OR($L2823=$O$7,$M2823=$O$7)),"x","")</f>
        <v/>
      </c>
      <c r="P2823" s="25" t="str">
        <f>IF(AND($L2823=$O$7,$B2823&lt;'111'!$N$11),"x","")</f>
        <v/>
      </c>
      <c r="Q2823" s="25" t="str">
        <f>IF(AND($M2823=$O$7,$B2823&lt;'111'!$N$11),"x","")</f>
        <v/>
      </c>
      <c r="R2823" s="25" t="str">
        <f>IF(ISERROR(FIND('112'!$M$9,G2823,1)),"",IF((AND(FIND('112'!$M$9,G2823,1)&gt;=1,$B2823&gt;='112'!$N$8,$B2823&lt;='112'!$O$8,OR($L2823='112'!$I$6,$M2823='112'!$I$6))),"x",""))</f>
        <v/>
      </c>
      <c r="S2823" s="25" t="str">
        <f>IF(ISERROR(FIND('112'!$M$9,G2823,1)),"",IF((AND(LEFT(G2823,2)=LEFT('112'!$M$9,2),B2823&lt;'112'!$N$8,$L2823='112'!$I$6)),"x",""))</f>
        <v/>
      </c>
      <c r="T2823" s="25" t="str">
        <f>IF(ISERROR(FIND('112'!$M$9,G2823,1)),"",IF((AND(RIGHT(G2823,2)=RIGHT('112'!$M$9,2),B2823&lt;'112'!$N$8,$M2823='112'!$I$6)),"x",""))</f>
        <v/>
      </c>
      <c r="U2823" s="25" t="str">
        <f>IF(OR(TH!L2823=TH!$U$7,M2823=TH!$U$7),"x","")</f>
        <v>x</v>
      </c>
      <c r="V2823" s="25" t="str">
        <f>IF(AND(B2823&gt;='IN-NX'!$P$3,B2823&lt;='IN-NX'!$Q$3,'IN-NX'!$D$7=D2823,OR(LEFT(L2823,2)="15",AND(LEFT(M2823,2)&lt;&gt;"15",LEFT(M2823,2)&lt;&gt;"33"))),"x","")</f>
        <v/>
      </c>
      <c r="W2823" s="25" t="str">
        <f>IF(AND(OR(LEFT(TH!L2823,2)="15",LEFT(TH!M2823,2)="15"),'152-CT'!$J$8=TH!F2823),"x","")</f>
        <v/>
      </c>
      <c r="X2823" s="25" t="str">
        <f>IF(AND(OR(LEFT(TH!L2823,2)="15",LEFT(TH!M2823,2)="15"),TK!$E$7=TH!F2823),"x","")</f>
        <v/>
      </c>
      <c r="Y2823" s="25" t="str">
        <f>IF(AND(B2823&lt;=NKC!$N$8,B2823&gt;=NKC!$M$8),"x","")</f>
        <v/>
      </c>
      <c r="Z2823" s="121"/>
    </row>
    <row r="2824" spans="1:26" ht="15.75" customHeight="1">
      <c r="A2824" s="125" t="str">
        <f>IF(B2824&lt;&gt;"",IF(AND(B2824&gt;=_TM1,B2824&lt;=_TM2,OR(TH!L2824="1111",TH!M2824="1111")),TH!D2824,""),"")</f>
        <v/>
      </c>
      <c r="B2824" s="11">
        <f t="shared" si="226"/>
        <v>12</v>
      </c>
      <c r="C2824" s="288">
        <v>40908</v>
      </c>
      <c r="D2824" s="288" t="s">
        <v>314</v>
      </c>
      <c r="E2824" s="312">
        <v>40908</v>
      </c>
      <c r="F2824" s="289" t="s">
        <v>755</v>
      </c>
      <c r="G2824" s="290"/>
      <c r="H2824" s="242"/>
      <c r="I2824" s="220"/>
      <c r="J2824" s="220"/>
      <c r="K2824" s="238">
        <v>6081110</v>
      </c>
      <c r="L2824" s="292" t="s">
        <v>153</v>
      </c>
      <c r="M2824" s="292" t="s">
        <v>240</v>
      </c>
      <c r="N2824" s="25" t="str">
        <f>IF(AND('331-CT'!$E$7=TH!H2824,OR(L2824="331",M2824="331")),"331",IF(AND(OR(L2824="131",M2824="131"),H2824='131-CT'!$E$7),"131",""))</f>
        <v/>
      </c>
      <c r="O2824" s="25" t="str">
        <f>IF(AND($B2824&gt;='111'!$N$11,$B2824&lt;='111'!$O$11,OR($L2824=$O$7,$M2824=$O$7)),"x","")</f>
        <v/>
      </c>
      <c r="P2824" s="25" t="str">
        <f>IF(AND($L2824=$O$7,$B2824&lt;'111'!$N$11),"x","")</f>
        <v/>
      </c>
      <c r="Q2824" s="25" t="str">
        <f>IF(AND($M2824=$O$7,$B2824&lt;'111'!$N$11),"x","")</f>
        <v/>
      </c>
      <c r="R2824" s="25" t="str">
        <f>IF(ISERROR(FIND('112'!$M$9,G2824,1)),"",IF((AND(FIND('112'!$M$9,G2824,1)&gt;=1,$B2824&gt;='112'!$N$8,$B2824&lt;='112'!$O$8,OR($L2824='112'!$I$6,$M2824='112'!$I$6))),"x",""))</f>
        <v/>
      </c>
      <c r="S2824" s="25" t="str">
        <f>IF(ISERROR(FIND('112'!$M$9,G2824,1)),"",IF((AND(LEFT(G2824,2)=LEFT('112'!$M$9,2),B2824&lt;'112'!$N$8,$L2824='112'!$I$6)),"x",""))</f>
        <v/>
      </c>
      <c r="T2824" s="25" t="str">
        <f>IF(ISERROR(FIND('112'!$M$9,G2824,1)),"",IF((AND(RIGHT(G2824,2)=RIGHT('112'!$M$9,2),B2824&lt;'112'!$N$8,$M2824='112'!$I$6)),"x",""))</f>
        <v/>
      </c>
      <c r="U2824" s="25" t="str">
        <f>IF(OR(TH!L2824=TH!$U$7,M2824=TH!$U$7),"x","")</f>
        <v/>
      </c>
      <c r="V2824" s="25" t="str">
        <f>IF(AND(B2824&gt;='IN-NX'!$P$3,B2824&lt;='IN-NX'!$Q$3,'IN-NX'!$D$7=D2824,OR(LEFT(L2824,2)="15",AND(LEFT(M2824,2)&lt;&gt;"15",LEFT(M2824,2)&lt;&gt;"33"))),"x","")</f>
        <v/>
      </c>
      <c r="W2824" s="25" t="str">
        <f>IF(AND(OR(LEFT(TH!L2824,2)="15",LEFT(TH!M2824,2)="15"),'152-CT'!$J$8=TH!F2824),"x","")</f>
        <v/>
      </c>
      <c r="X2824" s="25" t="str">
        <f>IF(AND(OR(LEFT(TH!L2824,2)="15",LEFT(TH!M2824,2)="15"),TK!$E$7=TH!F2824),"x","")</f>
        <v/>
      </c>
      <c r="Y2824" s="25" t="str">
        <f>IF(AND(B2824&lt;=NKC!$N$8,B2824&gt;=NKC!$M$8),"x","")</f>
        <v/>
      </c>
      <c r="Z2824" s="121"/>
    </row>
    <row r="2825" spans="1:26" ht="15.75" customHeight="1">
      <c r="A2825" s="125" t="str">
        <f>IF(B2825&lt;&gt;"",IF(AND(B2825&gt;=_TM1,B2825&lt;=_TM2,OR(TH!L2825="1111",TH!M2825="1111")),TH!D2825,""),"")</f>
        <v>C23</v>
      </c>
      <c r="B2825" s="11">
        <f t="shared" si="226"/>
        <v>12</v>
      </c>
      <c r="C2825" s="288">
        <v>40908</v>
      </c>
      <c r="D2825" s="288" t="s">
        <v>650</v>
      </c>
      <c r="E2825" s="312">
        <v>40908</v>
      </c>
      <c r="F2825" s="289" t="s">
        <v>1165</v>
      </c>
      <c r="G2825" s="290"/>
      <c r="H2825" s="242" t="s">
        <v>340</v>
      </c>
      <c r="I2825" s="220"/>
      <c r="J2825" s="220"/>
      <c r="K2825" s="291">
        <v>12411055</v>
      </c>
      <c r="L2825" s="292" t="s">
        <v>240</v>
      </c>
      <c r="M2825" s="292" t="s">
        <v>44</v>
      </c>
      <c r="N2825" s="25" t="str">
        <f>IF(AND('331-CT'!$E$7=TH!H2825,OR(L2825="331",M2825="331")),"331",IF(AND(OR(L2825="131",M2825="131"),H2825='131-CT'!$E$7),"131",""))</f>
        <v/>
      </c>
      <c r="O2825" s="25" t="str">
        <f>IF(AND($B2825&gt;='111'!$N$11,$B2825&lt;='111'!$O$11,OR($L2825=$O$7,$M2825=$O$7)),"x","")</f>
        <v/>
      </c>
      <c r="P2825" s="25" t="str">
        <f>IF(AND($L2825=$O$7,$B2825&lt;'111'!$N$11),"x","")</f>
        <v/>
      </c>
      <c r="Q2825" s="25" t="str">
        <f>IF(AND($M2825=$O$7,$B2825&lt;'111'!$N$11),"x","")</f>
        <v/>
      </c>
      <c r="R2825" s="25" t="str">
        <f>IF(ISERROR(FIND('112'!$M$9,G2825,1)),"",IF((AND(FIND('112'!$M$9,G2825,1)&gt;=1,$B2825&gt;='112'!$N$8,$B2825&lt;='112'!$O$8,OR($L2825='112'!$I$6,$M2825='112'!$I$6))),"x",""))</f>
        <v/>
      </c>
      <c r="S2825" s="25" t="str">
        <f>IF(ISERROR(FIND('112'!$M$9,G2825,1)),"",IF((AND(LEFT(G2825,2)=LEFT('112'!$M$9,2),B2825&lt;'112'!$N$8,$L2825='112'!$I$6)),"x",""))</f>
        <v/>
      </c>
      <c r="T2825" s="25" t="str">
        <f>IF(ISERROR(FIND('112'!$M$9,G2825,1)),"",IF((AND(RIGHT(G2825,2)=RIGHT('112'!$M$9,2),B2825&lt;'112'!$N$8,$M2825='112'!$I$6)),"x",""))</f>
        <v/>
      </c>
      <c r="U2825" s="25" t="str">
        <f>IF(OR(TH!L2825=TH!$U$7,M2825=TH!$U$7),"x","")</f>
        <v/>
      </c>
      <c r="V2825" s="25" t="str">
        <f>IF(AND(B2825&gt;='IN-NX'!$P$3,B2825&lt;='IN-NX'!$Q$3,'IN-NX'!$D$7=D2825,OR(LEFT(L2825,2)="15",AND(LEFT(M2825,2)&lt;&gt;"15",LEFT(M2825,2)&lt;&gt;"33"))),"x","")</f>
        <v/>
      </c>
      <c r="W2825" s="25" t="str">
        <f>IF(AND(OR(LEFT(TH!L2825,2)="15",LEFT(TH!M2825,2)="15"),'152-CT'!$J$8=TH!F2825),"x","")</f>
        <v/>
      </c>
      <c r="X2825" s="25" t="str">
        <f>IF(AND(OR(LEFT(TH!L2825,2)="15",LEFT(TH!M2825,2)="15"),TK!$E$7=TH!F2825),"x","")</f>
        <v/>
      </c>
      <c r="Y2825" s="25" t="str">
        <f>IF(AND(B2825&lt;=NKC!$N$8,B2825&gt;=NKC!$M$8),"x","")</f>
        <v/>
      </c>
      <c r="Z2825" s="121"/>
    </row>
    <row r="2826" spans="1:26" ht="15.75" customHeight="1">
      <c r="A2826" s="125" t="str">
        <f>IF(B2826&lt;&gt;"",IF(AND(B2826&gt;=_TM1,B2826&lt;=_TM2,OR(TH!L2826="1111",TH!M2826="1111")),TH!D2826,""),"")</f>
        <v/>
      </c>
      <c r="B2826" s="11">
        <f t="shared" si="226"/>
        <v>12</v>
      </c>
      <c r="C2826" s="115">
        <v>40908</v>
      </c>
      <c r="D2826" s="115" t="s">
        <v>681</v>
      </c>
      <c r="E2826" s="115">
        <v>40908</v>
      </c>
      <c r="F2826" s="116" t="s">
        <v>632</v>
      </c>
      <c r="G2826" s="224" t="s">
        <v>1292</v>
      </c>
      <c r="H2826" s="117" t="s">
        <v>624</v>
      </c>
      <c r="I2826" s="141">
        <v>1700</v>
      </c>
      <c r="J2826" s="141">
        <v>13455</v>
      </c>
      <c r="K2826" s="238">
        <v>22873500</v>
      </c>
      <c r="L2826" s="118" t="s">
        <v>147</v>
      </c>
      <c r="M2826" s="118" t="s">
        <v>8</v>
      </c>
      <c r="N2826" s="25" t="str">
        <f>IF(AND('331-CT'!$E$7=TH!H2826,OR(L2826="331",M2826="331")),"331",IF(AND(OR(L2826="131",M2826="131"),H2826='131-CT'!$E$7),"131",""))</f>
        <v/>
      </c>
      <c r="O2826" s="25" t="str">
        <f>IF(AND($B2826&gt;='111'!$N$11,$B2826&lt;='111'!$O$11,OR($L2826=$O$7,$M2826=$O$7)),"x","")</f>
        <v/>
      </c>
      <c r="P2826" s="25" t="str">
        <f>IF(AND($L2826=$O$7,$B2826&lt;'111'!$N$11),"x","")</f>
        <v/>
      </c>
      <c r="Q2826" s="25" t="str">
        <f>IF(AND($M2826=$O$7,$B2826&lt;'111'!$N$11),"x","")</f>
        <v/>
      </c>
      <c r="R2826" s="25" t="str">
        <f>IF(ISERROR(FIND('112'!$M$9,G2826,1)),"",IF((AND(FIND('112'!$M$9,G2826,1)&gt;=1,$B2826&gt;='112'!$N$8,$B2826&lt;='112'!$O$8,OR($L2826='112'!$I$6,$M2826='112'!$I$6))),"x",""))</f>
        <v/>
      </c>
      <c r="S2826" s="25" t="str">
        <f>IF(ISERROR(FIND('112'!$M$9,G2826,1)),"",IF((AND(LEFT(G2826,2)=LEFT('112'!$M$9,2),B2826&lt;'112'!$N$8,$L2826='112'!$I$6)),"x",""))</f>
        <v/>
      </c>
      <c r="T2826" s="25" t="str">
        <f>IF(ISERROR(FIND('112'!$M$9,G2826,1)),"",IF((AND(RIGHT(G2826,2)=RIGHT('112'!$M$9,2),B2826&lt;'112'!$N$8,$M2826='112'!$I$6)),"x",""))</f>
        <v/>
      </c>
      <c r="U2826" s="25" t="str">
        <f>IF(OR(TH!L2826=TH!$U$7,M2826=TH!$U$7),"x","")</f>
        <v/>
      </c>
      <c r="V2826" s="25" t="str">
        <f>IF(AND(B2826&gt;='IN-NX'!$P$3,B2826&lt;='IN-NX'!$Q$3,'IN-NX'!$D$7=D2826,OR(LEFT(L2826,2)="15",AND(LEFT(M2826,2)&lt;&gt;"15",LEFT(M2826,2)&lt;&gt;"33"))),"x","")</f>
        <v/>
      </c>
      <c r="W2826" s="25" t="str">
        <f>IF(AND(OR(LEFT(TH!L2826,2)="15",LEFT(TH!M2826,2)="15"),'152-CT'!$J$8=TH!F2826),"x","")</f>
        <v/>
      </c>
      <c r="X2826" s="25" t="str">
        <f>IF(AND(OR(LEFT(TH!L2826,2)="15",LEFT(TH!M2826,2)="15"),TK!$E$7=TH!F2826),"x","")</f>
        <v/>
      </c>
      <c r="Y2826" s="25" t="str">
        <f>IF(AND(B2826&lt;=NKC!$N$8,B2826&gt;=NKC!$M$8),"x","")</f>
        <v/>
      </c>
      <c r="Z2826" s="121">
        <v>12</v>
      </c>
    </row>
    <row r="2827" spans="1:26" ht="15.75" customHeight="1">
      <c r="A2827" s="125" t="str">
        <f>IF(B2827&lt;&gt;"",IF(AND(B2827&gt;=_TM1,B2827&lt;=_TM2,OR(TH!L2827="1111",TH!M2827="1111")),TH!D2827,""),"")</f>
        <v/>
      </c>
      <c r="B2827" s="11">
        <f t="shared" si="226"/>
        <v>12</v>
      </c>
      <c r="C2827" s="115">
        <v>40908</v>
      </c>
      <c r="D2827" s="115" t="s">
        <v>681</v>
      </c>
      <c r="E2827" s="115">
        <v>40908</v>
      </c>
      <c r="F2827" s="116" t="s">
        <v>633</v>
      </c>
      <c r="G2827" s="224" t="s">
        <v>1292</v>
      </c>
      <c r="H2827" s="117" t="s">
        <v>624</v>
      </c>
      <c r="I2827" s="141">
        <v>2500</v>
      </c>
      <c r="J2827" s="141">
        <v>16631</v>
      </c>
      <c r="K2827" s="238">
        <v>41577500</v>
      </c>
      <c r="L2827" s="118" t="s">
        <v>147</v>
      </c>
      <c r="M2827" s="118" t="s">
        <v>8</v>
      </c>
      <c r="N2827" s="25" t="str">
        <f>IF(AND('331-CT'!$E$7=TH!H2827,OR(L2827="331",M2827="331")),"331",IF(AND(OR(L2827="131",M2827="131"),H2827='131-CT'!$E$7),"131",""))</f>
        <v/>
      </c>
      <c r="O2827" s="25" t="str">
        <f>IF(AND($B2827&gt;='111'!$N$11,$B2827&lt;='111'!$O$11,OR($L2827=$O$7,$M2827=$O$7)),"x","")</f>
        <v/>
      </c>
      <c r="P2827" s="25" t="str">
        <f>IF(AND($L2827=$O$7,$B2827&lt;'111'!$N$11),"x","")</f>
        <v/>
      </c>
      <c r="Q2827" s="25" t="str">
        <f>IF(AND($M2827=$O$7,$B2827&lt;'111'!$N$11),"x","")</f>
        <v/>
      </c>
      <c r="R2827" s="25" t="str">
        <f>IF(ISERROR(FIND('112'!$M$9,G2827,1)),"",IF((AND(FIND('112'!$M$9,G2827,1)&gt;=1,$B2827&gt;='112'!$N$8,$B2827&lt;='112'!$O$8,OR($L2827='112'!$I$6,$M2827='112'!$I$6))),"x",""))</f>
        <v/>
      </c>
      <c r="S2827" s="25" t="str">
        <f>IF(ISERROR(FIND('112'!$M$9,G2827,1)),"",IF((AND(LEFT(G2827,2)=LEFT('112'!$M$9,2),B2827&lt;'112'!$N$8,$L2827='112'!$I$6)),"x",""))</f>
        <v/>
      </c>
      <c r="T2827" s="25" t="str">
        <f>IF(ISERROR(FIND('112'!$M$9,G2827,1)),"",IF((AND(RIGHT(G2827,2)=RIGHT('112'!$M$9,2),B2827&lt;'112'!$N$8,$M2827='112'!$I$6)),"x",""))</f>
        <v/>
      </c>
      <c r="U2827" s="25" t="str">
        <f>IF(OR(TH!L2827=TH!$U$7,M2827=TH!$U$7),"x","")</f>
        <v/>
      </c>
      <c r="V2827" s="25" t="str">
        <f>IF(AND(B2827&gt;='IN-NX'!$P$3,B2827&lt;='IN-NX'!$Q$3,'IN-NX'!$D$7=D2827,OR(LEFT(L2827,2)="15",AND(LEFT(M2827,2)&lt;&gt;"15",LEFT(M2827,2)&lt;&gt;"33"))),"x","")</f>
        <v/>
      </c>
      <c r="W2827" s="25" t="str">
        <f>IF(AND(OR(LEFT(TH!L2827,2)="15",LEFT(TH!M2827,2)="15"),'152-CT'!$J$8=TH!F2827),"x","")</f>
        <v/>
      </c>
      <c r="X2827" s="25" t="str">
        <f>IF(AND(OR(LEFT(TH!L2827,2)="15",LEFT(TH!M2827,2)="15"),TK!$E$7=TH!F2827),"x","")</f>
        <v/>
      </c>
      <c r="Y2827" s="25" t="str">
        <f>IF(AND(B2827&lt;=NKC!$N$8,B2827&gt;=NKC!$M$8),"x","")</f>
        <v/>
      </c>
      <c r="Z2827" s="121">
        <v>12</v>
      </c>
    </row>
    <row r="2828" spans="1:26" ht="15.75" customHeight="1">
      <c r="A2828" s="125" t="str">
        <f>IF(B2828&lt;&gt;"",IF(AND(B2828&gt;=_TM1,B2828&lt;=_TM2,OR(TH!L2828="1111",TH!M2828="1111")),TH!D2828,""),"")</f>
        <v/>
      </c>
      <c r="B2828" s="11">
        <f t="shared" si="226"/>
        <v>12</v>
      </c>
      <c r="C2828" s="115">
        <v>40908</v>
      </c>
      <c r="D2828" s="115" t="s">
        <v>681</v>
      </c>
      <c r="E2828" s="115">
        <v>40908</v>
      </c>
      <c r="F2828" s="116" t="s">
        <v>1231</v>
      </c>
      <c r="G2828" s="224" t="s">
        <v>1292</v>
      </c>
      <c r="H2828" s="117" t="s">
        <v>624</v>
      </c>
      <c r="I2828" s="141"/>
      <c r="J2828" s="141"/>
      <c r="K2828" s="13">
        <v>6445100</v>
      </c>
      <c r="L2828" s="118" t="s">
        <v>9</v>
      </c>
      <c r="M2828" s="118" t="s">
        <v>8</v>
      </c>
      <c r="N2828" s="25" t="str">
        <f>IF(AND('331-CT'!$E$7=TH!H2828,OR(L2828="331",M2828="331")),"331",IF(AND(OR(L2828="131",M2828="131"),H2828='131-CT'!$E$7),"131",""))</f>
        <v/>
      </c>
      <c r="O2828" s="25" t="str">
        <f>IF(AND($B2828&gt;='111'!$N$11,$B2828&lt;='111'!$O$11,OR($L2828=$O$7,$M2828=$O$7)),"x","")</f>
        <v/>
      </c>
      <c r="P2828" s="25" t="str">
        <f>IF(AND($L2828=$O$7,$B2828&lt;'111'!$N$11),"x","")</f>
        <v/>
      </c>
      <c r="Q2828" s="25" t="str">
        <f>IF(AND($M2828=$O$7,$B2828&lt;'111'!$N$11),"x","")</f>
        <v/>
      </c>
      <c r="R2828" s="25" t="str">
        <f>IF(ISERROR(FIND('112'!$M$9,G2828,1)),"",IF((AND(FIND('112'!$M$9,G2828,1)&gt;=1,$B2828&gt;='112'!$N$8,$B2828&lt;='112'!$O$8,OR($L2828='112'!$I$6,$M2828='112'!$I$6))),"x",""))</f>
        <v/>
      </c>
      <c r="S2828" s="25" t="str">
        <f>IF(ISERROR(FIND('112'!$M$9,G2828,1)),"",IF((AND(LEFT(G2828,2)=LEFT('112'!$M$9,2),B2828&lt;'112'!$N$8,$L2828='112'!$I$6)),"x",""))</f>
        <v/>
      </c>
      <c r="T2828" s="25" t="str">
        <f>IF(ISERROR(FIND('112'!$M$9,G2828,1)),"",IF((AND(RIGHT(G2828,2)=RIGHT('112'!$M$9,2),B2828&lt;'112'!$N$8,$M2828='112'!$I$6)),"x",""))</f>
        <v/>
      </c>
      <c r="U2828" s="25" t="str">
        <f>IF(OR(TH!L2828=TH!$U$7,M2828=TH!$U$7),"x","")</f>
        <v/>
      </c>
      <c r="V2828" s="25" t="str">
        <f>IF(AND(B2828&gt;='IN-NX'!$P$3,B2828&lt;='IN-NX'!$Q$3,'IN-NX'!$D$7=D2828,OR(LEFT(L2828,2)="15",AND(LEFT(M2828,2)&lt;&gt;"15",LEFT(M2828,2)&lt;&gt;"33"))),"x","")</f>
        <v/>
      </c>
      <c r="W2828" s="25" t="str">
        <f>IF(AND(OR(LEFT(TH!L2828,2)="15",LEFT(TH!M2828,2)="15"),'152-CT'!$J$8=TH!F2828),"x","")</f>
        <v/>
      </c>
      <c r="X2828" s="25" t="str">
        <f>IF(AND(OR(LEFT(TH!L2828,2)="15",LEFT(TH!M2828,2)="15"),TK!$E$7=TH!F2828),"x","")</f>
        <v/>
      </c>
      <c r="Y2828" s="25" t="str">
        <f>IF(AND(B2828&lt;=NKC!$N$8,B2828&gt;=NKC!$M$8),"x","")</f>
        <v/>
      </c>
      <c r="Z2828" s="121">
        <v>12</v>
      </c>
    </row>
    <row r="2829" spans="1:26" ht="15.75" customHeight="1">
      <c r="A2829" s="125" t="str">
        <f>IF(B2829&lt;&gt;"",IF(AND(B2829&gt;=_TM1,B2829&lt;=_TM2,OR(TH!L2829="1111",TH!M2829="1111")),TH!D2829,""),"")</f>
        <v/>
      </c>
      <c r="B2829" s="11">
        <f t="shared" ref="B2829:B2834" si="229">IF(C2829&lt;&gt;"",MONTH(C2829),"")</f>
        <v>12</v>
      </c>
      <c r="C2829" s="115">
        <v>40908</v>
      </c>
      <c r="D2829" s="12" t="s">
        <v>314</v>
      </c>
      <c r="E2829" s="115">
        <v>40908</v>
      </c>
      <c r="F2829" s="357" t="s">
        <v>1380</v>
      </c>
      <c r="G2829" s="15"/>
      <c r="H2829" s="19"/>
      <c r="I2829" s="141"/>
      <c r="J2829" s="141"/>
      <c r="K2829" s="13">
        <v>22244468</v>
      </c>
      <c r="L2829" s="14" t="s">
        <v>79</v>
      </c>
      <c r="M2829" s="14" t="s">
        <v>54</v>
      </c>
      <c r="N2829" s="25" t="str">
        <f>IF(AND('331-CT'!$E$7=TH!H2829,OR(L2829="331",M2829="331")),"331",IF(AND(OR(L2829="131",M2829="131"),H2829='131-CT'!$E$7),"131",""))</f>
        <v/>
      </c>
      <c r="O2829" s="25" t="str">
        <f>IF(AND($B2829&gt;='111'!$N$11,$B2829&lt;='111'!$O$11,OR($L2829=$O$7,$M2829=$O$7)),"x","")</f>
        <v/>
      </c>
      <c r="P2829" s="25" t="str">
        <f>IF(AND($L2829=$O$7,$B2829&lt;'111'!$N$11),"x","")</f>
        <v/>
      </c>
      <c r="Q2829" s="25" t="str">
        <f>IF(AND($M2829=$O$7,$B2829&lt;'111'!$N$11),"x","")</f>
        <v/>
      </c>
      <c r="R2829" s="25" t="str">
        <f>IF(ISERROR(FIND('112'!$M$9,G2829,1)),"",IF((AND(FIND('112'!$M$9,G2829,1)&gt;=1,$B2829&gt;='112'!$N$8,$B2829&lt;='112'!$O$8,OR($L2829='112'!$I$6,$M2829='112'!$I$6))),"x",""))</f>
        <v/>
      </c>
      <c r="S2829" s="25" t="str">
        <f>IF(ISERROR(FIND('112'!$M$9,G2829,1)),"",IF((AND(LEFT(G2829,2)=LEFT('112'!$M$9,2),B2829&lt;'112'!$N$8,$L2829='112'!$I$6)),"x",""))</f>
        <v/>
      </c>
      <c r="T2829" s="25" t="str">
        <f>IF(ISERROR(FIND('112'!$M$9,G2829,1)),"",IF((AND(RIGHT(G2829,2)=RIGHT('112'!$M$9,2),B2829&lt;'112'!$N$8,$M2829='112'!$I$6)),"x",""))</f>
        <v/>
      </c>
      <c r="U2829" s="25" t="str">
        <f>IF(OR(TH!L2829=TH!$U$7,M2829=TH!$U$7),"x","")</f>
        <v/>
      </c>
      <c r="V2829" s="25" t="str">
        <f>IF(AND(B2829&gt;='IN-NX'!$P$3,B2829&lt;='IN-NX'!$Q$3,'IN-NX'!$D$7=D2829,OR(LEFT(L2829,2)="15",AND(LEFT(M2829,2)&lt;&gt;"15",LEFT(M2829,2)&lt;&gt;"33"))),"x","")</f>
        <v/>
      </c>
      <c r="W2829" s="25" t="str">
        <f>IF(AND(OR(LEFT(TH!L2829,2)="15",LEFT(TH!M2829,2)="15"),'152-CT'!$J$8=TH!F2829),"x","")</f>
        <v/>
      </c>
      <c r="X2829" s="25" t="str">
        <f>IF(AND(OR(LEFT(TH!L2829,2)="15",LEFT(TH!M2829,2)="15"),TK!$E$7=TH!F2829),"x","")</f>
        <v/>
      </c>
      <c r="Y2829" s="25" t="str">
        <f>IF(AND(B2829&lt;=NKC!$N$8,B2829&gt;=NKC!$M$8),"x","")</f>
        <v/>
      </c>
      <c r="Z2829" s="121"/>
    </row>
    <row r="2830" spans="1:26" ht="15.75" customHeight="1">
      <c r="A2830" s="125" t="str">
        <f>IF(B2830&lt;&gt;"",IF(AND(B2830&gt;=_TM1,B2830&lt;=_TM2,OR(TH!L2830="1111",TH!M2830="1111")),TH!D2830,""),"")</f>
        <v/>
      </c>
      <c r="B2830" s="11" t="str">
        <f t="shared" si="229"/>
        <v/>
      </c>
      <c r="C2830" s="12"/>
      <c r="D2830" s="12"/>
      <c r="E2830" s="12"/>
      <c r="F2830" s="15"/>
      <c r="G2830" s="15"/>
      <c r="H2830" s="19"/>
      <c r="I2830" s="141"/>
      <c r="J2830" s="141"/>
      <c r="K2830" s="13"/>
      <c r="L2830" s="14"/>
      <c r="M2830" s="14"/>
      <c r="N2830" s="25" t="str">
        <f>IF(AND('331-CT'!$E$7=TH!H2830,OR(L2830="331",M2830="331")),"331",IF(AND(OR(L2830="131",M2830="131"),H2830='131-CT'!$E$7),"131",""))</f>
        <v/>
      </c>
      <c r="O2830" s="25" t="str">
        <f>IF(AND($B2830&gt;='111'!$N$11,$B2830&lt;='111'!$O$11,OR($L2830=$O$7,$M2830=$O$7)),"x","")</f>
        <v/>
      </c>
      <c r="P2830" s="25" t="str">
        <f>IF(AND($L2830=$O$7,$B2830&lt;'111'!$N$11),"x","")</f>
        <v/>
      </c>
      <c r="Q2830" s="25" t="str">
        <f>IF(AND($M2830=$O$7,$B2830&lt;'111'!$N$11),"x","")</f>
        <v/>
      </c>
      <c r="R2830" s="25" t="str">
        <f>IF(ISERROR(FIND('112'!$M$9,G2830,1)),"",IF((AND(FIND('112'!$M$9,G2830,1)&gt;=1,$B2830&gt;='112'!$N$8,$B2830&lt;='112'!$O$8,OR($L2830='112'!$I$6,$M2830='112'!$I$6))),"x",""))</f>
        <v/>
      </c>
      <c r="S2830" s="25" t="str">
        <f>IF(ISERROR(FIND('112'!$M$9,G2830,1)),"",IF((AND(LEFT(G2830,2)=LEFT('112'!$M$9,2),B2830&lt;'112'!$N$8,$L2830='112'!$I$6)),"x",""))</f>
        <v/>
      </c>
      <c r="T2830" s="25" t="str">
        <f>IF(ISERROR(FIND('112'!$M$9,G2830,1)),"",IF((AND(RIGHT(G2830,2)=RIGHT('112'!$M$9,2),B2830&lt;'112'!$N$8,$M2830='112'!$I$6)),"x",""))</f>
        <v/>
      </c>
      <c r="U2830" s="25" t="str">
        <f>IF(OR(TH!L2830=TH!$U$7,M2830=TH!$U$7),"x","")</f>
        <v/>
      </c>
      <c r="V2830" s="25" t="str">
        <f>IF(AND(B2830&gt;='IN-NX'!$P$3,B2830&lt;='IN-NX'!$Q$3,'IN-NX'!$D$7=D2830,OR(LEFT(L2830,2)="15",AND(LEFT(M2830,2)&lt;&gt;"15",LEFT(M2830,2)&lt;&gt;"33"))),"x","")</f>
        <v/>
      </c>
      <c r="W2830" s="25" t="str">
        <f>IF(AND(OR(LEFT(TH!L2830,2)="15",LEFT(TH!M2830,2)="15"),'152-CT'!$J$8=TH!F2830),"x","")</f>
        <v/>
      </c>
      <c r="X2830" s="25" t="str">
        <f>IF(AND(OR(LEFT(TH!L2830,2)="15",LEFT(TH!M2830,2)="15"),TK!$E$7=TH!F2830),"x","")</f>
        <v/>
      </c>
      <c r="Y2830" s="25" t="str">
        <f>IF(AND(B2830&lt;=NKC!$N$8,B2830&gt;=NKC!$M$8),"x","")</f>
        <v/>
      </c>
      <c r="Z2830" s="121"/>
    </row>
    <row r="2831" spans="1:26" ht="15.75" customHeight="1">
      <c r="A2831" s="125" t="str">
        <f>IF(B2831&lt;&gt;"",IF(AND(B2831&gt;=_TM1,B2831&lt;=_TM2,OR(TH!L2831="1111",TH!M2831="1111")),TH!D2831,""),"")</f>
        <v/>
      </c>
      <c r="B2831" s="11" t="str">
        <f t="shared" si="229"/>
        <v/>
      </c>
      <c r="C2831" s="12"/>
      <c r="D2831" s="12"/>
      <c r="E2831" s="12"/>
      <c r="F2831" s="15"/>
      <c r="G2831" s="15"/>
      <c r="H2831" s="19"/>
      <c r="I2831" s="141"/>
      <c r="J2831" s="141"/>
      <c r="K2831" s="13"/>
      <c r="L2831" s="14"/>
      <c r="M2831" s="14"/>
      <c r="N2831" s="25" t="str">
        <f>IF(AND('331-CT'!$E$7=TH!H2831,OR(L2831="331",M2831="331")),"331",IF(AND(OR(L2831="131",M2831="131"),H2831='131-CT'!$E$7),"131",""))</f>
        <v/>
      </c>
      <c r="O2831" s="25" t="str">
        <f>IF(AND($B2831&gt;='111'!$N$11,$B2831&lt;='111'!$O$11,OR($L2831=$O$7,$M2831=$O$7)),"x","")</f>
        <v/>
      </c>
      <c r="P2831" s="25" t="str">
        <f>IF(AND($L2831=$O$7,$B2831&lt;'111'!$N$11),"x","")</f>
        <v/>
      </c>
      <c r="Q2831" s="25" t="str">
        <f>IF(AND($M2831=$O$7,$B2831&lt;'111'!$N$11),"x","")</f>
        <v/>
      </c>
      <c r="R2831" s="25" t="str">
        <f>IF(ISERROR(FIND('112'!$M$9,G2831,1)),"",IF((AND(FIND('112'!$M$9,G2831,1)&gt;=1,$B2831&gt;='112'!$N$8,$B2831&lt;='112'!$O$8,OR($L2831='112'!$I$6,$M2831='112'!$I$6))),"x",""))</f>
        <v/>
      </c>
      <c r="S2831" s="25" t="str">
        <f>IF(ISERROR(FIND('112'!$M$9,G2831,1)),"",IF((AND(LEFT(G2831,2)=LEFT('112'!$M$9,2),B2831&lt;'112'!$N$8,$L2831='112'!$I$6)),"x",""))</f>
        <v/>
      </c>
      <c r="T2831" s="25" t="str">
        <f>IF(ISERROR(FIND('112'!$M$9,G2831,1)),"",IF((AND(RIGHT(G2831,2)=RIGHT('112'!$M$9,2),B2831&lt;'112'!$N$8,$M2831='112'!$I$6)),"x",""))</f>
        <v/>
      </c>
      <c r="U2831" s="25" t="str">
        <f>IF(OR(TH!L2831=TH!$U$7,M2831=TH!$U$7),"x","")</f>
        <v/>
      </c>
      <c r="V2831" s="25" t="str">
        <f>IF(AND(B2831&gt;='IN-NX'!$P$3,B2831&lt;='IN-NX'!$Q$3,'IN-NX'!$D$7=D2831,OR(LEFT(L2831,2)="15",AND(LEFT(M2831,2)&lt;&gt;"15",LEFT(M2831,2)&lt;&gt;"33"))),"x","")</f>
        <v/>
      </c>
      <c r="W2831" s="25" t="str">
        <f>IF(AND(OR(LEFT(TH!L2831,2)="15",LEFT(TH!M2831,2)="15"),'152-CT'!$J$8=TH!F2831),"x","")</f>
        <v/>
      </c>
      <c r="X2831" s="25" t="str">
        <f>IF(AND(OR(LEFT(TH!L2831,2)="15",LEFT(TH!M2831,2)="15"),TK!$E$7=TH!F2831),"x","")</f>
        <v/>
      </c>
      <c r="Y2831" s="25" t="str">
        <f>IF(AND(B2831&lt;=NKC!$N$8,B2831&gt;=NKC!$M$8),"x","")</f>
        <v/>
      </c>
      <c r="Z2831" s="121"/>
    </row>
    <row r="2832" spans="1:26" ht="15.75" customHeight="1">
      <c r="A2832" s="125" t="str">
        <f>IF(B2832&lt;&gt;"",IF(AND(B2832&gt;=_TM1,B2832&lt;=_TM2,OR(TH!L2832="1111",TH!M2832="1111")),TH!D2832,""),"")</f>
        <v/>
      </c>
      <c r="B2832" s="11" t="str">
        <f t="shared" si="229"/>
        <v/>
      </c>
      <c r="C2832" s="12"/>
      <c r="D2832" s="12"/>
      <c r="E2832" s="12"/>
      <c r="F2832" s="15"/>
      <c r="G2832" s="15"/>
      <c r="H2832" s="19"/>
      <c r="I2832" s="141"/>
      <c r="J2832" s="141"/>
      <c r="K2832" s="13"/>
      <c r="L2832" s="14"/>
      <c r="M2832" s="14"/>
      <c r="N2832" s="25" t="str">
        <f>IF(AND('331-CT'!$E$7=TH!H2832,OR(L2832="331",M2832="331")),"331",IF(AND(OR(L2832="131",M2832="131"),H2832='131-CT'!$E$7),"131",""))</f>
        <v/>
      </c>
      <c r="O2832" s="25" t="str">
        <f>IF(AND($B2832&gt;='111'!$N$11,$B2832&lt;='111'!$O$11,OR($L2832=$O$7,$M2832=$O$7)),"x","")</f>
        <v/>
      </c>
      <c r="P2832" s="25" t="str">
        <f>IF(AND($L2832=$O$7,$B2832&lt;'111'!$N$11),"x","")</f>
        <v/>
      </c>
      <c r="Q2832" s="25" t="str">
        <f>IF(AND($M2832=$O$7,$B2832&lt;'111'!$N$11),"x","")</f>
        <v/>
      </c>
      <c r="R2832" s="25" t="str">
        <f>IF(ISERROR(FIND('112'!$M$9,G2832,1)),"",IF((AND(FIND('112'!$M$9,G2832,1)&gt;=1,$B2832&gt;='112'!$N$8,$B2832&lt;='112'!$O$8,OR($L2832='112'!$I$6,$M2832='112'!$I$6))),"x",""))</f>
        <v/>
      </c>
      <c r="S2832" s="25" t="str">
        <f>IF(ISERROR(FIND('112'!$M$9,G2832,1)),"",IF((AND(LEFT(G2832,2)=LEFT('112'!$M$9,2),B2832&lt;'112'!$N$8,$L2832='112'!$I$6)),"x",""))</f>
        <v/>
      </c>
      <c r="T2832" s="25" t="str">
        <f>IF(ISERROR(FIND('112'!$M$9,G2832,1)),"",IF((AND(RIGHT(G2832,2)=RIGHT('112'!$M$9,2),B2832&lt;'112'!$N$8,$M2832='112'!$I$6)),"x",""))</f>
        <v/>
      </c>
      <c r="U2832" s="25" t="str">
        <f>IF(OR(TH!L2832=TH!$U$7,M2832=TH!$U$7),"x","")</f>
        <v/>
      </c>
      <c r="V2832" s="25" t="str">
        <f>IF(AND(B2832&gt;='IN-NX'!$P$3,B2832&lt;='IN-NX'!$Q$3,'IN-NX'!$D$7=D2832,OR(LEFT(L2832,2)="15",AND(LEFT(M2832,2)&lt;&gt;"15",LEFT(M2832,2)&lt;&gt;"33"))),"x","")</f>
        <v/>
      </c>
      <c r="W2832" s="25" t="str">
        <f>IF(AND(OR(LEFT(TH!L2832,2)="15",LEFT(TH!M2832,2)="15"),'152-CT'!$J$8=TH!F2832),"x","")</f>
        <v/>
      </c>
      <c r="X2832" s="25" t="str">
        <f>IF(AND(OR(LEFT(TH!L2832,2)="15",LEFT(TH!M2832,2)="15"),TK!$E$7=TH!F2832),"x","")</f>
        <v/>
      </c>
      <c r="Y2832" s="25" t="str">
        <f>IF(AND(B2832&lt;=NKC!$N$8,B2832&gt;=NKC!$M$8),"x","")</f>
        <v/>
      </c>
      <c r="Z2832" s="121"/>
    </row>
    <row r="2833" spans="1:26" ht="15.75" customHeight="1">
      <c r="A2833" s="125" t="str">
        <f>IF(B2833&lt;&gt;"",IF(AND(B2833&gt;=_TM1,B2833&lt;=_TM2,OR(TH!L2833="1111",TH!M2833="1111")),TH!D2833,""),"")</f>
        <v/>
      </c>
      <c r="B2833" s="11" t="str">
        <f t="shared" si="229"/>
        <v/>
      </c>
      <c r="C2833" s="12"/>
      <c r="D2833" s="12"/>
      <c r="E2833" s="12"/>
      <c r="F2833" s="15"/>
      <c r="G2833" s="15"/>
      <c r="H2833" s="19"/>
      <c r="I2833" s="141"/>
      <c r="J2833" s="141"/>
      <c r="K2833" s="13"/>
      <c r="L2833" s="14"/>
      <c r="M2833" s="14"/>
      <c r="N2833" s="25" t="str">
        <f>IF(AND('331-CT'!$E$7=TH!H2833,OR(L2833="331",M2833="331")),"331",IF(AND(OR(L2833="131",M2833="131"),H2833='131-CT'!$E$7),"131",""))</f>
        <v/>
      </c>
      <c r="O2833" s="25" t="str">
        <f>IF(AND($B2833&gt;='111'!$N$11,$B2833&lt;='111'!$O$11,OR($L2833=$O$7,$M2833=$O$7)),"x","")</f>
        <v/>
      </c>
      <c r="P2833" s="25" t="str">
        <f>IF(AND($L2833=$O$7,$B2833&lt;'111'!$N$11),"x","")</f>
        <v/>
      </c>
      <c r="Q2833" s="25" t="str">
        <f>IF(AND($M2833=$O$7,$B2833&lt;'111'!$N$11),"x","")</f>
        <v/>
      </c>
      <c r="R2833" s="25" t="str">
        <f>IF(ISERROR(FIND('112'!$M$9,G2833,1)),"",IF((AND(FIND('112'!$M$9,G2833,1)&gt;=1,$B2833&gt;='112'!$N$8,$B2833&lt;='112'!$O$8,OR($L2833='112'!$I$6,$M2833='112'!$I$6))),"x",""))</f>
        <v/>
      </c>
      <c r="S2833" s="25" t="str">
        <f>IF(ISERROR(FIND('112'!$M$9,G2833,1)),"",IF((AND(LEFT(G2833,2)=LEFT('112'!$M$9,2),B2833&lt;'112'!$N$8,$L2833='112'!$I$6)),"x",""))</f>
        <v/>
      </c>
      <c r="T2833" s="25" t="str">
        <f>IF(ISERROR(FIND('112'!$M$9,G2833,1)),"",IF((AND(RIGHT(G2833,2)=RIGHT('112'!$M$9,2),B2833&lt;'112'!$N$8,$M2833='112'!$I$6)),"x",""))</f>
        <v/>
      </c>
      <c r="U2833" s="25" t="str">
        <f>IF(OR(TH!L2833=TH!$U$7,M2833=TH!$U$7),"x","")</f>
        <v/>
      </c>
      <c r="V2833" s="25" t="str">
        <f>IF(AND(B2833&gt;='IN-NX'!$P$3,B2833&lt;='IN-NX'!$Q$3,'IN-NX'!$D$7=D2833,OR(LEFT(L2833,2)="15",AND(LEFT(M2833,2)&lt;&gt;"15",LEFT(M2833,2)&lt;&gt;"33"))),"x","")</f>
        <v/>
      </c>
      <c r="W2833" s="25" t="str">
        <f>IF(AND(OR(LEFT(TH!L2833,2)="15",LEFT(TH!M2833,2)="15"),'152-CT'!$J$8=TH!F2833),"x","")</f>
        <v/>
      </c>
      <c r="X2833" s="25" t="str">
        <f>IF(AND(OR(LEFT(TH!L2833,2)="15",LEFT(TH!M2833,2)="15"),TK!$E$7=TH!F2833),"x","")</f>
        <v/>
      </c>
      <c r="Y2833" s="25" t="str">
        <f>IF(AND(B2833&lt;=NKC!$N$8,B2833&gt;=NKC!$M$8),"x","")</f>
        <v/>
      </c>
      <c r="Z2833" s="121"/>
    </row>
    <row r="2834" spans="1:26" ht="15.75" customHeight="1">
      <c r="A2834" s="125" t="str">
        <f>IF(B2834&lt;&gt;"",IF(AND(B2834&gt;=_TM1,B2834&lt;=_TM2,OR(TH!L2834="1111",TH!M2834="1111")),TH!D2834,""),"")</f>
        <v/>
      </c>
      <c r="B2834" s="11" t="str">
        <f t="shared" si="229"/>
        <v/>
      </c>
      <c r="C2834" s="12"/>
      <c r="D2834" s="12"/>
      <c r="E2834" s="12"/>
      <c r="F2834" s="15"/>
      <c r="G2834" s="15"/>
      <c r="H2834" s="19"/>
      <c r="I2834" s="141"/>
      <c r="J2834" s="141"/>
      <c r="K2834" s="13"/>
      <c r="L2834" s="14"/>
      <c r="M2834" s="14"/>
      <c r="N2834" s="25" t="str">
        <f>IF(AND('331-CT'!$E$7=TH!H2834,OR(L2834="331",M2834="331")),"331",IF(AND(OR(L2834="131",M2834="131"),H2834='131-CT'!$E$7),"131",""))</f>
        <v/>
      </c>
      <c r="O2834" s="25" t="str">
        <f>IF(AND($B2834&gt;='111'!$N$11,$B2834&lt;='111'!$O$11,OR($L2834=$O$7,$M2834=$O$7)),"x","")</f>
        <v/>
      </c>
      <c r="P2834" s="25" t="str">
        <f>IF(AND($L2834=$O$7,$B2834&lt;'111'!$N$11),"x","")</f>
        <v/>
      </c>
      <c r="Q2834" s="25" t="str">
        <f>IF(AND($M2834=$O$7,$B2834&lt;'111'!$N$11),"x","")</f>
        <v/>
      </c>
      <c r="R2834" s="25" t="str">
        <f>IF(ISERROR(FIND('112'!$M$9,G2834,1)),"",IF((AND(FIND('112'!$M$9,G2834,1)&gt;=1,$B2834&gt;='112'!$N$8,$B2834&lt;='112'!$O$8,OR($L2834='112'!$I$6,$M2834='112'!$I$6))),"x",""))</f>
        <v/>
      </c>
      <c r="S2834" s="25" t="str">
        <f>IF(ISERROR(FIND('112'!$M$9,G2834,1)),"",IF((AND(LEFT(G2834,2)=LEFT('112'!$M$9,2),B2834&lt;'112'!$N$8,$L2834='112'!$I$6)),"x",""))</f>
        <v/>
      </c>
      <c r="T2834" s="25" t="str">
        <f>IF(ISERROR(FIND('112'!$M$9,G2834,1)),"",IF((AND(RIGHT(G2834,2)=RIGHT('112'!$M$9,2),B2834&lt;'112'!$N$8,$M2834='112'!$I$6)),"x",""))</f>
        <v/>
      </c>
      <c r="U2834" s="25" t="str">
        <f>IF(OR(TH!L2834=TH!$U$7,M2834=TH!$U$7),"x","")</f>
        <v/>
      </c>
      <c r="V2834" s="25" t="str">
        <f>IF(AND(B2834&gt;='IN-NX'!$P$3,B2834&lt;='IN-NX'!$Q$3,'IN-NX'!$D$7=D2834,OR(LEFT(L2834,2)="15",AND(LEFT(M2834,2)&lt;&gt;"15",LEFT(M2834,2)&lt;&gt;"33"))),"x","")</f>
        <v/>
      </c>
      <c r="W2834" s="25" t="str">
        <f>IF(AND(OR(LEFT(TH!L2834,2)="15",LEFT(TH!M2834,2)="15"),'152-CT'!$J$8=TH!F2834),"x","")</f>
        <v/>
      </c>
      <c r="X2834" s="25" t="str">
        <f>IF(AND(OR(LEFT(TH!L2834,2)="15",LEFT(TH!M2834,2)="15"),TK!$E$7=TH!F2834),"x","")</f>
        <v/>
      </c>
      <c r="Y2834" s="25" t="str">
        <f>IF(AND(B2834&lt;=NKC!$N$8,B2834&gt;=NKC!$M$8),"x","")</f>
        <v/>
      </c>
      <c r="Z2834" s="121"/>
    </row>
    <row r="2835" spans="1:26">
      <c r="A2835" s="126"/>
      <c r="B2835" s="121"/>
      <c r="C2835" s="121"/>
      <c r="D2835" s="121"/>
      <c r="E2835" s="121"/>
      <c r="F2835" s="121"/>
      <c r="G2835" s="225"/>
      <c r="H2835" s="133"/>
      <c r="I2835" s="133"/>
      <c r="J2835" s="133"/>
      <c r="K2835" s="121"/>
      <c r="L2835" s="121"/>
      <c r="M2835" s="121"/>
      <c r="N2835" s="121"/>
      <c r="O2835" s="121"/>
      <c r="P2835" s="121"/>
      <c r="Q2835" s="121"/>
      <c r="R2835" s="121"/>
      <c r="S2835" s="121"/>
      <c r="T2835" s="121"/>
      <c r="U2835" s="121"/>
      <c r="V2835" s="121"/>
      <c r="W2835" s="121"/>
      <c r="X2835" s="121"/>
      <c r="Y2835" s="121"/>
      <c r="Z2835" s="121"/>
    </row>
    <row r="2836" spans="1:26">
      <c r="A2836" s="126"/>
      <c r="B2836" s="121"/>
      <c r="C2836" s="121"/>
      <c r="D2836" s="121"/>
      <c r="E2836" s="121"/>
      <c r="F2836" s="121"/>
      <c r="G2836" s="225"/>
      <c r="H2836" s="321"/>
      <c r="I2836" s="133"/>
      <c r="J2836" s="133"/>
      <c r="K2836" s="121"/>
      <c r="L2836" s="121"/>
      <c r="M2836" s="121"/>
      <c r="N2836" s="121"/>
      <c r="O2836" s="121"/>
      <c r="P2836" s="121"/>
      <c r="Q2836" s="121"/>
      <c r="R2836" s="121"/>
      <c r="S2836" s="121"/>
      <c r="T2836" s="121"/>
      <c r="U2836" s="121"/>
      <c r="V2836" s="121"/>
      <c r="W2836" s="121"/>
      <c r="X2836" s="121"/>
      <c r="Y2836" s="121"/>
      <c r="Z2836" s="121"/>
    </row>
    <row r="2837" spans="1:26">
      <c r="A2837" s="126"/>
      <c r="B2837" s="121"/>
      <c r="C2837" s="121"/>
      <c r="D2837" s="121"/>
      <c r="E2837" s="121"/>
      <c r="F2837" s="121"/>
      <c r="G2837" s="225"/>
      <c r="H2837" s="133"/>
      <c r="I2837" s="133"/>
      <c r="J2837" s="133"/>
      <c r="K2837" s="219">
        <f>SUBTOTAL(9,K10:K2834)</f>
        <v>13582781188</v>
      </c>
      <c r="L2837" s="121"/>
      <c r="M2837" s="121"/>
      <c r="N2837" s="121"/>
      <c r="O2837" s="121"/>
      <c r="P2837" s="121"/>
      <c r="Q2837" s="121"/>
      <c r="R2837" s="121"/>
      <c r="S2837" s="121"/>
      <c r="T2837" s="121"/>
      <c r="U2837" s="121"/>
      <c r="V2837" s="121"/>
      <c r="W2837" s="121"/>
      <c r="X2837" s="121"/>
      <c r="Y2837" s="121"/>
      <c r="Z2837" s="121"/>
    </row>
  </sheetData>
  <autoFilter ref="A9:AB2834"/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41" activePane="bottomLeft" state="frozen"/>
      <selection activeCell="A8" sqref="A8"/>
      <selection pane="bottomLeft" activeCell="D34" sqref="D34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59" customFormat="1" ht="15">
      <c r="A1" s="424" t="str">
        <f>TH!A1</f>
        <v>Đơn vị: CÔNG TY TNHH SX TM KIM DUNG PHÁT</v>
      </c>
      <c r="F1" s="817" t="s">
        <v>325</v>
      </c>
      <c r="G1" s="817"/>
      <c r="H1" s="817"/>
      <c r="I1" s="817"/>
    </row>
    <row r="2" spans="1:14" s="359" customFormat="1" ht="15">
      <c r="A2" s="359" t="str">
        <f>TH!A2</f>
        <v>Địa chỉ: 1A227/1 Ấp 1, Phạm Văn Hai, Bình Chánh, TPHCM</v>
      </c>
      <c r="F2" s="81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6"/>
      <c r="H2" s="816"/>
      <c r="I2" s="816"/>
    </row>
    <row r="3" spans="1:14" s="359" customFormat="1" ht="15">
      <c r="F3" s="816"/>
      <c r="G3" s="816"/>
      <c r="H3" s="816"/>
      <c r="I3" s="816"/>
    </row>
    <row r="4" spans="1:14" s="359" customFormat="1" ht="15">
      <c r="H4" s="375"/>
      <c r="I4" s="375"/>
    </row>
    <row r="5" spans="1:14" s="359" customFormat="1" ht="26.25" customHeight="1">
      <c r="B5" s="424"/>
      <c r="C5" s="424"/>
      <c r="D5" s="427" t="s">
        <v>326</v>
      </c>
      <c r="E5" s="424"/>
      <c r="F5" s="424"/>
      <c r="G5" s="424"/>
      <c r="H5" s="424"/>
      <c r="I5" s="424"/>
      <c r="J5" s="424"/>
      <c r="K5" s="424"/>
    </row>
    <row r="6" spans="1:14" s="359" customFormat="1" ht="19.5" customHeight="1">
      <c r="B6" s="425"/>
      <c r="C6" s="425"/>
      <c r="D6" s="426" t="str">
        <f ca="1">$K$9&amp;"   -   Năm:  " &amp;YEAR(A11)</f>
        <v>Quý III   -   Năm:  2011</v>
      </c>
      <c r="E6" s="425"/>
      <c r="F6" s="425"/>
      <c r="G6" s="425"/>
      <c r="H6" s="425"/>
      <c r="I6" s="425"/>
      <c r="J6" s="425"/>
      <c r="K6" s="425"/>
    </row>
    <row r="7" spans="1:14" s="359" customFormat="1" ht="15">
      <c r="A7" s="358"/>
      <c r="B7" s="358"/>
      <c r="C7" s="358"/>
      <c r="D7" s="358"/>
      <c r="E7" s="358"/>
      <c r="F7" s="358"/>
      <c r="G7" s="358"/>
      <c r="H7" s="820" t="s">
        <v>112</v>
      </c>
      <c r="I7" s="820"/>
      <c r="J7" s="358"/>
      <c r="K7" s="358"/>
      <c r="M7" s="819" t="s">
        <v>306</v>
      </c>
      <c r="N7" s="819"/>
    </row>
    <row r="8" spans="1:14" s="359" customFormat="1" ht="23.25" customHeight="1" thickBot="1">
      <c r="A8" s="810" t="s">
        <v>327</v>
      </c>
      <c r="B8" s="812" t="s">
        <v>1</v>
      </c>
      <c r="C8" s="813"/>
      <c r="D8" s="814" t="s">
        <v>0</v>
      </c>
      <c r="E8" s="810" t="s">
        <v>328</v>
      </c>
      <c r="F8" s="818" t="s">
        <v>84</v>
      </c>
      <c r="G8" s="818"/>
      <c r="H8" s="812" t="s">
        <v>20</v>
      </c>
      <c r="I8" s="813"/>
      <c r="J8" s="358"/>
      <c r="K8" s="358"/>
      <c r="M8" s="360">
        <f>IF(K9="Quý I",1,IF(K9="Quý II",4,IF(K9="Quý III",7,IF(K9="Quý IV",10,""))))</f>
        <v>7</v>
      </c>
      <c r="N8" s="360">
        <f>IF(K9="Quý I",3,IF(K9="Quý II",6,IF(K9="Quý III",9,IF(K9="Quý IV",12,""))))</f>
        <v>9</v>
      </c>
    </row>
    <row r="9" spans="1:14" s="359" customFormat="1" ht="28.5" customHeight="1" thickBot="1">
      <c r="A9" s="811"/>
      <c r="B9" s="361" t="s">
        <v>15</v>
      </c>
      <c r="C9" s="361" t="s">
        <v>30</v>
      </c>
      <c r="D9" s="815"/>
      <c r="E9" s="811"/>
      <c r="F9" s="376" t="s">
        <v>21</v>
      </c>
      <c r="G9" s="376" t="s">
        <v>22</v>
      </c>
      <c r="H9" s="361" t="s">
        <v>329</v>
      </c>
      <c r="I9" s="361" t="s">
        <v>22</v>
      </c>
      <c r="K9" s="298" t="s">
        <v>1024</v>
      </c>
    </row>
    <row r="10" spans="1:14" s="359" customFormat="1" ht="21" customHeight="1">
      <c r="A10" s="362"/>
      <c r="B10" s="362"/>
      <c r="C10" s="362"/>
      <c r="D10" s="363" t="s">
        <v>332</v>
      </c>
      <c r="E10" s="364"/>
      <c r="F10" s="362"/>
      <c r="G10" s="362"/>
      <c r="H10" s="365">
        <f>SUMIF(_M,"&lt;"&amp;$M$8,TH)</f>
        <v>5516962815</v>
      </c>
      <c r="I10" s="365">
        <f>SUMIF(_M,"&lt;"&amp;$M$8,TH)</f>
        <v>5516962815</v>
      </c>
    </row>
    <row r="11" spans="1:14" s="359" customFormat="1" ht="21" customHeight="1">
      <c r="A11" s="366">
        <f ca="1">IF(ROWS($1:1)&gt;COUNT(Dong6),"",OFFSET(TH!C$1,SMALL(Dong6,ROWS($1:1)),))</f>
        <v>40725</v>
      </c>
      <c r="B11" s="367" t="str">
        <f ca="1">IF(ROWS($1:1)&gt;COUNT(Dong6),"",OFFSET(TH!D$1,SMALL(Dong6,ROWS($1:1)),))</f>
        <v>CTGS</v>
      </c>
      <c r="C11" s="366">
        <f ca="1">IF(ROWS($1:1)&gt;COUNT(Dong6),"",OFFSET(TH!E$1,SMALL(Dong6,ROWS($1:1)),))</f>
        <v>40725</v>
      </c>
      <c r="D11" s="368" t="str">
        <f ca="1">IF(ROWS($1:1)&gt;COUNT(Dong6),"",OFFSET(TH!F$1,SMALL(Dong6,ROWS($1:1)),))</f>
        <v>Trích khấu hao TSCĐ Hữu hình</v>
      </c>
      <c r="E11" s="367">
        <f t="shared" ref="E11:E40" ca="1" si="0">IF(D11&lt;&gt;"",ROW()-10,"")</f>
        <v>1</v>
      </c>
      <c r="F11" s="369" t="str">
        <f ca="1">IF(ROWS($1:1)&gt;COUNT(Dong6),"",OFFSET(TH!L$1,SMALL(Dong6,ROWS($1:1)),))</f>
        <v>154</v>
      </c>
      <c r="G11" s="369" t="str">
        <f ca="1">IF(ROWS($1:1)&gt;COUNT(Dong6),"",OFFSET(TH!M$1,SMALL(Dong6,ROWS($1:1)),))</f>
        <v>2141</v>
      </c>
      <c r="H11" s="296">
        <f ca="1">IF(ROWS($1:1)&gt;COUNT(Dong6),"",OFFSET(TH!K$1,SMALL(Dong6,ROWS($1:1)),))</f>
        <v>18250000</v>
      </c>
      <c r="I11" s="296">
        <f ca="1">IF(ROWS($1:1)&gt;COUNT(Dong6),"",OFFSET(TH!K$1,SMALL(Dong6,ROWS($1:1)),))</f>
        <v>18250000</v>
      </c>
    </row>
    <row r="12" spans="1:14" s="359" customFormat="1" ht="21" customHeight="1">
      <c r="A12" s="366">
        <f ca="1">IF(ROWS($1:2)&gt;COUNT(Dong6),"",OFFSET(TH!C$1,SMALL(Dong6,ROWS($1:2)),))</f>
        <v>40725</v>
      </c>
      <c r="B12" s="367" t="str">
        <f ca="1">IF(ROWS($1:2)&gt;COUNT(Dong6),"",OFFSET(TH!D$1,SMALL(Dong6,ROWS($1:2)),))</f>
        <v>CTGS</v>
      </c>
      <c r="C12" s="366">
        <f ca="1">IF(ROWS($1:2)&gt;COUNT(Dong6),"",OFFSET(TH!E$1,SMALL(Dong6,ROWS($1:2)),))</f>
        <v>40725</v>
      </c>
      <c r="D12" s="368" t="str">
        <f ca="1">IF(ROWS($1:2)&gt;COUNT(Dong6),"",OFFSET(TH!F$1,SMALL(Dong6,ROWS($1:2)),))</f>
        <v>Phân bổ chi phí trả trước ngắn hạn</v>
      </c>
      <c r="E12" s="367">
        <f t="shared" ca="1" si="0"/>
        <v>2</v>
      </c>
      <c r="F12" s="369" t="str">
        <f ca="1">IF(ROWS($1:2)&gt;COUNT(Dong6),"",OFFSET(TH!L$1,SMALL(Dong6,ROWS($1:2)),))</f>
        <v>154</v>
      </c>
      <c r="G12" s="369" t="str">
        <f ca="1">IF(ROWS($1:2)&gt;COUNT(Dong6),"",OFFSET(TH!M$1,SMALL(Dong6,ROWS($1:2)),))</f>
        <v>142</v>
      </c>
      <c r="H12" s="296">
        <f ca="1">IF(ROWS($1:2)&gt;COUNT(Dong6),"",OFFSET(TH!K$1,SMALL(Dong6,ROWS($1:2)),))</f>
        <v>3164845</v>
      </c>
      <c r="I12" s="296">
        <f ca="1">IF(ROWS($1:2)&gt;COUNT(Dong6),"",OFFSET(TH!K$1,SMALL(Dong6,ROWS($1:2)),))</f>
        <v>3164845</v>
      </c>
    </row>
    <row r="13" spans="1:14" s="359" customFormat="1" ht="21" customHeight="1">
      <c r="A13" s="366">
        <f ca="1">IF(ROWS($1:3)&gt;COUNT(Dong6),"",OFFSET(TH!C$1,SMALL(Dong6,ROWS($1:3)),))</f>
        <v>40725</v>
      </c>
      <c r="B13" s="367" t="str">
        <f ca="1">IF(ROWS($1:3)&gt;COUNT(Dong6),"",OFFSET(TH!D$1,SMALL(Dong6,ROWS($1:3)),))</f>
        <v>VL/X01</v>
      </c>
      <c r="C13" s="366">
        <f ca="1">IF(ROWS($1:3)&gt;COUNT(Dong6),"",OFFSET(TH!E$1,SMALL(Dong6,ROWS($1:3)),))</f>
        <v>40725</v>
      </c>
      <c r="D13" s="368" t="str">
        <f ca="1">IF(ROWS($1:3)&gt;COUNT(Dong6),"",OFFSET(TH!F$1,SMALL(Dong6,ROWS($1:3)),))</f>
        <v>Kẽm đóng bao bì</v>
      </c>
      <c r="E13" s="367">
        <f t="shared" ca="1" si="0"/>
        <v>3</v>
      </c>
      <c r="F13" s="369" t="str">
        <f ca="1">IF(ROWS($1:3)&gt;COUNT(Dong6),"",OFFSET(TH!L$1,SMALL(Dong6,ROWS($1:3)),))</f>
        <v>154</v>
      </c>
      <c r="G13" s="369" t="str">
        <f ca="1">IF(ROWS($1:3)&gt;COUNT(Dong6),"",OFFSET(TH!M$1,SMALL(Dong6,ROWS($1:3)),))</f>
        <v>1522</v>
      </c>
      <c r="H13" s="296">
        <f ca="1">IF(ROWS($1:3)&gt;COUNT(Dong6),"",OFFSET(TH!K$1,SMALL(Dong6,ROWS($1:3)),))</f>
        <v>1175000</v>
      </c>
      <c r="I13" s="296">
        <f ca="1">IF(ROWS($1:3)&gt;COUNT(Dong6),"",OFFSET(TH!K$1,SMALL(Dong6,ROWS($1:3)),))</f>
        <v>1175000</v>
      </c>
    </row>
    <row r="14" spans="1:14" s="359" customFormat="1" ht="21" customHeight="1">
      <c r="A14" s="366">
        <f ca="1">IF(ROWS($1:4)&gt;COUNT(Dong6),"",OFFSET(TH!C$1,SMALL(Dong6,ROWS($1:4)),))</f>
        <v>40725</v>
      </c>
      <c r="B14" s="367" t="str">
        <f ca="1">IF(ROWS($1:4)&gt;COUNT(Dong6),"",OFFSET(TH!D$1,SMALL(Dong6,ROWS($1:4)),))</f>
        <v>VL/X01</v>
      </c>
      <c r="C14" s="366">
        <f ca="1">IF(ROWS($1:4)&gt;COUNT(Dong6),"",OFFSET(TH!E$1,SMALL(Dong6,ROWS($1:4)),))</f>
        <v>40725</v>
      </c>
      <c r="D14" s="368" t="str">
        <f ca="1">IF(ROWS($1:4)&gt;COUNT(Dong6),"",OFFSET(TH!F$1,SMALL(Dong6,ROWS($1:4)),))</f>
        <v>Dây nylon</v>
      </c>
      <c r="E14" s="367">
        <f t="shared" ca="1" si="0"/>
        <v>4</v>
      </c>
      <c r="F14" s="369" t="str">
        <f ca="1">IF(ROWS($1:4)&gt;COUNT(Dong6),"",OFFSET(TH!L$1,SMALL(Dong6,ROWS($1:4)),))</f>
        <v>154</v>
      </c>
      <c r="G14" s="369" t="str">
        <f ca="1">IF(ROWS($1:4)&gt;COUNT(Dong6),"",OFFSET(TH!M$1,SMALL(Dong6,ROWS($1:4)),))</f>
        <v>1522</v>
      </c>
      <c r="H14" s="296">
        <f ca="1">IF(ROWS($1:4)&gt;COUNT(Dong6),"",OFFSET(TH!K$1,SMALL(Dong6,ROWS($1:4)),))</f>
        <v>1176000</v>
      </c>
      <c r="I14" s="296">
        <f ca="1">IF(ROWS($1:4)&gt;COUNT(Dong6),"",OFFSET(TH!K$1,SMALL(Dong6,ROWS($1:4)),))</f>
        <v>1176000</v>
      </c>
    </row>
    <row r="15" spans="1:14" s="359" customFormat="1" ht="21" customHeight="1">
      <c r="A15" s="366">
        <f ca="1">IF(ROWS($1:5)&gt;COUNT(Dong6),"",OFFSET(TH!C$1,SMALL(Dong6,ROWS($1:5)),))</f>
        <v>40725</v>
      </c>
      <c r="B15" s="367" t="str">
        <f ca="1">IF(ROWS($1:5)&gt;COUNT(Dong6),"",OFFSET(TH!D$1,SMALL(Dong6,ROWS($1:5)),))</f>
        <v>VL/X01</v>
      </c>
      <c r="C15" s="366">
        <f ca="1">IF(ROWS($1:5)&gt;COUNT(Dong6),"",OFFSET(TH!E$1,SMALL(Dong6,ROWS($1:5)),))</f>
        <v>40725</v>
      </c>
      <c r="D15" s="368" t="str">
        <f ca="1">IF(ROWS($1:5)&gt;COUNT(Dong6),"",OFFSET(TH!F$1,SMALL(Dong6,ROWS($1:5)),))</f>
        <v>Bản in cao su</v>
      </c>
      <c r="E15" s="367">
        <f t="shared" ca="1" si="0"/>
        <v>5</v>
      </c>
      <c r="F15" s="369" t="str">
        <f ca="1">IF(ROWS($1:5)&gt;COUNT(Dong6),"",OFFSET(TH!L$1,SMALL(Dong6,ROWS($1:5)),))</f>
        <v>154</v>
      </c>
      <c r="G15" s="369" t="str">
        <f ca="1">IF(ROWS($1:5)&gt;COUNT(Dong6),"",OFFSET(TH!M$1,SMALL(Dong6,ROWS($1:5)),))</f>
        <v>1522</v>
      </c>
      <c r="H15" s="296">
        <f ca="1">IF(ROWS($1:5)&gt;COUNT(Dong6),"",OFFSET(TH!K$1,SMALL(Dong6,ROWS($1:5)),))</f>
        <v>1410970</v>
      </c>
      <c r="I15" s="296">
        <f ca="1">IF(ROWS($1:5)&gt;COUNT(Dong6),"",OFFSET(TH!K$1,SMALL(Dong6,ROWS($1:5)),))</f>
        <v>1410970</v>
      </c>
    </row>
    <row r="16" spans="1:14" s="359" customFormat="1" ht="21" customHeight="1">
      <c r="A16" s="366">
        <f ca="1">IF(ROWS($1:6)&gt;COUNT(Dong6),"",OFFSET(TH!C$1,SMALL(Dong6,ROWS($1:6)),))</f>
        <v>40729</v>
      </c>
      <c r="B16" s="367" t="str">
        <f ca="1">IF(ROWS($1:6)&gt;COUNT(Dong6),"",OFFSET(TH!D$1,SMALL(Dong6,ROWS($1:6)),))</f>
        <v>C01</v>
      </c>
      <c r="C16" s="366">
        <f ca="1">IF(ROWS($1:6)&gt;COUNT(Dong6),"",OFFSET(TH!E$1,SMALL(Dong6,ROWS($1:6)),))</f>
        <v>40729</v>
      </c>
      <c r="D16" s="368" t="str">
        <f ca="1">IF(ROWS($1:6)&gt;COUNT(Dong6),"",OFFSET(TH!F$1,SMALL(Dong6,ROWS($1:6)),))</f>
        <v>Mực in VFLEX 6529 Blue</v>
      </c>
      <c r="E16" s="367">
        <f t="shared" ca="1" si="0"/>
        <v>6</v>
      </c>
      <c r="F16" s="369" t="str">
        <f ca="1">IF(ROWS($1:6)&gt;COUNT(Dong6),"",OFFSET(TH!L$1,SMALL(Dong6,ROWS($1:6)),))</f>
        <v>154</v>
      </c>
      <c r="G16" s="369" t="str">
        <f ca="1">IF(ROWS($1:6)&gt;COUNT(Dong6),"",OFFSET(TH!M$1,SMALL(Dong6,ROWS($1:6)),))</f>
        <v>1111</v>
      </c>
      <c r="H16" s="296">
        <f ca="1">IF(ROWS($1:6)&gt;COUNT(Dong6),"",OFFSET(TH!K$1,SMALL(Dong6,ROWS($1:6)),))</f>
        <v>2680000</v>
      </c>
      <c r="I16" s="296">
        <f ca="1">IF(ROWS($1:6)&gt;COUNT(Dong6),"",OFFSET(TH!K$1,SMALL(Dong6,ROWS($1:6)),))</f>
        <v>2680000</v>
      </c>
    </row>
    <row r="17" spans="1:9" s="359" customFormat="1" ht="21" customHeight="1">
      <c r="A17" s="366">
        <f ca="1">IF(ROWS($1:7)&gt;COUNT(Dong6),"",OFFSET(TH!C$1,SMALL(Dong6,ROWS($1:7)),))</f>
        <v>40729</v>
      </c>
      <c r="B17" s="367" t="str">
        <f ca="1">IF(ROWS($1:7)&gt;COUNT(Dong6),"",OFFSET(TH!D$1,SMALL(Dong6,ROWS($1:7)),))</f>
        <v>C01</v>
      </c>
      <c r="C17" s="366">
        <f ca="1">IF(ROWS($1:7)&gt;COUNT(Dong6),"",OFFSET(TH!E$1,SMALL(Dong6,ROWS($1:7)),))</f>
        <v>40729</v>
      </c>
      <c r="D17" s="368" t="str">
        <f ca="1">IF(ROWS($1:7)&gt;COUNT(Dong6),"",OFFSET(TH!F$1,SMALL(Dong6,ROWS($1:7)),))</f>
        <v>VAT Mực in VFLEX 6529 Blue</v>
      </c>
      <c r="E17" s="367">
        <f t="shared" ca="1" si="0"/>
        <v>7</v>
      </c>
      <c r="F17" s="369" t="str">
        <f ca="1">IF(ROWS($1:7)&gt;COUNT(Dong6),"",OFFSET(TH!L$1,SMALL(Dong6,ROWS($1:7)),))</f>
        <v>1331</v>
      </c>
      <c r="G17" s="369" t="str">
        <f ca="1">IF(ROWS($1:7)&gt;COUNT(Dong6),"",OFFSET(TH!M$1,SMALL(Dong6,ROWS($1:7)),))</f>
        <v>1111</v>
      </c>
      <c r="H17" s="296">
        <f ca="1">IF(ROWS($1:7)&gt;COUNT(Dong6),"",OFFSET(TH!K$1,SMALL(Dong6,ROWS($1:7)),))</f>
        <v>268000</v>
      </c>
      <c r="I17" s="296">
        <f ca="1">IF(ROWS($1:7)&gt;COUNT(Dong6),"",OFFSET(TH!K$1,SMALL(Dong6,ROWS($1:7)),))</f>
        <v>268000</v>
      </c>
    </row>
    <row r="18" spans="1:9" s="359" customFormat="1" ht="21" customHeight="1">
      <c r="A18" s="366">
        <f ca="1">IF(ROWS($1:8)&gt;COUNT(Dong6),"",OFFSET(TH!C$1,SMALL(Dong6,ROWS($1:8)),))</f>
        <v>40729</v>
      </c>
      <c r="B18" s="367" t="str">
        <f ca="1">IF(ROWS($1:8)&gt;COUNT(Dong6),"",OFFSET(TH!D$1,SMALL(Dong6,ROWS($1:8)),))</f>
        <v>NL/X01</v>
      </c>
      <c r="C18" s="366">
        <f ca="1">IF(ROWS($1:8)&gt;COUNT(Dong6),"",OFFSET(TH!E$1,SMALL(Dong6,ROWS($1:8)),))</f>
        <v>40729</v>
      </c>
      <c r="D18" s="368" t="str">
        <f ca="1">IF(ROWS($1:8)&gt;COUNT(Dong6),"",OFFSET(TH!F$1,SMALL(Dong6,ROWS($1:8)),))</f>
        <v>Giấy tấm 1V+2X ( 1540x542)</v>
      </c>
      <c r="E18" s="367">
        <f t="shared" ca="1" si="0"/>
        <v>8</v>
      </c>
      <c r="F18" s="369" t="str">
        <f ca="1">IF(ROWS($1:8)&gt;COUNT(Dong6),"",OFFSET(TH!L$1,SMALL(Dong6,ROWS($1:8)),))</f>
        <v>154</v>
      </c>
      <c r="G18" s="369" t="str">
        <f ca="1">IF(ROWS($1:8)&gt;COUNT(Dong6),"",OFFSET(TH!M$1,SMALL(Dong6,ROWS($1:8)),))</f>
        <v>1521</v>
      </c>
      <c r="H18" s="296">
        <f ca="1">IF(ROWS($1:8)&gt;COUNT(Dong6),"",OFFSET(TH!K$1,SMALL(Dong6,ROWS($1:8)),))</f>
        <v>747224</v>
      </c>
      <c r="I18" s="296">
        <f ca="1">IF(ROWS($1:8)&gt;COUNT(Dong6),"",OFFSET(TH!K$1,SMALL(Dong6,ROWS($1:8)),))</f>
        <v>747224</v>
      </c>
    </row>
    <row r="19" spans="1:9" s="359" customFormat="1" ht="21" customHeight="1">
      <c r="A19" s="366">
        <f ca="1">IF(ROWS($1:9)&gt;COUNT(Dong6),"",OFFSET(TH!C$1,SMALL(Dong6,ROWS($1:9)),))</f>
        <v>40729</v>
      </c>
      <c r="B19" s="367" t="str">
        <f ca="1">IF(ROWS($1:9)&gt;COUNT(Dong6),"",OFFSET(TH!D$1,SMALL(Dong6,ROWS($1:9)),))</f>
        <v>NL/X01</v>
      </c>
      <c r="C19" s="366">
        <f ca="1">IF(ROWS($1:9)&gt;COUNT(Dong6),"",OFFSET(TH!E$1,SMALL(Dong6,ROWS($1:9)),))</f>
        <v>40729</v>
      </c>
      <c r="D19" s="368" t="str">
        <f ca="1">IF(ROWS($1:9)&gt;COUNT(Dong6),"",OFFSET(TH!F$1,SMALL(Dong6,ROWS($1:9)),))</f>
        <v>Giấy carton 7L ( 110x146)</v>
      </c>
      <c r="E19" s="367">
        <f t="shared" ca="1" si="0"/>
        <v>9</v>
      </c>
      <c r="F19" s="369" t="str">
        <f ca="1">IF(ROWS($1:9)&gt;COUNT(Dong6),"",OFFSET(TH!L$1,SMALL(Dong6,ROWS($1:9)),))</f>
        <v>154</v>
      </c>
      <c r="G19" s="369" t="str">
        <f ca="1">IF(ROWS($1:9)&gt;COUNT(Dong6),"",OFFSET(TH!M$1,SMALL(Dong6,ROWS($1:9)),))</f>
        <v>1521</v>
      </c>
      <c r="H19" s="296">
        <f ca="1">IF(ROWS($1:9)&gt;COUNT(Dong6),"",OFFSET(TH!K$1,SMALL(Dong6,ROWS($1:9)),))</f>
        <v>10949708</v>
      </c>
      <c r="I19" s="296">
        <f ca="1">IF(ROWS($1:9)&gt;COUNT(Dong6),"",OFFSET(TH!K$1,SMALL(Dong6,ROWS($1:9)),))</f>
        <v>10949708</v>
      </c>
    </row>
    <row r="20" spans="1:9" s="359" customFormat="1" ht="21" customHeight="1">
      <c r="A20" s="366">
        <f ca="1">IF(ROWS($1:10)&gt;COUNT(Dong6),"",OFFSET(TH!C$1,SMALL(Dong6,ROWS($1:10)),))</f>
        <v>40729</v>
      </c>
      <c r="B20" s="367" t="str">
        <f ca="1">IF(ROWS($1:10)&gt;COUNT(Dong6),"",OFFSET(TH!D$1,SMALL(Dong6,ROWS($1:10)),))</f>
        <v>NL/X01</v>
      </c>
      <c r="C20" s="366">
        <f ca="1">IF(ROWS($1:10)&gt;COUNT(Dong6),"",OFFSET(TH!E$1,SMALL(Dong6,ROWS($1:10)),))</f>
        <v>40729</v>
      </c>
      <c r="D20" s="368" t="str">
        <f ca="1">IF(ROWS($1:10)&gt;COUNT(Dong6),"",OFFSET(TH!F$1,SMALL(Dong6,ROWS($1:10)),))</f>
        <v>Giấy tấm ND+5X+V ( 105x226)</v>
      </c>
      <c r="E20" s="367">
        <f t="shared" ca="1" si="0"/>
        <v>10</v>
      </c>
      <c r="F20" s="369" t="str">
        <f ca="1">IF(ROWS($1:10)&gt;COUNT(Dong6),"",OFFSET(TH!L$1,SMALL(Dong6,ROWS($1:10)),))</f>
        <v>154</v>
      </c>
      <c r="G20" s="369" t="str">
        <f ca="1">IF(ROWS($1:10)&gt;COUNT(Dong6),"",OFFSET(TH!M$1,SMALL(Dong6,ROWS($1:10)),))</f>
        <v>1521</v>
      </c>
      <c r="H20" s="296">
        <f ca="1">IF(ROWS($1:10)&gt;COUNT(Dong6),"",OFFSET(TH!K$1,SMALL(Dong6,ROWS($1:10)),))</f>
        <v>428805</v>
      </c>
      <c r="I20" s="296">
        <f ca="1">IF(ROWS($1:10)&gt;COUNT(Dong6),"",OFFSET(TH!K$1,SMALL(Dong6,ROWS($1:10)),))</f>
        <v>428805</v>
      </c>
    </row>
    <row r="21" spans="1:9" s="359" customFormat="1" ht="21" customHeight="1">
      <c r="A21" s="366">
        <f ca="1">IF(ROWS($1:11)&gt;COUNT(Dong6),"",OFFSET(TH!C$1,SMALL(Dong6,ROWS($1:11)),))</f>
        <v>40729</v>
      </c>
      <c r="B21" s="367" t="str">
        <f ca="1">IF(ROWS($1:11)&gt;COUNT(Dong6),"",OFFSET(TH!D$1,SMALL(Dong6,ROWS($1:11)),))</f>
        <v>NL/X01</v>
      </c>
      <c r="C21" s="366">
        <f ca="1">IF(ROWS($1:11)&gt;COUNT(Dong6),"",OFFSET(TH!E$1,SMALL(Dong6,ROWS($1:11)),))</f>
        <v>40729</v>
      </c>
      <c r="D21" s="368" t="str">
        <f ca="1">IF(ROWS($1:11)&gt;COUNT(Dong6),"",OFFSET(TH!F$1,SMALL(Dong6,ROWS($1:11)),))</f>
        <v>Giấy tấm 1V+2X ( 1460x444)</v>
      </c>
      <c r="E21" s="367">
        <f t="shared" ca="1" si="0"/>
        <v>11</v>
      </c>
      <c r="F21" s="369" t="str">
        <f ca="1">IF(ROWS($1:11)&gt;COUNT(Dong6),"",OFFSET(TH!L$1,SMALL(Dong6,ROWS($1:11)),))</f>
        <v>154</v>
      </c>
      <c r="G21" s="369" t="str">
        <f ca="1">IF(ROWS($1:11)&gt;COUNT(Dong6),"",OFFSET(TH!M$1,SMALL(Dong6,ROWS($1:11)),))</f>
        <v>1521</v>
      </c>
      <c r="H21" s="296">
        <f ca="1">IF(ROWS($1:11)&gt;COUNT(Dong6),"",OFFSET(TH!K$1,SMALL(Dong6,ROWS($1:11)),))</f>
        <v>266940</v>
      </c>
      <c r="I21" s="296">
        <f ca="1">IF(ROWS($1:11)&gt;COUNT(Dong6),"",OFFSET(TH!K$1,SMALL(Dong6,ROWS($1:11)),))</f>
        <v>266940</v>
      </c>
    </row>
    <row r="22" spans="1:9" s="359" customFormat="1" ht="21" customHeight="1">
      <c r="A22" s="366">
        <f ca="1">IF(ROWS($1:12)&gt;COUNT(Dong6),"",OFFSET(TH!C$1,SMALL(Dong6,ROWS($1:12)),))</f>
        <v>40729</v>
      </c>
      <c r="B22" s="367" t="str">
        <f ca="1">IF(ROWS($1:12)&gt;COUNT(Dong6),"",OFFSET(TH!D$1,SMALL(Dong6,ROWS($1:12)),))</f>
        <v>NL/X01</v>
      </c>
      <c r="C22" s="366">
        <f ca="1">IF(ROWS($1:12)&gt;COUNT(Dong6),"",OFFSET(TH!E$1,SMALL(Dong6,ROWS($1:12)),))</f>
        <v>40729</v>
      </c>
      <c r="D22" s="368" t="str">
        <f ca="1">IF(ROWS($1:12)&gt;COUNT(Dong6),"",OFFSET(TH!F$1,SMALL(Dong6,ROWS($1:12)),))</f>
        <v>Giấy tấm 1V+2X ( 1460x444)</v>
      </c>
      <c r="E22" s="367">
        <f t="shared" ca="1" si="0"/>
        <v>12</v>
      </c>
      <c r="F22" s="369" t="str">
        <f ca="1">IF(ROWS($1:12)&gt;COUNT(Dong6),"",OFFSET(TH!L$1,SMALL(Dong6,ROWS($1:12)),))</f>
        <v>154</v>
      </c>
      <c r="G22" s="369" t="str">
        <f ca="1">IF(ROWS($1:12)&gt;COUNT(Dong6),"",OFFSET(TH!M$1,SMALL(Dong6,ROWS($1:12)),))</f>
        <v>1521</v>
      </c>
      <c r="H22" s="296">
        <f ca="1">IF(ROWS($1:12)&gt;COUNT(Dong6),"",OFFSET(TH!K$1,SMALL(Dong6,ROWS($1:12)),))</f>
        <v>266940</v>
      </c>
      <c r="I22" s="296">
        <f ca="1">IF(ROWS($1:12)&gt;COUNT(Dong6),"",OFFSET(TH!K$1,SMALL(Dong6,ROWS($1:12)),))</f>
        <v>266940</v>
      </c>
    </row>
    <row r="23" spans="1:9" s="359" customFormat="1" ht="21" customHeight="1">
      <c r="A23" s="366">
        <f ca="1">IF(ROWS($1:13)&gt;COUNT(Dong6),"",OFFSET(TH!C$1,SMALL(Dong6,ROWS($1:13)),))</f>
        <v>40729</v>
      </c>
      <c r="B23" s="367" t="str">
        <f ca="1">IF(ROWS($1:13)&gt;COUNT(Dong6),"",OFFSET(TH!D$1,SMALL(Dong6,ROWS($1:13)),))</f>
        <v>NL/X01</v>
      </c>
      <c r="C23" s="366">
        <f ca="1">IF(ROWS($1:13)&gt;COUNT(Dong6),"",OFFSET(TH!E$1,SMALL(Dong6,ROWS($1:13)),))</f>
        <v>40729</v>
      </c>
      <c r="D23" s="368" t="str">
        <f ca="1">IF(ROWS($1:13)&gt;COUNT(Dong6),"",OFFSET(TH!F$1,SMALL(Dong6,ROWS($1:13)),))</f>
        <v>Giấy tấm 1V+2X ( 1480x452)</v>
      </c>
      <c r="E23" s="367">
        <f t="shared" ca="1" si="0"/>
        <v>13</v>
      </c>
      <c r="F23" s="369" t="str">
        <f ca="1">IF(ROWS($1:13)&gt;COUNT(Dong6),"",OFFSET(TH!L$1,SMALL(Dong6,ROWS($1:13)),))</f>
        <v>154</v>
      </c>
      <c r="G23" s="369" t="str">
        <f ca="1">IF(ROWS($1:13)&gt;COUNT(Dong6),"",OFFSET(TH!M$1,SMALL(Dong6,ROWS($1:13)),))</f>
        <v>1521</v>
      </c>
      <c r="H23" s="296">
        <f ca="1">IF(ROWS($1:13)&gt;COUNT(Dong6),"",OFFSET(TH!K$1,SMALL(Dong6,ROWS($1:13)),))</f>
        <v>78064</v>
      </c>
      <c r="I23" s="296">
        <f ca="1">IF(ROWS($1:13)&gt;COUNT(Dong6),"",OFFSET(TH!K$1,SMALL(Dong6,ROWS($1:13)),))</f>
        <v>78064</v>
      </c>
    </row>
    <row r="24" spans="1:9" s="359" customFormat="1" ht="21" customHeight="1">
      <c r="A24" s="366">
        <f ca="1">IF(ROWS($1:14)&gt;COUNT(Dong6),"",OFFSET(TH!C$1,SMALL(Dong6,ROWS($1:14)),))</f>
        <v>40729</v>
      </c>
      <c r="B24" s="367" t="str">
        <f ca="1">IF(ROWS($1:14)&gt;COUNT(Dong6),"",OFFSET(TH!D$1,SMALL(Dong6,ROWS($1:14)),))</f>
        <v>NL/X01</v>
      </c>
      <c r="C24" s="366">
        <f ca="1">IF(ROWS($1:14)&gt;COUNT(Dong6),"",OFFSET(TH!E$1,SMALL(Dong6,ROWS($1:14)),))</f>
        <v>40729</v>
      </c>
      <c r="D24" s="368" t="str">
        <f ca="1">IF(ROWS($1:14)&gt;COUNT(Dong6),"",OFFSET(TH!F$1,SMALL(Dong6,ROWS($1:14)),))</f>
        <v>Giấy tấm 1V+2X ( 1460x444)</v>
      </c>
      <c r="E24" s="367">
        <f t="shared" ca="1" si="0"/>
        <v>14</v>
      </c>
      <c r="F24" s="369" t="str">
        <f ca="1">IF(ROWS($1:14)&gt;COUNT(Dong6),"",OFFSET(TH!L$1,SMALL(Dong6,ROWS($1:14)),))</f>
        <v>154</v>
      </c>
      <c r="G24" s="369" t="str">
        <f ca="1">IF(ROWS($1:14)&gt;COUNT(Dong6),"",OFFSET(TH!M$1,SMALL(Dong6,ROWS($1:14)),))</f>
        <v>1521</v>
      </c>
      <c r="H24" s="296">
        <f ca="1">IF(ROWS($1:14)&gt;COUNT(Dong6),"",OFFSET(TH!K$1,SMALL(Dong6,ROWS($1:14)),))</f>
        <v>444897</v>
      </c>
      <c r="I24" s="296">
        <f ca="1">IF(ROWS($1:14)&gt;COUNT(Dong6),"",OFFSET(TH!K$1,SMALL(Dong6,ROWS($1:14)),))</f>
        <v>444897</v>
      </c>
    </row>
    <row r="25" spans="1:9" s="359" customFormat="1" ht="21" customHeight="1">
      <c r="A25" s="366">
        <f ca="1">IF(ROWS($1:15)&gt;COUNT(Dong6),"",OFFSET(TH!C$1,SMALL(Dong6,ROWS($1:15)),))</f>
        <v>40729</v>
      </c>
      <c r="B25" s="367" t="str">
        <f ca="1">IF(ROWS($1:15)&gt;COUNT(Dong6),"",OFFSET(TH!D$1,SMALL(Dong6,ROWS($1:15)),))</f>
        <v>NL/X01</v>
      </c>
      <c r="C25" s="366">
        <f ca="1">IF(ROWS($1:15)&gt;COUNT(Dong6),"",OFFSET(TH!E$1,SMALL(Dong6,ROWS($1:15)),))</f>
        <v>40729</v>
      </c>
      <c r="D25" s="368" t="str">
        <f ca="1">IF(ROWS($1:15)&gt;COUNT(Dong6),"",OFFSET(TH!F$1,SMALL(Dong6,ROWS($1:15)),))</f>
        <v>Giấy tấm 1V+2X ( 1460x444)</v>
      </c>
      <c r="E25" s="367">
        <f t="shared" ca="1" si="0"/>
        <v>15</v>
      </c>
      <c r="F25" s="369" t="str">
        <f ca="1">IF(ROWS($1:15)&gt;COUNT(Dong6),"",OFFSET(TH!L$1,SMALL(Dong6,ROWS($1:15)),))</f>
        <v>154</v>
      </c>
      <c r="G25" s="369" t="str">
        <f ca="1">IF(ROWS($1:15)&gt;COUNT(Dong6),"",OFFSET(TH!M$1,SMALL(Dong6,ROWS($1:15)),))</f>
        <v>1521</v>
      </c>
      <c r="H25" s="296">
        <f ca="1">IF(ROWS($1:15)&gt;COUNT(Dong6),"",OFFSET(TH!K$1,SMALL(Dong6,ROWS($1:15)),))</f>
        <v>26694</v>
      </c>
      <c r="I25" s="296">
        <f ca="1">IF(ROWS($1:15)&gt;COUNT(Dong6),"",OFFSET(TH!K$1,SMALL(Dong6,ROWS($1:15)),))</f>
        <v>26694</v>
      </c>
    </row>
    <row r="26" spans="1:9" s="359" customFormat="1" ht="21" customHeight="1">
      <c r="A26" s="366">
        <f ca="1">IF(ROWS($1:16)&gt;COUNT(Dong6),"",OFFSET(TH!C$1,SMALL(Dong6,ROWS($1:16)),))</f>
        <v>40733</v>
      </c>
      <c r="B26" s="367" t="str">
        <f ca="1">IF(ROWS($1:16)&gt;COUNT(Dong6),"",OFFSET(TH!D$1,SMALL(Dong6,ROWS($1:16)),))</f>
        <v>NL/X02</v>
      </c>
      <c r="C26" s="366">
        <f ca="1">IF(ROWS($1:16)&gt;COUNT(Dong6),"",OFFSET(TH!E$1,SMALL(Dong6,ROWS($1:16)),))</f>
        <v>40733</v>
      </c>
      <c r="D26" s="368" t="str">
        <f ca="1">IF(ROWS($1:16)&gt;COUNT(Dong6),"",OFFSET(TH!F$1,SMALL(Dong6,ROWS($1:16)),))</f>
        <v>Giấy carton 7L ( 125x137)</v>
      </c>
      <c r="E26" s="367">
        <f t="shared" ca="1" si="0"/>
        <v>16</v>
      </c>
      <c r="F26" s="369" t="str">
        <f ca="1">IF(ROWS($1:16)&gt;COUNT(Dong6),"",OFFSET(TH!L$1,SMALL(Dong6,ROWS($1:16)),))</f>
        <v>154</v>
      </c>
      <c r="G26" s="369" t="str">
        <f ca="1">IF(ROWS($1:16)&gt;COUNT(Dong6),"",OFFSET(TH!M$1,SMALL(Dong6,ROWS($1:16)),))</f>
        <v>1521</v>
      </c>
      <c r="H26" s="296">
        <f ca="1">IF(ROWS($1:16)&gt;COUNT(Dong6),"",OFFSET(TH!K$1,SMALL(Dong6,ROWS($1:16)),))</f>
        <v>71925</v>
      </c>
      <c r="I26" s="296">
        <f ca="1">IF(ROWS($1:16)&gt;COUNT(Dong6),"",OFFSET(TH!K$1,SMALL(Dong6,ROWS($1:16)),))</f>
        <v>71925</v>
      </c>
    </row>
    <row r="27" spans="1:9" s="359" customFormat="1" ht="21" customHeight="1">
      <c r="A27" s="366">
        <f ca="1">IF(ROWS($1:17)&gt;COUNT(Dong6),"",OFFSET(TH!C$1,SMALL(Dong6,ROWS($1:17)),))</f>
        <v>40733</v>
      </c>
      <c r="B27" s="367" t="str">
        <f ca="1">IF(ROWS($1:17)&gt;COUNT(Dong6),"",OFFSET(TH!D$1,SMALL(Dong6,ROWS($1:17)),))</f>
        <v>NL/X02</v>
      </c>
      <c r="C27" s="366">
        <f ca="1">IF(ROWS($1:17)&gt;COUNT(Dong6),"",OFFSET(TH!E$1,SMALL(Dong6,ROWS($1:17)),))</f>
        <v>40733</v>
      </c>
      <c r="D27" s="368" t="str">
        <f ca="1">IF(ROWS($1:17)&gt;COUNT(Dong6),"",OFFSET(TH!F$1,SMALL(Dong6,ROWS($1:17)),))</f>
        <v>Giấy tấm 2V+3X ( 1000x1500)</v>
      </c>
      <c r="E27" s="367">
        <f t="shared" ca="1" si="0"/>
        <v>17</v>
      </c>
      <c r="F27" s="369" t="str">
        <f ca="1">IF(ROWS($1:17)&gt;COUNT(Dong6),"",OFFSET(TH!L$1,SMALL(Dong6,ROWS($1:17)),))</f>
        <v>154</v>
      </c>
      <c r="G27" s="369" t="str">
        <f ca="1">IF(ROWS($1:17)&gt;COUNT(Dong6),"",OFFSET(TH!M$1,SMALL(Dong6,ROWS($1:17)),))</f>
        <v>1521</v>
      </c>
      <c r="H27" s="296">
        <f ca="1">IF(ROWS($1:17)&gt;COUNT(Dong6),"",OFFSET(TH!K$1,SMALL(Dong6,ROWS($1:17)),))</f>
        <v>799900</v>
      </c>
      <c r="I27" s="296">
        <f ca="1">IF(ROWS($1:17)&gt;COUNT(Dong6),"",OFFSET(TH!K$1,SMALL(Dong6,ROWS($1:17)),))</f>
        <v>799900</v>
      </c>
    </row>
    <row r="28" spans="1:9" s="359" customFormat="1" ht="21" customHeight="1">
      <c r="A28" s="366">
        <f ca="1">IF(ROWS($1:18)&gt;COUNT(Dong6),"",OFFSET(TH!C$1,SMALL(Dong6,ROWS($1:18)),))</f>
        <v>40733</v>
      </c>
      <c r="B28" s="367" t="str">
        <f ca="1">IF(ROWS($1:18)&gt;COUNT(Dong6),"",OFFSET(TH!D$1,SMALL(Dong6,ROWS($1:18)),))</f>
        <v>NL/X02</v>
      </c>
      <c r="C28" s="366">
        <f ca="1">IF(ROWS($1:18)&gt;COUNT(Dong6),"",OFFSET(TH!E$1,SMALL(Dong6,ROWS($1:18)),))</f>
        <v>40733</v>
      </c>
      <c r="D28" s="368" t="str">
        <f ca="1">IF(ROWS($1:18)&gt;COUNT(Dong6),"",OFFSET(TH!F$1,SMALL(Dong6,ROWS($1:18)),))</f>
        <v>Giấy carton 7L ( 110x224)</v>
      </c>
      <c r="E28" s="367">
        <f t="shared" ca="1" si="0"/>
        <v>18</v>
      </c>
      <c r="F28" s="369" t="str">
        <f ca="1">IF(ROWS($1:18)&gt;COUNT(Dong6),"",OFFSET(TH!L$1,SMALL(Dong6,ROWS($1:18)),))</f>
        <v>154</v>
      </c>
      <c r="G28" s="369" t="str">
        <f ca="1">IF(ROWS($1:18)&gt;COUNT(Dong6),"",OFFSET(TH!M$1,SMALL(Dong6,ROWS($1:18)),))</f>
        <v>1521</v>
      </c>
      <c r="H28" s="296">
        <f ca="1">IF(ROWS($1:18)&gt;COUNT(Dong6),"",OFFSET(TH!K$1,SMALL(Dong6,ROWS($1:18)),))</f>
        <v>2166626</v>
      </c>
      <c r="I28" s="296">
        <f ca="1">IF(ROWS($1:18)&gt;COUNT(Dong6),"",OFFSET(TH!K$1,SMALL(Dong6,ROWS($1:18)),))</f>
        <v>2166626</v>
      </c>
    </row>
    <row r="29" spans="1:9" s="359" customFormat="1" ht="21" customHeight="1">
      <c r="A29" s="366">
        <f ca="1">IF(ROWS($1:19)&gt;COUNT(Dong6),"",OFFSET(TH!C$1,SMALL(Dong6,ROWS($1:19)),))</f>
        <v>40733</v>
      </c>
      <c r="B29" s="367" t="str">
        <f ca="1">IF(ROWS($1:19)&gt;COUNT(Dong6),"",OFFSET(TH!D$1,SMALL(Dong6,ROWS($1:19)),))</f>
        <v>NL/X02</v>
      </c>
      <c r="C29" s="366">
        <f ca="1">IF(ROWS($1:19)&gt;COUNT(Dong6),"",OFFSET(TH!E$1,SMALL(Dong6,ROWS($1:19)),))</f>
        <v>40733</v>
      </c>
      <c r="D29" s="368" t="str">
        <f ca="1">IF(ROWS($1:19)&gt;COUNT(Dong6),"",OFFSET(TH!F$1,SMALL(Dong6,ROWS($1:19)),))</f>
        <v>Giấy tấm 2V+1X ( 1600x1400)</v>
      </c>
      <c r="E29" s="367">
        <f t="shared" ca="1" si="0"/>
        <v>19</v>
      </c>
      <c r="F29" s="369" t="str">
        <f ca="1">IF(ROWS($1:19)&gt;COUNT(Dong6),"",OFFSET(TH!L$1,SMALL(Dong6,ROWS($1:19)),))</f>
        <v>154</v>
      </c>
      <c r="G29" s="369" t="str">
        <f ca="1">IF(ROWS($1:19)&gt;COUNT(Dong6),"",OFFSET(TH!M$1,SMALL(Dong6,ROWS($1:19)),))</f>
        <v>1521</v>
      </c>
      <c r="H29" s="296">
        <f ca="1">IF(ROWS($1:19)&gt;COUNT(Dong6),"",OFFSET(TH!K$1,SMALL(Dong6,ROWS($1:19)),))</f>
        <v>1342356</v>
      </c>
      <c r="I29" s="296">
        <f ca="1">IF(ROWS($1:19)&gt;COUNT(Dong6),"",OFFSET(TH!K$1,SMALL(Dong6,ROWS($1:19)),))</f>
        <v>1342356</v>
      </c>
    </row>
    <row r="30" spans="1:9" s="359" customFormat="1" ht="21" customHeight="1">
      <c r="A30" s="366">
        <f ca="1">IF(ROWS($1:20)&gt;COUNT(Dong6),"",OFFSET(TH!C$1,SMALL(Dong6,ROWS($1:20)),))</f>
        <v>40733</v>
      </c>
      <c r="B30" s="367" t="str">
        <f ca="1">IF(ROWS($1:20)&gt;COUNT(Dong6),"",OFFSET(TH!D$1,SMALL(Dong6,ROWS($1:20)),))</f>
        <v>NL/X02</v>
      </c>
      <c r="C30" s="366">
        <f ca="1">IF(ROWS($1:20)&gt;COUNT(Dong6),"",OFFSET(TH!E$1,SMALL(Dong6,ROWS($1:20)),))</f>
        <v>40733</v>
      </c>
      <c r="D30" s="368" t="str">
        <f ca="1">IF(ROWS($1:20)&gt;COUNT(Dong6),"",OFFSET(TH!F$1,SMALL(Dong6,ROWS($1:20)),))</f>
        <v>Giấy tấm 2V+1X ( 1600x1400)</v>
      </c>
      <c r="E30" s="367">
        <f t="shared" ca="1" si="0"/>
        <v>20</v>
      </c>
      <c r="F30" s="369" t="str">
        <f ca="1">IF(ROWS($1:20)&gt;COUNT(Dong6),"",OFFSET(TH!L$1,SMALL(Dong6,ROWS($1:20)),))</f>
        <v>154</v>
      </c>
      <c r="G30" s="369" t="str">
        <f ca="1">IF(ROWS($1:20)&gt;COUNT(Dong6),"",OFFSET(TH!M$1,SMALL(Dong6,ROWS($1:20)),))</f>
        <v>1521</v>
      </c>
      <c r="H30" s="296">
        <f ca="1">IF(ROWS($1:20)&gt;COUNT(Dong6),"",OFFSET(TH!K$1,SMALL(Dong6,ROWS($1:20)),))</f>
        <v>8087</v>
      </c>
      <c r="I30" s="296">
        <f ca="1">IF(ROWS($1:20)&gt;COUNT(Dong6),"",OFFSET(TH!K$1,SMALL(Dong6,ROWS($1:20)),))</f>
        <v>8087</v>
      </c>
    </row>
    <row r="31" spans="1:9" s="359" customFormat="1" ht="21" customHeight="1">
      <c r="A31" s="366">
        <f ca="1">IF(ROWS($1:21)&gt;COUNT(Dong6),"",OFFSET(TH!C$1,SMALL(Dong6,ROWS($1:21)),))</f>
        <v>40733</v>
      </c>
      <c r="B31" s="367" t="str">
        <f ca="1">IF(ROWS($1:21)&gt;COUNT(Dong6),"",OFFSET(TH!D$1,SMALL(Dong6,ROWS($1:21)),))</f>
        <v>NL/X02</v>
      </c>
      <c r="C31" s="366">
        <f ca="1">IF(ROWS($1:21)&gt;COUNT(Dong6),"",OFFSET(TH!E$1,SMALL(Dong6,ROWS($1:21)),))</f>
        <v>40733</v>
      </c>
      <c r="D31" s="368" t="str">
        <f ca="1">IF(ROWS($1:21)&gt;COUNT(Dong6),"",OFFSET(TH!F$1,SMALL(Dong6,ROWS($1:21)),))</f>
        <v>Giấy carton 7L ( 110x224)</v>
      </c>
      <c r="E31" s="367">
        <f t="shared" ca="1" si="0"/>
        <v>21</v>
      </c>
      <c r="F31" s="369" t="str">
        <f ca="1">IF(ROWS($1:21)&gt;COUNT(Dong6),"",OFFSET(TH!L$1,SMALL(Dong6,ROWS($1:21)),))</f>
        <v>154</v>
      </c>
      <c r="G31" s="369" t="str">
        <f ca="1">IF(ROWS($1:21)&gt;COUNT(Dong6),"",OFFSET(TH!M$1,SMALL(Dong6,ROWS($1:21)),))</f>
        <v>1521</v>
      </c>
      <c r="H31" s="296">
        <f ca="1">IF(ROWS($1:21)&gt;COUNT(Dong6),"",OFFSET(TH!K$1,SMALL(Dong6,ROWS($1:21)),))</f>
        <v>1432480</v>
      </c>
      <c r="I31" s="296">
        <f ca="1">IF(ROWS($1:21)&gt;COUNT(Dong6),"",OFFSET(TH!K$1,SMALL(Dong6,ROWS($1:21)),))</f>
        <v>1432480</v>
      </c>
    </row>
    <row r="32" spans="1:9" s="359" customFormat="1" ht="21" customHeight="1">
      <c r="A32" s="366">
        <f ca="1">IF(ROWS($1:22)&gt;COUNT(Dong6),"",OFFSET(TH!C$1,SMALL(Dong6,ROWS($1:22)),))</f>
        <v>40733</v>
      </c>
      <c r="B32" s="367" t="str">
        <f ca="1">IF(ROWS($1:22)&gt;COUNT(Dong6),"",OFFSET(TH!D$1,SMALL(Dong6,ROWS($1:22)),))</f>
        <v>NL/X02</v>
      </c>
      <c r="C32" s="366">
        <f ca="1">IF(ROWS($1:22)&gt;COUNT(Dong6),"",OFFSET(TH!E$1,SMALL(Dong6,ROWS($1:22)),))</f>
        <v>40733</v>
      </c>
      <c r="D32" s="368" t="str">
        <f ca="1">IF(ROWS($1:22)&gt;COUNT(Dong6),"",OFFSET(TH!F$1,SMALL(Dong6,ROWS($1:22)),))</f>
        <v>Giấy tấm ND+5X+V ( 95x224)</v>
      </c>
      <c r="E32" s="367">
        <f t="shared" ca="1" si="0"/>
        <v>22</v>
      </c>
      <c r="F32" s="369" t="str">
        <f ca="1">IF(ROWS($1:22)&gt;COUNT(Dong6),"",OFFSET(TH!L$1,SMALL(Dong6,ROWS($1:22)),))</f>
        <v>154</v>
      </c>
      <c r="G32" s="369" t="str">
        <f ca="1">IF(ROWS($1:22)&gt;COUNT(Dong6),"",OFFSET(TH!M$1,SMALL(Dong6,ROWS($1:22)),))</f>
        <v>1521</v>
      </c>
      <c r="H32" s="296">
        <f ca="1">IF(ROWS($1:22)&gt;COUNT(Dong6),"",OFFSET(TH!K$1,SMALL(Dong6,ROWS($1:22)),))</f>
        <v>2307162</v>
      </c>
      <c r="I32" s="296">
        <f ca="1">IF(ROWS($1:22)&gt;COUNT(Dong6),"",OFFSET(TH!K$1,SMALL(Dong6,ROWS($1:22)),))</f>
        <v>2307162</v>
      </c>
    </row>
    <row r="33" spans="1:9" s="359" customFormat="1" ht="21" customHeight="1">
      <c r="A33" s="366">
        <f ca="1">IF(ROWS($1:23)&gt;COUNT(Dong6),"",OFFSET(TH!C$1,SMALL(Dong6,ROWS($1:23)),))</f>
        <v>40733</v>
      </c>
      <c r="B33" s="367" t="str">
        <f ca="1">IF(ROWS($1:23)&gt;COUNT(Dong6),"",OFFSET(TH!D$1,SMALL(Dong6,ROWS($1:23)),))</f>
        <v>NL/X02</v>
      </c>
      <c r="C33" s="366">
        <f ca="1">IF(ROWS($1:23)&gt;COUNT(Dong6),"",OFFSET(TH!E$1,SMALL(Dong6,ROWS($1:23)),))</f>
        <v>40733</v>
      </c>
      <c r="D33" s="368" t="str">
        <f ca="1">IF(ROWS($1:23)&gt;COUNT(Dong6),"",OFFSET(TH!F$1,SMALL(Dong6,ROWS($1:23)),))</f>
        <v>Giấy tấm 2V+1X ( 1980x714)</v>
      </c>
      <c r="E33" s="367">
        <f t="shared" ca="1" si="0"/>
        <v>23</v>
      </c>
      <c r="F33" s="369" t="str">
        <f ca="1">IF(ROWS($1:23)&gt;COUNT(Dong6),"",OFFSET(TH!L$1,SMALL(Dong6,ROWS($1:23)),))</f>
        <v>154</v>
      </c>
      <c r="G33" s="369" t="str">
        <f ca="1">IF(ROWS($1:23)&gt;COUNT(Dong6),"",OFFSET(TH!M$1,SMALL(Dong6,ROWS($1:23)),))</f>
        <v>1521</v>
      </c>
      <c r="H33" s="296">
        <f ca="1">IF(ROWS($1:23)&gt;COUNT(Dong6),"",OFFSET(TH!K$1,SMALL(Dong6,ROWS($1:23)),))</f>
        <v>3233915</v>
      </c>
      <c r="I33" s="296">
        <f ca="1">IF(ROWS($1:23)&gt;COUNT(Dong6),"",OFFSET(TH!K$1,SMALL(Dong6,ROWS($1:23)),))</f>
        <v>3233915</v>
      </c>
    </row>
    <row r="34" spans="1:9" s="359" customFormat="1" ht="21" customHeight="1">
      <c r="A34" s="366">
        <f ca="1">IF(ROWS($1:24)&gt;COUNT(Dong6),"",OFFSET(TH!C$1,SMALL(Dong6,ROWS($1:24)),))</f>
        <v>40735</v>
      </c>
      <c r="B34" s="367" t="str">
        <f ca="1">IF(ROWS($1:24)&gt;COUNT(Dong6),"",OFFSET(TH!D$1,SMALL(Dong6,ROWS($1:24)),))</f>
        <v>GBC</v>
      </c>
      <c r="C34" s="366">
        <f ca="1">IF(ROWS($1:24)&gt;COUNT(Dong6),"",OFFSET(TH!E$1,SMALL(Dong6,ROWS($1:24)),))</f>
        <v>40735</v>
      </c>
      <c r="D34" s="368" t="str">
        <f ca="1">IF(ROWS($1:24)&gt;COUNT(Dong6),"",OFFSET(TH!F$1,SMALL(Dong6,ROWS($1:24)),))</f>
        <v>Thu tiền hàng</v>
      </c>
      <c r="E34" s="367">
        <f t="shared" ca="1" si="0"/>
        <v>24</v>
      </c>
      <c r="F34" s="369" t="str">
        <f ca="1">IF(ROWS($1:24)&gt;COUNT(Dong6),"",OFFSET(TH!L$1,SMALL(Dong6,ROWS($1:24)),))</f>
        <v>1121</v>
      </c>
      <c r="G34" s="369" t="str">
        <f ca="1">IF(ROWS($1:24)&gt;COUNT(Dong6),"",OFFSET(TH!M$1,SMALL(Dong6,ROWS($1:24)),))</f>
        <v>131</v>
      </c>
      <c r="H34" s="296">
        <f ca="1">IF(ROWS($1:24)&gt;COUNT(Dong6),"",OFFSET(TH!K$1,SMALL(Dong6,ROWS($1:24)),))</f>
        <v>109673711</v>
      </c>
      <c r="I34" s="296">
        <f ca="1">IF(ROWS($1:24)&gt;COUNT(Dong6),"",OFFSET(TH!K$1,SMALL(Dong6,ROWS($1:24)),))</f>
        <v>109673711</v>
      </c>
    </row>
    <row r="35" spans="1:9" s="359" customFormat="1" ht="21" customHeight="1">
      <c r="A35" s="366">
        <f ca="1">IF(ROWS($1:25)&gt;COUNT(Dong6),"",OFFSET(TH!C$1,SMALL(Dong6,ROWS($1:25)),))</f>
        <v>40736</v>
      </c>
      <c r="B35" s="367" t="str">
        <f ca="1">IF(ROWS($1:25)&gt;COUNT(Dong6),"",OFFSET(TH!D$1,SMALL(Dong6,ROWS($1:25)),))</f>
        <v>C02</v>
      </c>
      <c r="C35" s="366">
        <f ca="1">IF(ROWS($1:25)&gt;COUNT(Dong6),"",OFFSET(TH!E$1,SMALL(Dong6,ROWS($1:25)),))</f>
        <v>40736</v>
      </c>
      <c r="D35" s="368" t="str">
        <f ca="1">IF(ROWS($1:25)&gt;COUNT(Dong6),"",OFFSET(TH!F$1,SMALL(Dong6,ROWS($1:25)),))</f>
        <v>Nộp tiền mặt vào tài khoản</v>
      </c>
      <c r="E35" s="367">
        <f t="shared" ca="1" si="0"/>
        <v>25</v>
      </c>
      <c r="F35" s="369" t="str">
        <f ca="1">IF(ROWS($1:25)&gt;COUNT(Dong6),"",OFFSET(TH!L$1,SMALL(Dong6,ROWS($1:25)),))</f>
        <v>1121</v>
      </c>
      <c r="G35" s="369" t="str">
        <f ca="1">IF(ROWS($1:25)&gt;COUNT(Dong6),"",OFFSET(TH!M$1,SMALL(Dong6,ROWS($1:25)),))</f>
        <v>1111</v>
      </c>
      <c r="H35" s="296">
        <f ca="1">IF(ROWS($1:25)&gt;COUNT(Dong6),"",OFFSET(TH!K$1,SMALL(Dong6,ROWS($1:25)),))</f>
        <v>114504000</v>
      </c>
      <c r="I35" s="296">
        <f ca="1">IF(ROWS($1:25)&gt;COUNT(Dong6),"",OFFSET(TH!K$1,SMALL(Dong6,ROWS($1:25)),))</f>
        <v>114504000</v>
      </c>
    </row>
    <row r="36" spans="1:9" s="359" customFormat="1" ht="21" customHeight="1">
      <c r="A36" s="366">
        <f ca="1">IF(ROWS($1:26)&gt;COUNT(Dong6),"",OFFSET(TH!C$1,SMALL(Dong6,ROWS($1:26)),))</f>
        <v>40736</v>
      </c>
      <c r="B36" s="367" t="str">
        <f ca="1">IF(ROWS($1:26)&gt;COUNT(Dong6),"",OFFSET(TH!D$1,SMALL(Dong6,ROWS($1:26)),))</f>
        <v>GBN</v>
      </c>
      <c r="C36" s="366">
        <f ca="1">IF(ROWS($1:26)&gt;COUNT(Dong6),"",OFFSET(TH!E$1,SMALL(Dong6,ROWS($1:26)),))</f>
        <v>40736</v>
      </c>
      <c r="D36" s="368" t="str">
        <f ca="1">IF(ROWS($1:26)&gt;COUNT(Dong6),"",OFFSET(TH!F$1,SMALL(Dong6,ROWS($1:26)),))</f>
        <v>Thanh toán tiền hàng</v>
      </c>
      <c r="E36" s="367">
        <f t="shared" ca="1" si="0"/>
        <v>26</v>
      </c>
      <c r="F36" s="369" t="str">
        <f ca="1">IF(ROWS($1:26)&gt;COUNT(Dong6),"",OFFSET(TH!L$1,SMALL(Dong6,ROWS($1:26)),))</f>
        <v>331</v>
      </c>
      <c r="G36" s="369" t="str">
        <f ca="1">IF(ROWS($1:26)&gt;COUNT(Dong6),"",OFFSET(TH!M$1,SMALL(Dong6,ROWS($1:26)),))</f>
        <v>1121</v>
      </c>
      <c r="H36" s="296">
        <f ca="1">IF(ROWS($1:26)&gt;COUNT(Dong6),"",OFFSET(TH!K$1,SMALL(Dong6,ROWS($1:26)),))</f>
        <v>114504000</v>
      </c>
      <c r="I36" s="296">
        <f ca="1">IF(ROWS($1:26)&gt;COUNT(Dong6),"",OFFSET(TH!K$1,SMALL(Dong6,ROWS($1:26)),))</f>
        <v>114504000</v>
      </c>
    </row>
    <row r="37" spans="1:9" s="359" customFormat="1" ht="21" customHeight="1">
      <c r="A37" s="366">
        <f ca="1">IF(ROWS($1:27)&gt;COUNT(Dong6),"",OFFSET(TH!C$1,SMALL(Dong6,ROWS($1:27)),))</f>
        <v>40736</v>
      </c>
      <c r="B37" s="367" t="str">
        <f ca="1">IF(ROWS($1:27)&gt;COUNT(Dong6),"",OFFSET(TH!D$1,SMALL(Dong6,ROWS($1:27)),))</f>
        <v>GBN</v>
      </c>
      <c r="C37" s="366">
        <f ca="1">IF(ROWS($1:27)&gt;COUNT(Dong6),"",OFFSET(TH!E$1,SMALL(Dong6,ROWS($1:27)),))</f>
        <v>40736</v>
      </c>
      <c r="D37" s="368" t="str">
        <f ca="1">IF(ROWS($1:27)&gt;COUNT(Dong6),"",OFFSET(TH!F$1,SMALL(Dong6,ROWS($1:27)),))</f>
        <v>Thanh toán tiền hàng</v>
      </c>
      <c r="E37" s="367">
        <f t="shared" ca="1" si="0"/>
        <v>27</v>
      </c>
      <c r="F37" s="369" t="str">
        <f ca="1">IF(ROWS($1:27)&gt;COUNT(Dong6),"",OFFSET(TH!L$1,SMALL(Dong6,ROWS($1:27)),))</f>
        <v>331</v>
      </c>
      <c r="G37" s="369" t="str">
        <f ca="1">IF(ROWS($1:27)&gt;COUNT(Dong6),"",OFFSET(TH!M$1,SMALL(Dong6,ROWS($1:27)),))</f>
        <v>1121</v>
      </c>
      <c r="H37" s="296">
        <f ca="1">IF(ROWS($1:27)&gt;COUNT(Dong6),"",OFFSET(TH!K$1,SMALL(Dong6,ROWS($1:27)),))</f>
        <v>58400000</v>
      </c>
      <c r="I37" s="296">
        <f ca="1">IF(ROWS($1:27)&gt;COUNT(Dong6),"",OFFSET(TH!K$1,SMALL(Dong6,ROWS($1:27)),))</f>
        <v>58400000</v>
      </c>
    </row>
    <row r="38" spans="1:9" s="359" customFormat="1" ht="21" customHeight="1">
      <c r="A38" s="366">
        <f ca="1">IF(ROWS($1:28)&gt;COUNT(Dong6),"",OFFSET(TH!C$1,SMALL(Dong6,ROWS($1:28)),))</f>
        <v>40736</v>
      </c>
      <c r="B38" s="367" t="str">
        <f ca="1">IF(ROWS($1:28)&gt;COUNT(Dong6),"",OFFSET(TH!D$1,SMALL(Dong6,ROWS($1:28)),))</f>
        <v>GBN</v>
      </c>
      <c r="C38" s="366">
        <f ca="1">IF(ROWS($1:28)&gt;COUNT(Dong6),"",OFFSET(TH!E$1,SMALL(Dong6,ROWS($1:28)),))</f>
        <v>40736</v>
      </c>
      <c r="D38" s="368" t="str">
        <f ca="1">IF(ROWS($1:28)&gt;COUNT(Dong6),"",OFFSET(TH!F$1,SMALL(Dong6,ROWS($1:28)),))</f>
        <v>Phí KD</v>
      </c>
      <c r="E38" s="367">
        <f t="shared" ca="1" si="0"/>
        <v>28</v>
      </c>
      <c r="F38" s="369" t="str">
        <f ca="1">IF(ROWS($1:28)&gt;COUNT(Dong6),"",OFFSET(TH!L$1,SMALL(Dong6,ROWS($1:28)),))</f>
        <v>642</v>
      </c>
      <c r="G38" s="369" t="str">
        <f ca="1">IF(ROWS($1:28)&gt;COUNT(Dong6),"",OFFSET(TH!M$1,SMALL(Dong6,ROWS($1:28)),))</f>
        <v>1121</v>
      </c>
      <c r="H38" s="296">
        <f ca="1">IF(ROWS($1:28)&gt;COUNT(Dong6),"",OFFSET(TH!K$1,SMALL(Dong6,ROWS($1:28)),))</f>
        <v>18478</v>
      </c>
      <c r="I38" s="296">
        <f ca="1">IF(ROWS($1:28)&gt;COUNT(Dong6),"",OFFSET(TH!K$1,SMALL(Dong6,ROWS($1:28)),))</f>
        <v>18478</v>
      </c>
    </row>
    <row r="39" spans="1:9" s="359" customFormat="1" ht="21" customHeight="1">
      <c r="A39" s="366">
        <f ca="1">IF(ROWS($1:29)&gt;COUNT(Dong6),"",OFFSET(TH!C$1,SMALL(Dong6,ROWS($1:29)),))</f>
        <v>40736</v>
      </c>
      <c r="B39" s="367" t="str">
        <f ca="1">IF(ROWS($1:29)&gt;COUNT(Dong6),"",OFFSET(TH!D$1,SMALL(Dong6,ROWS($1:29)),))</f>
        <v>GBN</v>
      </c>
      <c r="C39" s="366">
        <f ca="1">IF(ROWS($1:29)&gt;COUNT(Dong6),"",OFFSET(TH!E$1,SMALL(Dong6,ROWS($1:29)),))</f>
        <v>40736</v>
      </c>
      <c r="D39" s="368" t="str">
        <f ca="1">IF(ROWS($1:29)&gt;COUNT(Dong6),"",OFFSET(TH!F$1,SMALL(Dong6,ROWS($1:29)),))</f>
        <v>Phí chuyển tiền</v>
      </c>
      <c r="E39" s="367">
        <f t="shared" ca="1" si="0"/>
        <v>29</v>
      </c>
      <c r="F39" s="369" t="str">
        <f ca="1">IF(ROWS($1:29)&gt;COUNT(Dong6),"",OFFSET(TH!L$1,SMALL(Dong6,ROWS($1:29)),))</f>
        <v>642</v>
      </c>
      <c r="G39" s="369" t="str">
        <f ca="1">IF(ROWS($1:29)&gt;COUNT(Dong6),"",OFFSET(TH!M$1,SMALL(Dong6,ROWS($1:29)),))</f>
        <v>1121</v>
      </c>
      <c r="H39" s="296">
        <f ca="1">IF(ROWS($1:29)&gt;COUNT(Dong6),"",OFFSET(TH!K$1,SMALL(Dong6,ROWS($1:29)),))</f>
        <v>10000</v>
      </c>
      <c r="I39" s="296">
        <f ca="1">IF(ROWS($1:29)&gt;COUNT(Dong6),"",OFFSET(TH!K$1,SMALL(Dong6,ROWS($1:29)),))</f>
        <v>10000</v>
      </c>
    </row>
    <row r="40" spans="1:9" s="359" customFormat="1" ht="21" customHeight="1">
      <c r="A40" s="366">
        <f ca="1">IF(ROWS($1:30)&gt;COUNT(Dong6),"",OFFSET(TH!C$1,SMALL(Dong6,ROWS($1:30)),))</f>
        <v>40737</v>
      </c>
      <c r="B40" s="367" t="str">
        <f ca="1">IF(ROWS($1:30)&gt;COUNT(Dong6),"",OFFSET(TH!D$1,SMALL(Dong6,ROWS($1:30)),))</f>
        <v>GBC</v>
      </c>
      <c r="C40" s="366">
        <f ca="1">IF(ROWS($1:30)&gt;COUNT(Dong6),"",OFFSET(TH!E$1,SMALL(Dong6,ROWS($1:30)),))</f>
        <v>40737</v>
      </c>
      <c r="D40" s="368" t="str">
        <f ca="1">IF(ROWS($1:30)&gt;COUNT(Dong6),"",OFFSET(TH!F$1,SMALL(Dong6,ROWS($1:30)),))</f>
        <v>Thu tiền hàng</v>
      </c>
      <c r="E40" s="367">
        <f t="shared" ca="1" si="0"/>
        <v>30</v>
      </c>
      <c r="F40" s="369" t="str">
        <f ca="1">IF(ROWS($1:30)&gt;COUNT(Dong6),"",OFFSET(TH!L$1,SMALL(Dong6,ROWS($1:30)),))</f>
        <v>1121</v>
      </c>
      <c r="G40" s="369" t="str">
        <f ca="1">IF(ROWS($1:30)&gt;COUNT(Dong6),"",OFFSET(TH!M$1,SMALL(Dong6,ROWS($1:30)),))</f>
        <v>131</v>
      </c>
      <c r="H40" s="296">
        <f ca="1">IF(ROWS($1:30)&gt;COUNT(Dong6),"",OFFSET(TH!K$1,SMALL(Dong6,ROWS($1:30)),))</f>
        <v>14691258</v>
      </c>
      <c r="I40" s="296">
        <f ca="1">IF(ROWS($1:30)&gt;COUNT(Dong6),"",OFFSET(TH!K$1,SMALL(Dong6,ROWS($1:30)),))</f>
        <v>14691258</v>
      </c>
    </row>
    <row r="41" spans="1:9" s="359" customFormat="1" ht="21" customHeight="1">
      <c r="A41" s="366">
        <f ca="1">IF(ROWS($1:31)&gt;COUNT(Dong6),"",OFFSET(TH!C$1,SMALL(Dong6,ROWS($1:31)),))</f>
        <v>40737</v>
      </c>
      <c r="B41" s="367" t="str">
        <f ca="1">IF(ROWS($1:31)&gt;COUNT(Dong6),"",OFFSET(TH!D$1,SMALL(Dong6,ROWS($1:31)),))</f>
        <v>NL/X03</v>
      </c>
      <c r="C41" s="366">
        <f ca="1">IF(ROWS($1:31)&gt;COUNT(Dong6),"",OFFSET(TH!E$1,SMALL(Dong6,ROWS($1:31)),))</f>
        <v>40737</v>
      </c>
      <c r="D41" s="368" t="str">
        <f ca="1">IF(ROWS($1:31)&gt;COUNT(Dong6),"",OFFSET(TH!F$1,SMALL(Dong6,ROWS($1:31)),))</f>
        <v>Giấy tấm 2V+3X ( 1490x634)</v>
      </c>
      <c r="E41" s="367">
        <f t="shared" ref="E41:E50" ca="1" si="1">IF(D41&lt;&gt;"",ROW()-10,"")</f>
        <v>31</v>
      </c>
      <c r="F41" s="369" t="str">
        <f ca="1">IF(ROWS($1:31)&gt;COUNT(Dong6),"",OFFSET(TH!L$1,SMALL(Dong6,ROWS($1:31)),))</f>
        <v>154</v>
      </c>
      <c r="G41" s="369" t="str">
        <f ca="1">IF(ROWS($1:31)&gt;COUNT(Dong6),"",OFFSET(TH!M$1,SMALL(Dong6,ROWS($1:31)),))</f>
        <v>1521</v>
      </c>
      <c r="H41" s="296">
        <f ca="1">IF(ROWS($1:31)&gt;COUNT(Dong6),"",OFFSET(TH!K$1,SMALL(Dong6,ROWS($1:31)),))</f>
        <v>848208</v>
      </c>
      <c r="I41" s="296">
        <f ca="1">IF(ROWS($1:31)&gt;COUNT(Dong6),"",OFFSET(TH!K$1,SMALL(Dong6,ROWS($1:31)),))</f>
        <v>848208</v>
      </c>
    </row>
    <row r="42" spans="1:9" s="359" customFormat="1" ht="21" customHeight="1">
      <c r="A42" s="366">
        <f ca="1">IF(ROWS($1:32)&gt;COUNT(Dong6),"",OFFSET(TH!C$1,SMALL(Dong6,ROWS($1:32)),))</f>
        <v>40737</v>
      </c>
      <c r="B42" s="367" t="str">
        <f ca="1">IF(ROWS($1:32)&gt;COUNT(Dong6),"",OFFSET(TH!D$1,SMALL(Dong6,ROWS($1:32)),))</f>
        <v>NL/X03</v>
      </c>
      <c r="C42" s="366">
        <f ca="1">IF(ROWS($1:32)&gt;COUNT(Dong6),"",OFFSET(TH!E$1,SMALL(Dong6,ROWS($1:32)),))</f>
        <v>40737</v>
      </c>
      <c r="D42" s="368" t="str">
        <f ca="1">IF(ROWS($1:32)&gt;COUNT(Dong6),"",OFFSET(TH!F$1,SMALL(Dong6,ROWS($1:32)),))</f>
        <v>Giấy tấm 2V+3X ( 1490x634)</v>
      </c>
      <c r="E42" s="367">
        <f t="shared" ca="1" si="1"/>
        <v>32</v>
      </c>
      <c r="F42" s="369" t="str">
        <f ca="1">IF(ROWS($1:32)&gt;COUNT(Dong6),"",OFFSET(TH!L$1,SMALL(Dong6,ROWS($1:32)),))</f>
        <v>154</v>
      </c>
      <c r="G42" s="369" t="str">
        <f ca="1">IF(ROWS($1:32)&gt;COUNT(Dong6),"",OFFSET(TH!M$1,SMALL(Dong6,ROWS($1:32)),))</f>
        <v>1521</v>
      </c>
      <c r="H42" s="296">
        <f ca="1">IF(ROWS($1:32)&gt;COUNT(Dong6),"",OFFSET(TH!K$1,SMALL(Dong6,ROWS($1:32)),))</f>
        <v>5172</v>
      </c>
      <c r="I42" s="296">
        <f ca="1">IF(ROWS($1:32)&gt;COUNT(Dong6),"",OFFSET(TH!K$1,SMALL(Dong6,ROWS($1:32)),))</f>
        <v>5172</v>
      </c>
    </row>
    <row r="43" spans="1:9" s="359" customFormat="1" ht="21" customHeight="1">
      <c r="A43" s="366">
        <f ca="1">IF(ROWS($1:33)&gt;COUNT(Dong6),"",OFFSET(TH!C$1,SMALL(Dong6,ROWS($1:33)),))</f>
        <v>40737</v>
      </c>
      <c r="B43" s="367" t="str">
        <f ca="1">IF(ROWS($1:33)&gt;COUNT(Dong6),"",OFFSET(TH!D$1,SMALL(Dong6,ROWS($1:33)),))</f>
        <v>NL/X03</v>
      </c>
      <c r="C43" s="366">
        <f ca="1">IF(ROWS($1:33)&gt;COUNT(Dong6),"",OFFSET(TH!E$1,SMALL(Dong6,ROWS($1:33)),))</f>
        <v>40737</v>
      </c>
      <c r="D43" s="368" t="str">
        <f ca="1">IF(ROWS($1:33)&gt;COUNT(Dong6),"",OFFSET(TH!F$1,SMALL(Dong6,ROWS($1:33)),))</f>
        <v>Giấy tấm 1V+2X ( 1460x444)</v>
      </c>
      <c r="E43" s="367">
        <f t="shared" ca="1" si="1"/>
        <v>33</v>
      </c>
      <c r="F43" s="369" t="str">
        <f ca="1">IF(ROWS($1:33)&gt;COUNT(Dong6),"",OFFSET(TH!L$1,SMALL(Dong6,ROWS($1:33)),))</f>
        <v>154</v>
      </c>
      <c r="G43" s="369" t="str">
        <f ca="1">IF(ROWS($1:33)&gt;COUNT(Dong6),"",OFFSET(TH!M$1,SMALL(Dong6,ROWS($1:33)),))</f>
        <v>1521</v>
      </c>
      <c r="H43" s="296">
        <f ca="1">IF(ROWS($1:33)&gt;COUNT(Dong6),"",OFFSET(TH!K$1,SMALL(Dong6,ROWS($1:33)),))</f>
        <v>2225</v>
      </c>
      <c r="I43" s="296">
        <f ca="1">IF(ROWS($1:33)&gt;COUNT(Dong6),"",OFFSET(TH!K$1,SMALL(Dong6,ROWS($1:33)),))</f>
        <v>2225</v>
      </c>
    </row>
    <row r="44" spans="1:9" s="359" customFormat="1" ht="21" customHeight="1">
      <c r="A44" s="366">
        <f ca="1">IF(ROWS($1:34)&gt;COUNT(Dong6),"",OFFSET(TH!C$1,SMALL(Dong6,ROWS($1:34)),))</f>
        <v>40737</v>
      </c>
      <c r="B44" s="367" t="str">
        <f ca="1">IF(ROWS($1:34)&gt;COUNT(Dong6),"",OFFSET(TH!D$1,SMALL(Dong6,ROWS($1:34)),))</f>
        <v>NL/X03</v>
      </c>
      <c r="C44" s="366">
        <f ca="1">IF(ROWS($1:34)&gt;COUNT(Dong6),"",OFFSET(TH!E$1,SMALL(Dong6,ROWS($1:34)),))</f>
        <v>40737</v>
      </c>
      <c r="D44" s="368" t="str">
        <f ca="1">IF(ROWS($1:34)&gt;COUNT(Dong6),"",OFFSET(TH!F$1,SMALL(Dong6,ROWS($1:34)),))</f>
        <v>Giấy tấm 1V+2X ( 1460x444)</v>
      </c>
      <c r="E44" s="367">
        <f t="shared" ca="1" si="1"/>
        <v>34</v>
      </c>
      <c r="F44" s="369" t="str">
        <f ca="1">IF(ROWS($1:34)&gt;COUNT(Dong6),"",OFFSET(TH!L$1,SMALL(Dong6,ROWS($1:34)),))</f>
        <v>154</v>
      </c>
      <c r="G44" s="369" t="str">
        <f ca="1">IF(ROWS($1:34)&gt;COUNT(Dong6),"",OFFSET(TH!M$1,SMALL(Dong6,ROWS($1:34)),))</f>
        <v>1521</v>
      </c>
      <c r="H44" s="296">
        <f ca="1">IF(ROWS($1:34)&gt;COUNT(Dong6),"",OFFSET(TH!K$1,SMALL(Dong6,ROWS($1:34)),))</f>
        <v>4449</v>
      </c>
      <c r="I44" s="296">
        <f ca="1">IF(ROWS($1:34)&gt;COUNT(Dong6),"",OFFSET(TH!K$1,SMALL(Dong6,ROWS($1:34)),))</f>
        <v>4449</v>
      </c>
    </row>
    <row r="45" spans="1:9" s="359" customFormat="1" ht="21" customHeight="1">
      <c r="A45" s="366">
        <f ca="1">IF(ROWS($1:35)&gt;COUNT(Dong6),"",OFFSET(TH!C$1,SMALL(Dong6,ROWS($1:35)),))</f>
        <v>40737</v>
      </c>
      <c r="B45" s="367" t="str">
        <f ca="1">IF(ROWS($1:35)&gt;COUNT(Dong6),"",OFFSET(TH!D$1,SMALL(Dong6,ROWS($1:35)),))</f>
        <v>NL/X03</v>
      </c>
      <c r="C45" s="366">
        <f ca="1">IF(ROWS($1:35)&gt;COUNT(Dong6),"",OFFSET(TH!E$1,SMALL(Dong6,ROWS($1:35)),))</f>
        <v>40737</v>
      </c>
      <c r="D45" s="368" t="str">
        <f ca="1">IF(ROWS($1:35)&gt;COUNT(Dong6),"",OFFSET(TH!F$1,SMALL(Dong6,ROWS($1:35)),))</f>
        <v>Giấy tấm ND+2X.150 ( 163x115)</v>
      </c>
      <c r="E45" s="367">
        <f t="shared" ca="1" si="1"/>
        <v>35</v>
      </c>
      <c r="F45" s="369" t="str">
        <f ca="1">IF(ROWS($1:35)&gt;COUNT(Dong6),"",OFFSET(TH!L$1,SMALL(Dong6,ROWS($1:35)),))</f>
        <v>154</v>
      </c>
      <c r="G45" s="369" t="str">
        <f ca="1">IF(ROWS($1:35)&gt;COUNT(Dong6),"",OFFSET(TH!M$1,SMALL(Dong6,ROWS($1:35)),))</f>
        <v>1521</v>
      </c>
      <c r="H45" s="296">
        <f ca="1">IF(ROWS($1:35)&gt;COUNT(Dong6),"",OFFSET(TH!K$1,SMALL(Dong6,ROWS($1:35)),))</f>
        <v>33741</v>
      </c>
      <c r="I45" s="296">
        <f ca="1">IF(ROWS($1:35)&gt;COUNT(Dong6),"",OFFSET(TH!K$1,SMALL(Dong6,ROWS($1:35)),))</f>
        <v>33741</v>
      </c>
    </row>
    <row r="46" spans="1:9" s="359" customFormat="1" ht="21" customHeight="1">
      <c r="A46" s="366">
        <f ca="1">IF(ROWS($1:36)&gt;COUNT(Dong6),"",OFFSET(TH!C$1,SMALL(Dong6,ROWS($1:36)),))</f>
        <v>40737</v>
      </c>
      <c r="B46" s="367" t="str">
        <f ca="1">IF(ROWS($1:36)&gt;COUNT(Dong6),"",OFFSET(TH!D$1,SMALL(Dong6,ROWS($1:36)),))</f>
        <v>NL/X03</v>
      </c>
      <c r="C46" s="366">
        <f ca="1">IF(ROWS($1:36)&gt;COUNT(Dong6),"",OFFSET(TH!E$1,SMALL(Dong6,ROWS($1:36)),))</f>
        <v>40737</v>
      </c>
      <c r="D46" s="368" t="str">
        <f ca="1">IF(ROWS($1:36)&gt;COUNT(Dong6),"",OFFSET(TH!F$1,SMALL(Dong6,ROWS($1:36)),))</f>
        <v>Giấy tấm 1V+2X ( 1460x444)</v>
      </c>
      <c r="E46" s="367">
        <f t="shared" ca="1" si="1"/>
        <v>36</v>
      </c>
      <c r="F46" s="369" t="str">
        <f ca="1">IF(ROWS($1:36)&gt;COUNT(Dong6),"",OFFSET(TH!L$1,SMALL(Dong6,ROWS($1:36)),))</f>
        <v>154</v>
      </c>
      <c r="G46" s="369" t="str">
        <f ca="1">IF(ROWS($1:36)&gt;COUNT(Dong6),"",OFFSET(TH!M$1,SMALL(Dong6,ROWS($1:36)),))</f>
        <v>1521</v>
      </c>
      <c r="H46" s="296">
        <f ca="1">IF(ROWS($1:36)&gt;COUNT(Dong6),"",OFFSET(TH!K$1,SMALL(Dong6,ROWS($1:36)),))</f>
        <v>4449</v>
      </c>
      <c r="I46" s="296">
        <f ca="1">IF(ROWS($1:36)&gt;COUNT(Dong6),"",OFFSET(TH!K$1,SMALL(Dong6,ROWS($1:36)),))</f>
        <v>4449</v>
      </c>
    </row>
    <row r="47" spans="1:9" s="359" customFormat="1" ht="21" customHeight="1">
      <c r="A47" s="366">
        <f ca="1">IF(ROWS($1:37)&gt;COUNT(Dong6),"",OFFSET(TH!C$1,SMALL(Dong6,ROWS($1:37)),))</f>
        <v>40737</v>
      </c>
      <c r="B47" s="367" t="str">
        <f ca="1">IF(ROWS($1:37)&gt;COUNT(Dong6),"",OFFSET(TH!D$1,SMALL(Dong6,ROWS($1:37)),))</f>
        <v>NL/X03</v>
      </c>
      <c r="C47" s="366">
        <f ca="1">IF(ROWS($1:37)&gt;COUNT(Dong6),"",OFFSET(TH!E$1,SMALL(Dong6,ROWS($1:37)),))</f>
        <v>40737</v>
      </c>
      <c r="D47" s="368" t="str">
        <f ca="1">IF(ROWS($1:37)&gt;COUNT(Dong6),"",OFFSET(TH!F$1,SMALL(Dong6,ROWS($1:37)),))</f>
        <v>Giấy tấm 1V+2X ( 1540x542)</v>
      </c>
      <c r="E47" s="367">
        <f t="shared" ca="1" si="1"/>
        <v>37</v>
      </c>
      <c r="F47" s="369" t="str">
        <f ca="1">IF(ROWS($1:37)&gt;COUNT(Dong6),"",OFFSET(TH!L$1,SMALL(Dong6,ROWS($1:37)),))</f>
        <v>154</v>
      </c>
      <c r="G47" s="369" t="str">
        <f ca="1">IF(ROWS($1:37)&gt;COUNT(Dong6),"",OFFSET(TH!M$1,SMALL(Dong6,ROWS($1:37)),))</f>
        <v>1521</v>
      </c>
      <c r="H47" s="296">
        <f ca="1">IF(ROWS($1:37)&gt;COUNT(Dong6),"",OFFSET(TH!K$1,SMALL(Dong6,ROWS($1:37)),))</f>
        <v>18078</v>
      </c>
      <c r="I47" s="296">
        <f ca="1">IF(ROWS($1:37)&gt;COUNT(Dong6),"",OFFSET(TH!K$1,SMALL(Dong6,ROWS($1:37)),))</f>
        <v>18078</v>
      </c>
    </row>
    <row r="48" spans="1:9" s="359" customFormat="1" ht="21" customHeight="1">
      <c r="A48" s="366">
        <f ca="1">IF(ROWS($1:38)&gt;COUNT(Dong6),"",OFFSET(TH!C$1,SMALL(Dong6,ROWS($1:38)),))</f>
        <v>40737</v>
      </c>
      <c r="B48" s="367" t="str">
        <f ca="1">IF(ROWS($1:38)&gt;COUNT(Dong6),"",OFFSET(TH!D$1,SMALL(Dong6,ROWS($1:38)),))</f>
        <v>NL/X03</v>
      </c>
      <c r="C48" s="366">
        <f ca="1">IF(ROWS($1:38)&gt;COUNT(Dong6),"",OFFSET(TH!E$1,SMALL(Dong6,ROWS($1:38)),))</f>
        <v>40737</v>
      </c>
      <c r="D48" s="368" t="str">
        <f ca="1">IF(ROWS($1:38)&gt;COUNT(Dong6),"",OFFSET(TH!F$1,SMALL(Dong6,ROWS($1:38)),))</f>
        <v>Giấy carton 7L ( 85x110)</v>
      </c>
      <c r="E48" s="367">
        <f t="shared" ca="1" si="1"/>
        <v>38</v>
      </c>
      <c r="F48" s="369" t="str">
        <f ca="1">IF(ROWS($1:38)&gt;COUNT(Dong6),"",OFFSET(TH!L$1,SMALL(Dong6,ROWS($1:38)),))</f>
        <v>154</v>
      </c>
      <c r="G48" s="369" t="str">
        <f ca="1">IF(ROWS($1:38)&gt;COUNT(Dong6),"",OFFSET(TH!M$1,SMALL(Dong6,ROWS($1:38)),))</f>
        <v>1521</v>
      </c>
      <c r="H48" s="296">
        <f ca="1">IF(ROWS($1:38)&gt;COUNT(Dong6),"",OFFSET(TH!K$1,SMALL(Dong6,ROWS($1:38)),))</f>
        <v>78540</v>
      </c>
      <c r="I48" s="296">
        <f ca="1">IF(ROWS($1:38)&gt;COUNT(Dong6),"",OFFSET(TH!K$1,SMALL(Dong6,ROWS($1:38)),))</f>
        <v>78540</v>
      </c>
    </row>
    <row r="49" spans="1:10" s="359" customFormat="1" ht="21" customHeight="1">
      <c r="A49" s="366">
        <f ca="1">IF(ROWS($1:39)&gt;COUNT(Dong6),"",OFFSET(TH!C$1,SMALL(Dong6,ROWS($1:39)),))</f>
        <v>40738</v>
      </c>
      <c r="B49" s="367" t="str">
        <f ca="1">IF(ROWS($1:39)&gt;COUNT(Dong6),"",OFFSET(TH!D$1,SMALL(Dong6,ROWS($1:39)),))</f>
        <v>C03</v>
      </c>
      <c r="C49" s="366">
        <f ca="1">IF(ROWS($1:39)&gt;COUNT(Dong6),"",OFFSET(TH!E$1,SMALL(Dong6,ROWS($1:39)),))</f>
        <v>40738</v>
      </c>
      <c r="D49" s="368" t="str">
        <f ca="1">IF(ROWS($1:39)&gt;COUNT(Dong6),"",OFFSET(TH!F$1,SMALL(Dong6,ROWS($1:39)),))</f>
        <v>Hộp mực in</v>
      </c>
      <c r="E49" s="367">
        <f t="shared" ca="1" si="1"/>
        <v>39</v>
      </c>
      <c r="F49" s="369" t="str">
        <f ca="1">IF(ROWS($1:39)&gt;COUNT(Dong6),"",OFFSET(TH!L$1,SMALL(Dong6,ROWS($1:39)),))</f>
        <v>154</v>
      </c>
      <c r="G49" s="369" t="str">
        <f ca="1">IF(ROWS($1:39)&gt;COUNT(Dong6),"",OFFSET(TH!M$1,SMALL(Dong6,ROWS($1:39)),))</f>
        <v>1111</v>
      </c>
      <c r="H49" s="296">
        <f ca="1">IF(ROWS($1:39)&gt;COUNT(Dong6),"",OFFSET(TH!K$1,SMALL(Dong6,ROWS($1:39)),))</f>
        <v>1090909</v>
      </c>
      <c r="I49" s="296">
        <f ca="1">IF(ROWS($1:39)&gt;COUNT(Dong6),"",OFFSET(TH!K$1,SMALL(Dong6,ROWS($1:39)),))</f>
        <v>1090909</v>
      </c>
    </row>
    <row r="50" spans="1:10" s="359" customFormat="1" ht="21" customHeight="1">
      <c r="A50" s="366">
        <f ca="1">IF(ROWS($1:40)&gt;COUNT(Dong6),"",OFFSET(TH!C$1,SMALL(Dong6,ROWS($1:40)),))</f>
        <v>40738</v>
      </c>
      <c r="B50" s="367" t="str">
        <f ca="1">IF(ROWS($1:40)&gt;COUNT(Dong6),"",OFFSET(TH!D$1,SMALL(Dong6,ROWS($1:40)),))</f>
        <v>C03</v>
      </c>
      <c r="C50" s="366">
        <f ca="1">IF(ROWS($1:40)&gt;COUNT(Dong6),"",OFFSET(TH!E$1,SMALL(Dong6,ROWS($1:40)),))</f>
        <v>40738</v>
      </c>
      <c r="D50" s="368" t="str">
        <f ca="1">IF(ROWS($1:40)&gt;COUNT(Dong6),"",OFFSET(TH!F$1,SMALL(Dong6,ROWS($1:40)),))</f>
        <v>VAT Hộp mực in</v>
      </c>
      <c r="E50" s="367">
        <f t="shared" ca="1" si="1"/>
        <v>40</v>
      </c>
      <c r="F50" s="369" t="str">
        <f ca="1">IF(ROWS($1:40)&gt;COUNT(Dong6),"",OFFSET(TH!L$1,SMALL(Dong6,ROWS($1:40)),))</f>
        <v>1331</v>
      </c>
      <c r="G50" s="369" t="str">
        <f ca="1">IF(ROWS($1:40)&gt;COUNT(Dong6),"",OFFSET(TH!M$1,SMALL(Dong6,ROWS($1:40)),))</f>
        <v>1111</v>
      </c>
      <c r="H50" s="296">
        <f ca="1">IF(ROWS($1:40)&gt;COUNT(Dong6),"",OFFSET(TH!K$1,SMALL(Dong6,ROWS($1:40)),))</f>
        <v>109091</v>
      </c>
      <c r="I50" s="296">
        <f ca="1">IF(ROWS($1:40)&gt;COUNT(Dong6),"",OFFSET(TH!K$1,SMALL(Dong6,ROWS($1:40)),))</f>
        <v>109091</v>
      </c>
    </row>
    <row r="51" spans="1:10" s="359" customFormat="1" ht="21" customHeight="1">
      <c r="A51" s="366"/>
      <c r="B51" s="367"/>
      <c r="C51" s="366"/>
      <c r="D51" s="368"/>
      <c r="E51" s="367"/>
      <c r="F51" s="369"/>
      <c r="G51" s="369"/>
      <c r="H51" s="296"/>
      <c r="I51" s="296"/>
    </row>
    <row r="52" spans="1:10" s="359" customFormat="1" ht="21" customHeight="1">
      <c r="A52" s="370"/>
      <c r="B52" s="370"/>
      <c r="C52" s="370"/>
      <c r="D52" s="371" t="s">
        <v>333</v>
      </c>
      <c r="E52" s="372" t="s">
        <v>18</v>
      </c>
      <c r="F52" s="372"/>
      <c r="G52" s="372" t="s">
        <v>18</v>
      </c>
      <c r="H52" s="373">
        <f ca="1">SUBTOTAL(9,$H$10:$H$51)</f>
        <v>5983655662</v>
      </c>
      <c r="I52" s="373">
        <f ca="1">SUBTOTAL(9,I10:I51)</f>
        <v>5983655662</v>
      </c>
    </row>
    <row r="53" spans="1:10" s="359" customFormat="1" ht="15">
      <c r="A53" s="374" t="s">
        <v>1384</v>
      </c>
    </row>
    <row r="54" spans="1:10" s="359" customFormat="1" ht="15">
      <c r="A54" s="374" t="str">
        <f ca="1">"- Ngày mở sổ: "&amp;DAY($A$11)&amp;"/"&amp;MONTH($A$11)&amp;"/ " &amp;YEAR($A$11)</f>
        <v>- Ngày mở sổ: 1/7/ 2011</v>
      </c>
    </row>
    <row r="55" spans="1:10" s="359" customFormat="1" ht="15">
      <c r="H55" s="102" t="str">
        <f ca="1">"Ngày "&amp;IF(OR($L$11=4,$L$11=6,$L$11=9,$L$11=11),"30",IF($L$11=2,"28","31"))&amp;" tháng "&amp;$N$8&amp;"  năm  "&amp;YEAR($A$14)</f>
        <v>Ngày 31 tháng 9  năm  2011</v>
      </c>
      <c r="I55" s="375"/>
      <c r="J55" s="375"/>
    </row>
    <row r="56" spans="1:10" s="359" customFormat="1" ht="15">
      <c r="B56" s="375" t="s">
        <v>330</v>
      </c>
      <c r="D56" s="375" t="s">
        <v>12</v>
      </c>
      <c r="H56" s="375" t="s">
        <v>331</v>
      </c>
      <c r="I56" s="375"/>
      <c r="J56" s="375"/>
    </row>
    <row r="57" spans="1:10" s="359" customFormat="1" ht="15">
      <c r="B57" s="375" t="s">
        <v>13</v>
      </c>
      <c r="D57" s="375" t="s">
        <v>13</v>
      </c>
      <c r="H57" s="375" t="s">
        <v>125</v>
      </c>
      <c r="I57" s="375"/>
      <c r="J57" s="375"/>
    </row>
    <row r="58" spans="1:10" s="35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G26" sqref="G2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79"/>
      <c r="B1" s="379"/>
      <c r="C1" s="379"/>
      <c r="E1" s="379"/>
    </row>
    <row r="2" spans="1:9" s="450" customFormat="1" ht="15.75" customHeight="1">
      <c r="A2" s="448" t="str">
        <f>TH!A1</f>
        <v>Đơn vị: CÔNG TY TNHH SX TM KIM DUNG PHÁT</v>
      </c>
      <c r="B2" s="449"/>
      <c r="C2" s="449"/>
      <c r="E2" s="449"/>
      <c r="G2" s="823" t="s">
        <v>134</v>
      </c>
      <c r="H2" s="823"/>
      <c r="I2" s="823"/>
    </row>
    <row r="3" spans="1:9" s="3" customFormat="1" ht="15.75" customHeight="1">
      <c r="A3" s="1" t="str">
        <f>TH!A2</f>
        <v>Địa chỉ: 1A227/1 Ấp 1, Phạm Văn Hai, Bình Chánh, TPHCM</v>
      </c>
      <c r="B3" s="379"/>
      <c r="C3" s="379"/>
      <c r="E3" s="379"/>
      <c r="G3" s="8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4"/>
      <c r="I3" s="824"/>
    </row>
    <row r="4" spans="1:9" s="3" customFormat="1" ht="15">
      <c r="A4" s="379"/>
      <c r="B4" s="379"/>
      <c r="C4" s="379"/>
      <c r="E4" s="379"/>
      <c r="F4" s="5"/>
      <c r="G4" s="824"/>
      <c r="H4" s="824"/>
      <c r="I4" s="824"/>
    </row>
    <row r="5" spans="1:9" s="3" customFormat="1" ht="30.75" customHeight="1">
      <c r="A5" s="825" t="s">
        <v>135</v>
      </c>
      <c r="B5" s="825"/>
      <c r="C5" s="825"/>
      <c r="D5" s="825"/>
      <c r="E5" s="825"/>
      <c r="F5" s="825"/>
      <c r="G5" s="825"/>
      <c r="H5" s="825"/>
      <c r="I5" s="825"/>
    </row>
    <row r="6" spans="1:9" s="3" customFormat="1" ht="15">
      <c r="A6" s="826" t="s">
        <v>136</v>
      </c>
      <c r="B6" s="827"/>
      <c r="C6" s="827"/>
      <c r="D6" s="827"/>
      <c r="E6" s="827"/>
      <c r="F6" s="827"/>
      <c r="G6" s="827"/>
      <c r="H6" s="827"/>
      <c r="I6" s="827"/>
    </row>
    <row r="7" spans="1:9" s="3" customFormat="1" ht="15">
      <c r="A7" s="379"/>
      <c r="D7" s="111" t="s">
        <v>137</v>
      </c>
      <c r="E7" s="112" t="s">
        <v>73</v>
      </c>
    </row>
    <row r="8" spans="1:9" s="3" customFormat="1" ht="15">
      <c r="A8" s="379"/>
      <c r="D8" s="111" t="s">
        <v>138</v>
      </c>
      <c r="E8" s="3" t="str">
        <f>VLOOKUP($E$7,DSTK,2,0)</f>
        <v xml:space="preserve"> Chi phí quản lý doanh nghiệp </v>
      </c>
    </row>
    <row r="9" spans="1:9" s="3" customFormat="1" ht="15">
      <c r="A9" s="827" t="s">
        <v>28</v>
      </c>
      <c r="B9" s="828"/>
      <c r="C9" s="828"/>
      <c r="D9" s="828"/>
      <c r="E9" s="828"/>
      <c r="F9" s="828"/>
      <c r="G9" s="828"/>
      <c r="H9" s="828"/>
      <c r="I9" s="828"/>
    </row>
    <row r="10" spans="1:9" s="3" customFormat="1" ht="9.75" customHeight="1">
      <c r="A10" s="379"/>
      <c r="B10" s="379"/>
      <c r="C10" s="829"/>
      <c r="D10" s="830"/>
      <c r="E10" s="830"/>
      <c r="F10" s="830"/>
      <c r="G10" s="830"/>
      <c r="H10" s="830"/>
      <c r="I10" s="830"/>
    </row>
    <row r="11" spans="1:9" s="3" customFormat="1" ht="19.5" customHeight="1">
      <c r="A11" s="831" t="s">
        <v>19</v>
      </c>
      <c r="B11" s="821" t="s">
        <v>1</v>
      </c>
      <c r="C11" s="832"/>
      <c r="D11" s="831" t="s">
        <v>0</v>
      </c>
      <c r="E11" s="831" t="s">
        <v>14</v>
      </c>
      <c r="F11" s="821" t="s">
        <v>20</v>
      </c>
      <c r="G11" s="832"/>
      <c r="H11" s="821" t="s">
        <v>29</v>
      </c>
      <c r="I11" s="822"/>
    </row>
    <row r="12" spans="1:9" s="3" customFormat="1" ht="32.25" customHeight="1">
      <c r="A12" s="831"/>
      <c r="B12" s="428" t="s">
        <v>15</v>
      </c>
      <c r="C12" s="428" t="s">
        <v>30</v>
      </c>
      <c r="D12" s="831"/>
      <c r="E12" s="831"/>
      <c r="F12" s="428" t="s">
        <v>21</v>
      </c>
      <c r="G12" s="428" t="s">
        <v>22</v>
      </c>
      <c r="H12" s="428" t="s">
        <v>21</v>
      </c>
      <c r="I12" s="428" t="s">
        <v>22</v>
      </c>
    </row>
    <row r="13" spans="1:9" s="379" customFormat="1" ht="11.25" customHeight="1">
      <c r="A13" s="429" t="s">
        <v>2</v>
      </c>
      <c r="B13" s="430" t="s">
        <v>3</v>
      </c>
      <c r="C13" s="429" t="s">
        <v>4</v>
      </c>
      <c r="D13" s="429" t="s">
        <v>5</v>
      </c>
      <c r="E13" s="429" t="s">
        <v>6</v>
      </c>
      <c r="F13" s="429">
        <v>1</v>
      </c>
      <c r="G13" s="429">
        <v>2</v>
      </c>
      <c r="H13" s="429">
        <v>3</v>
      </c>
      <c r="I13" s="429">
        <v>4</v>
      </c>
    </row>
    <row r="14" spans="1:9" s="3" customFormat="1" ht="18" customHeight="1">
      <c r="A14" s="431"/>
      <c r="B14" s="432"/>
      <c r="C14" s="431"/>
      <c r="D14" s="433" t="s">
        <v>7</v>
      </c>
      <c r="E14" s="432"/>
      <c r="F14" s="434"/>
      <c r="G14" s="434"/>
      <c r="H14" s="434">
        <f>VLOOKUP($E$7,DSTK,3,0)</f>
        <v>0</v>
      </c>
      <c r="I14" s="434">
        <f>VLOOKUP($E$7,DSTK,4,0)</f>
        <v>0</v>
      </c>
    </row>
    <row r="15" spans="1:9" s="3" customFormat="1" ht="18" customHeight="1">
      <c r="A15" s="435">
        <f ca="1">IF(ROWS($1:1)&gt;COUNT(Dong5),"",OFFSET(TH!C$1,SMALL(Dong5,ROWS($1:1)),))</f>
        <v>40908</v>
      </c>
      <c r="B15" s="435" t="str">
        <f ca="1">IF(ROWS($1:1)&gt;COUNT(Dong5),"",OFFSET(TH!D$1,SMALL(Dong5,ROWS($1:1)),))</f>
        <v>BTKC</v>
      </c>
      <c r="C15" s="435">
        <f ca="1">IF(ROWS($1:1)&gt;COUNT(Dong5),"",OFFSET(TH!E$1,SMALL(Dong5,ROWS($1:1)),))</f>
        <v>40908</v>
      </c>
      <c r="D15" s="436" t="str">
        <f ca="1">IF(ROWS($1:1)&gt;COUNT(Dong5),"",OFFSET(TH!F$1,SMALL(Dong5,ROWS($1:1)),))</f>
        <v>K/C chi phí quản lý doanh nghiệp</v>
      </c>
      <c r="E15" s="435" t="str">
        <f ca="1">IF(ROWS($1:1)&gt;COUNT(Dong5),"",IF(OFFSET(TH!L$1,SMALL(Dong5,ROWS($1:1)),)=$E$7,OFFSET(TH!M$1,SMALL(Dong5,ROWS($1:1)),),OFFSET(TH!L$1,SMALL(Dong5,ROWS($1:1)),)))</f>
        <v>911</v>
      </c>
      <c r="F15" s="437">
        <f ca="1">IF(ROWS($1:1)&gt;COUNT(Dong5),0,IF(OFFSET(TH!L$1,SMALL(Dong5,ROWS($1:1)),)=$E$7,OFFSET(TH!K$1,SMALL(Dong5,ROWS($1:1)),),0))</f>
        <v>0</v>
      </c>
      <c r="G15" s="434">
        <f ca="1">IF(ROWS($1:1)&gt;COUNT(Dong5),0,IF(OFFSET(TH!M$1,SMALL(Dong5,ROWS($1:1)),)=$E$7,OFFSET(TH!K$1,SMALL(Dong5,ROWS($1:1)),),0))</f>
        <v>68192198</v>
      </c>
      <c r="H15" s="438">
        <f ca="1">IF(D15&lt;&gt;"",MAX(H14+F15-G15-I14,0),0)</f>
        <v>0</v>
      </c>
      <c r="I15" s="438">
        <f ca="1">IF(D15&lt;&gt;"",MAX(I14+G15-H14-F15,0),0)</f>
        <v>68192198</v>
      </c>
    </row>
    <row r="16" spans="1:9" s="3" customFormat="1" ht="18" customHeight="1">
      <c r="A16" s="435">
        <f ca="1">IF(ROWS($1:2)&gt;COUNT(Dong5),"",OFFSET(TH!C$1,SMALL(Dong5,ROWS($1:2)),))</f>
        <v>40634</v>
      </c>
      <c r="B16" s="435" t="str">
        <f ca="1">IF(ROWS($1:2)&gt;COUNT(Dong5),"",OFFSET(TH!D$1,SMALL(Dong5,ROWS($1:2)),))</f>
        <v>C02</v>
      </c>
      <c r="C16" s="435">
        <f ca="1">IF(ROWS($1:2)&gt;COUNT(Dong5),"",OFFSET(TH!E$1,SMALL(Dong5,ROWS($1:2)),))</f>
        <v>40623</v>
      </c>
      <c r="D16" s="436" t="str">
        <f ca="1">IF(ROWS($1:2)&gt;COUNT(Dong5),"",OFFSET(TH!F$1,SMALL(Dong5,ROWS($1:2)),))</f>
        <v>Phí Cấp giấy chứng nhận đăng kí mẫu dấu</v>
      </c>
      <c r="E16" s="435" t="str">
        <f ca="1">IF(ROWS($1:2)&gt;COUNT(Dong5),"",IF(OFFSET(TH!L$1,SMALL(Dong5,ROWS($1:2)),)=$E$7,OFFSET(TH!M$1,SMALL(Dong5,ROWS($1:2)),),OFFSET(TH!L$1,SMALL(Dong5,ROWS($1:2)),)))</f>
        <v>1111</v>
      </c>
      <c r="F16" s="437">
        <f ca="1">IF(ROWS($1:2)&gt;COUNT(Dong5),0,IF(OFFSET(TH!L$1,SMALL(Dong5,ROWS($1:2)),)=$E$7,OFFSET(TH!K$1,SMALL(Dong5,ROWS($1:2)),),0))</f>
        <v>50000</v>
      </c>
      <c r="G16" s="434">
        <f ca="1">IF(ROWS($1:2)&gt;COUNT(Dong5),0,IF(OFFSET(TH!M$1,SMALL(Dong5,ROWS($1:2)),)=$E$7,OFFSET(TH!K$1,SMALL(Dong5,ROWS($1:2)),),0))</f>
        <v>0</v>
      </c>
      <c r="H16" s="438">
        <f t="shared" ref="H16:H20" ca="1" si="0">IF(D16&lt;&gt;"",MAX(H15+F16-G16-I15,0),0)</f>
        <v>0</v>
      </c>
      <c r="I16" s="438">
        <f t="shared" ref="I16:I20" ca="1" si="1">IF(D16&lt;&gt;"",MAX(I15+G16-H15-F16,0),0)</f>
        <v>68142198</v>
      </c>
    </row>
    <row r="17" spans="1:9" s="3" customFormat="1" ht="18" customHeight="1">
      <c r="A17" s="435">
        <f ca="1">IF(ROWS($1:3)&gt;COUNT(Dong5),"",OFFSET(TH!C$1,SMALL(Dong5,ROWS($1:3)),))</f>
        <v>40634</v>
      </c>
      <c r="B17" s="435" t="str">
        <f ca="1">IF(ROWS($1:3)&gt;COUNT(Dong5),"",OFFSET(TH!D$1,SMALL(Dong5,ROWS($1:3)),))</f>
        <v>C03</v>
      </c>
      <c r="C17" s="435">
        <f ca="1">IF(ROWS($1:3)&gt;COUNT(Dong5),"",OFFSET(TH!E$1,SMALL(Dong5,ROWS($1:3)),))</f>
        <v>40619</v>
      </c>
      <c r="D17" s="436" t="str">
        <f ca="1">IF(ROWS($1:3)&gt;COUNT(Dong5),"",OFFSET(TH!F$1,SMALL(Dong5,ROWS($1:3)),))</f>
        <v>Phí khắc dấu</v>
      </c>
      <c r="E17" s="435" t="str">
        <f ca="1">IF(ROWS($1:3)&gt;COUNT(Dong5),"",IF(OFFSET(TH!L$1,SMALL(Dong5,ROWS($1:3)),)=$E$7,OFFSET(TH!M$1,SMALL(Dong5,ROWS($1:3)),),OFFSET(TH!L$1,SMALL(Dong5,ROWS($1:3)),)))</f>
        <v>1111</v>
      </c>
      <c r="F17" s="437">
        <f ca="1">IF(ROWS($1:3)&gt;COUNT(Dong5),0,IF(OFFSET(TH!L$1,SMALL(Dong5,ROWS($1:3)),)=$E$7,OFFSET(TH!K$1,SMALL(Dong5,ROWS($1:3)),),0))</f>
        <v>363636</v>
      </c>
      <c r="G17" s="434">
        <f ca="1">IF(ROWS($1:3)&gt;COUNT(Dong5),0,IF(OFFSET(TH!M$1,SMALL(Dong5,ROWS($1:3)),)=$E$7,OFFSET(TH!K$1,SMALL(Dong5,ROWS($1:3)),),0))</f>
        <v>0</v>
      </c>
      <c r="H17" s="438">
        <f t="shared" ca="1" si="0"/>
        <v>0</v>
      </c>
      <c r="I17" s="438">
        <f t="shared" ca="1" si="1"/>
        <v>67778562</v>
      </c>
    </row>
    <row r="18" spans="1:9" s="3" customFormat="1" ht="18" customHeight="1">
      <c r="A18" s="435">
        <f ca="1">IF(ROWS($1:4)&gt;COUNT(Dong5),"",OFFSET(TH!C$1,SMALL(Dong5,ROWS($1:4)),))</f>
        <v>40638</v>
      </c>
      <c r="B18" s="435" t="str">
        <f ca="1">IF(ROWS($1:4)&gt;COUNT(Dong5),"",OFFSET(TH!D$1,SMALL(Dong5,ROWS($1:4)),))</f>
        <v>C07</v>
      </c>
      <c r="C18" s="435">
        <f ca="1">IF(ROWS($1:4)&gt;COUNT(Dong5),"",OFFSET(TH!E$1,SMALL(Dong5,ROWS($1:4)),))</f>
        <v>40638</v>
      </c>
      <c r="D18" s="436" t="str">
        <f ca="1">IF(ROWS($1:4)&gt;COUNT(Dong5),"",OFFSET(TH!F$1,SMALL(Dong5,ROWS($1:4)),))</f>
        <v>Phí DV đăng ký thành lập doanh nghiệp</v>
      </c>
      <c r="E18" s="435" t="str">
        <f ca="1">IF(ROWS($1:4)&gt;COUNT(Dong5),"",IF(OFFSET(TH!L$1,SMALL(Dong5,ROWS($1:4)),)=$E$7,OFFSET(TH!M$1,SMALL(Dong5,ROWS($1:4)),),OFFSET(TH!L$1,SMALL(Dong5,ROWS($1:4)),)))</f>
        <v>1111</v>
      </c>
      <c r="F18" s="437">
        <f ca="1">IF(ROWS($1:4)&gt;COUNT(Dong5),0,IF(OFFSET(TH!L$1,SMALL(Dong5,ROWS($1:4)),)=$E$7,OFFSET(TH!K$1,SMALL(Dong5,ROWS($1:4)),),0))</f>
        <v>2000000</v>
      </c>
      <c r="G18" s="434">
        <f ca="1">IF(ROWS($1:4)&gt;COUNT(Dong5),0,IF(OFFSET(TH!M$1,SMALL(Dong5,ROWS($1:4)),)=$E$7,OFFSET(TH!K$1,SMALL(Dong5,ROWS($1:4)),),0))</f>
        <v>0</v>
      </c>
      <c r="H18" s="438">
        <f t="shared" ca="1" si="0"/>
        <v>0</v>
      </c>
      <c r="I18" s="438">
        <f t="shared" ca="1" si="1"/>
        <v>65778562</v>
      </c>
    </row>
    <row r="19" spans="1:9" s="3" customFormat="1" ht="18" customHeight="1">
      <c r="A19" s="435">
        <f ca="1">IF(ROWS($1:5)&gt;COUNT(Dong5),"",OFFSET(TH!C$1,SMALL(Dong5,ROWS($1:5)),))</f>
        <v>40638</v>
      </c>
      <c r="B19" s="435" t="str">
        <f ca="1">IF(ROWS($1:5)&gt;COUNT(Dong5),"",OFFSET(TH!D$1,SMALL(Dong5,ROWS($1:5)),))</f>
        <v>C08</v>
      </c>
      <c r="C19" s="435">
        <f ca="1">IF(ROWS($1:5)&gt;COUNT(Dong5),"",OFFSET(TH!E$1,SMALL(Dong5,ROWS($1:5)),))</f>
        <v>40638</v>
      </c>
      <c r="D19" s="436" t="str">
        <f ca="1">IF(ROWS($1:5)&gt;COUNT(Dong5),"",OFFSET(TH!F$1,SMALL(Dong5,ROWS($1:5)),))</f>
        <v>Đăng bố cáo doanh nghiệp lên báo TT Giao Dịch</v>
      </c>
      <c r="E19" s="435" t="str">
        <f ca="1">IF(ROWS($1:5)&gt;COUNT(Dong5),"",IF(OFFSET(TH!L$1,SMALL(Dong5,ROWS($1:5)),)=$E$7,OFFSET(TH!M$1,SMALL(Dong5,ROWS($1:5)),),OFFSET(TH!L$1,SMALL(Dong5,ROWS($1:5)),)))</f>
        <v>1111</v>
      </c>
      <c r="F19" s="437">
        <f ca="1">IF(ROWS($1:5)&gt;COUNT(Dong5),0,IF(OFFSET(TH!L$1,SMALL(Dong5,ROWS($1:5)),)=$E$7,OFFSET(TH!K$1,SMALL(Dong5,ROWS($1:5)),),0))</f>
        <v>108000</v>
      </c>
      <c r="G19" s="434">
        <f ca="1">IF(ROWS($1:5)&gt;COUNT(Dong5),0,IF(OFFSET(TH!M$1,SMALL(Dong5,ROWS($1:5)),)=$E$7,OFFSET(TH!K$1,SMALL(Dong5,ROWS($1:5)),),0))</f>
        <v>0</v>
      </c>
      <c r="H19" s="438">
        <f t="shared" ca="1" si="0"/>
        <v>0</v>
      </c>
      <c r="I19" s="438">
        <f t="shared" ca="1" si="1"/>
        <v>65670562</v>
      </c>
    </row>
    <row r="20" spans="1:9" s="3" customFormat="1" ht="18" customHeight="1">
      <c r="A20" s="435">
        <f ca="1">IF(ROWS($1:6)&gt;COUNT(Dong5),"",OFFSET(TH!C$1,SMALL(Dong5,ROWS($1:6)),))</f>
        <v>40652</v>
      </c>
      <c r="B20" s="435" t="str">
        <f ca="1">IF(ROWS($1:6)&gt;COUNT(Dong5),"",OFFSET(TH!D$1,SMALL(Dong5,ROWS($1:6)),))</f>
        <v>C18</v>
      </c>
      <c r="C20" s="435">
        <f ca="1">IF(ROWS($1:6)&gt;COUNT(Dong5),"",OFFSET(TH!E$1,SMALL(Dong5,ROWS($1:6)),))</f>
        <v>40652</v>
      </c>
      <c r="D20" s="436" t="str">
        <f ca="1">IF(ROWS($1:6)&gt;COUNT(Dong5),"",OFFSET(TH!F$1,SMALL(Dong5,ROWS($1:6)),))</f>
        <v>Thuế môn bài phải nộp</v>
      </c>
      <c r="E20" s="435" t="str">
        <f ca="1">IF(ROWS($1:6)&gt;COUNT(Dong5),"",IF(OFFSET(TH!L$1,SMALL(Dong5,ROWS($1:6)),)=$E$7,OFFSET(TH!M$1,SMALL(Dong5,ROWS($1:6)),),OFFSET(TH!L$1,SMALL(Dong5,ROWS($1:6)),)))</f>
        <v>33382</v>
      </c>
      <c r="F20" s="437">
        <f ca="1">IF(ROWS($1:6)&gt;COUNT(Dong5),0,IF(OFFSET(TH!L$1,SMALL(Dong5,ROWS($1:6)),)=$E$7,OFFSET(TH!K$1,SMALL(Dong5,ROWS($1:6)),),0))</f>
        <v>1000000</v>
      </c>
      <c r="G20" s="434">
        <f ca="1">IF(ROWS($1:6)&gt;COUNT(Dong5),0,IF(OFFSET(TH!M$1,SMALL(Dong5,ROWS($1:6)),)=$E$7,OFFSET(TH!K$1,SMALL(Dong5,ROWS($1:6)),),0))</f>
        <v>0</v>
      </c>
      <c r="H20" s="438">
        <f t="shared" ca="1" si="0"/>
        <v>0</v>
      </c>
      <c r="I20" s="438">
        <f t="shared" ca="1" si="1"/>
        <v>64670562</v>
      </c>
    </row>
    <row r="21" spans="1:9" s="3" customFormat="1" ht="18" customHeight="1">
      <c r="A21" s="435">
        <f ca="1">IF(ROWS($1:7)&gt;COUNT(Dong5),"",OFFSET(TH!C$1,SMALL(Dong5,ROWS($1:7)),))</f>
        <v>40673</v>
      </c>
      <c r="B21" s="435" t="str">
        <f ca="1">IF(ROWS($1:7)&gt;COUNT(Dong5),"",OFFSET(TH!D$1,SMALL(Dong5,ROWS($1:7)),))</f>
        <v>GBN</v>
      </c>
      <c r="C21" s="435">
        <f ca="1">IF(ROWS($1:7)&gt;COUNT(Dong5),"",OFFSET(TH!E$1,SMALL(Dong5,ROWS($1:7)),))</f>
        <v>40673</v>
      </c>
      <c r="D21" s="436" t="str">
        <f ca="1">IF(ROWS($1:7)&gt;COUNT(Dong5),"",OFFSET(TH!F$1,SMALL(Dong5,ROWS($1:7)),))</f>
        <v>Phí chuyển tiền</v>
      </c>
      <c r="E21" s="435" t="str">
        <f ca="1">IF(ROWS($1:7)&gt;COUNT(Dong5),"",IF(OFFSET(TH!L$1,SMALL(Dong5,ROWS($1:7)),)=$E$7,OFFSET(TH!M$1,SMALL(Dong5,ROWS($1:7)),),OFFSET(TH!L$1,SMALL(Dong5,ROWS($1:7)),)))</f>
        <v>1121</v>
      </c>
      <c r="F21" s="437">
        <f ca="1">IF(ROWS($1:7)&gt;COUNT(Dong5),0,IF(OFFSET(TH!L$1,SMALL(Dong5,ROWS($1:7)),)=$E$7,OFFSET(TH!K$1,SMALL(Dong5,ROWS($1:7)),),0))</f>
        <v>10000</v>
      </c>
      <c r="G21" s="434">
        <f ca="1">IF(ROWS($1:7)&gt;COUNT(Dong5),0,IF(OFFSET(TH!M$1,SMALL(Dong5,ROWS($1:7)),)=$E$7,OFFSET(TH!K$1,SMALL(Dong5,ROWS($1:7)),),0))</f>
        <v>0</v>
      </c>
      <c r="H21" s="438">
        <f t="shared" ref="H21:H29" ca="1" si="2">IF(D21&lt;&gt;"",MAX(H20+F21-G21-I20,0),0)</f>
        <v>0</v>
      </c>
      <c r="I21" s="438">
        <f t="shared" ref="I21:I29" ca="1" si="3">IF(D21&lt;&gt;"",MAX(I20+G21-H20-F21,0),0)</f>
        <v>64660562</v>
      </c>
    </row>
    <row r="22" spans="1:9" s="3" customFormat="1" ht="18" customHeight="1">
      <c r="A22" s="435">
        <f ca="1">IF(ROWS($1:8)&gt;COUNT(Dong5),"",OFFSET(TH!C$1,SMALL(Dong5,ROWS($1:8)),))</f>
        <v>40679</v>
      </c>
      <c r="B22" s="435" t="str">
        <f ca="1">IF(ROWS($1:8)&gt;COUNT(Dong5),"",OFFSET(TH!D$1,SMALL(Dong5,ROWS($1:8)),))</f>
        <v>C24</v>
      </c>
      <c r="C22" s="435">
        <f ca="1">IF(ROWS($1:8)&gt;COUNT(Dong5),"",OFFSET(TH!E$1,SMALL(Dong5,ROWS($1:8)),))</f>
        <v>40679</v>
      </c>
      <c r="D22" s="436" t="str">
        <f ca="1">IF(ROWS($1:8)&gt;COUNT(Dong5),"",OFFSET(TH!F$1,SMALL(Dong5,ROWS($1:8)),))</f>
        <v>Chi phí in hóa đơn</v>
      </c>
      <c r="E22" s="435" t="str">
        <f ca="1">IF(ROWS($1:8)&gt;COUNT(Dong5),"",IF(OFFSET(TH!L$1,SMALL(Dong5,ROWS($1:8)),)=$E$7,OFFSET(TH!M$1,SMALL(Dong5,ROWS($1:8)),),OFFSET(TH!L$1,SMALL(Dong5,ROWS($1:8)),)))</f>
        <v>1111</v>
      </c>
      <c r="F22" s="437">
        <f ca="1">IF(ROWS($1:8)&gt;COUNT(Dong5),0,IF(OFFSET(TH!L$1,SMALL(Dong5,ROWS($1:8)),)=$E$7,OFFSET(TH!K$1,SMALL(Dong5,ROWS($1:8)),),0))</f>
        <v>2700000</v>
      </c>
      <c r="G22" s="434">
        <f ca="1">IF(ROWS($1:8)&gt;COUNT(Dong5),0,IF(OFFSET(TH!M$1,SMALL(Dong5,ROWS($1:8)),)=$E$7,OFFSET(TH!K$1,SMALL(Dong5,ROWS($1:8)),),0))</f>
        <v>0</v>
      </c>
      <c r="H22" s="438">
        <f t="shared" ca="1" si="2"/>
        <v>0</v>
      </c>
      <c r="I22" s="438">
        <f t="shared" ca="1" si="3"/>
        <v>61960562</v>
      </c>
    </row>
    <row r="23" spans="1:9" s="3" customFormat="1" ht="18" customHeight="1">
      <c r="A23" s="435">
        <f ca="1">IF(ROWS($1:9)&gt;COUNT(Dong5),"",OFFSET(TH!C$1,SMALL(Dong5,ROWS($1:9)),))</f>
        <v>40680</v>
      </c>
      <c r="B23" s="435" t="str">
        <f ca="1">IF(ROWS($1:9)&gt;COUNT(Dong5),"",OFFSET(TH!D$1,SMALL(Dong5,ROWS($1:9)),))</f>
        <v>GBN</v>
      </c>
      <c r="C23" s="435">
        <f ca="1">IF(ROWS($1:9)&gt;COUNT(Dong5),"",OFFSET(TH!E$1,SMALL(Dong5,ROWS($1:9)),))</f>
        <v>40680</v>
      </c>
      <c r="D23" s="436" t="str">
        <f ca="1">IF(ROWS($1:9)&gt;COUNT(Dong5),"",OFFSET(TH!F$1,SMALL(Dong5,ROWS($1:9)),))</f>
        <v>Phí chuyển tiền</v>
      </c>
      <c r="E23" s="435" t="str">
        <f ca="1">IF(ROWS($1:9)&gt;COUNT(Dong5),"",IF(OFFSET(TH!L$1,SMALL(Dong5,ROWS($1:9)),)=$E$7,OFFSET(TH!M$1,SMALL(Dong5,ROWS($1:9)),),OFFSET(TH!L$1,SMALL(Dong5,ROWS($1:9)),)))</f>
        <v>1121</v>
      </c>
      <c r="F23" s="437">
        <f ca="1">IF(ROWS($1:9)&gt;COUNT(Dong5),0,IF(OFFSET(TH!L$1,SMALL(Dong5,ROWS($1:9)),)=$E$7,OFFSET(TH!K$1,SMALL(Dong5,ROWS($1:9)),),0))</f>
        <v>10000</v>
      </c>
      <c r="G23" s="434">
        <f ca="1">IF(ROWS($1:9)&gt;COUNT(Dong5),0,IF(OFFSET(TH!M$1,SMALL(Dong5,ROWS($1:9)),)=$E$7,OFFSET(TH!K$1,SMALL(Dong5,ROWS($1:9)),),0))</f>
        <v>0</v>
      </c>
      <c r="H23" s="438">
        <f t="shared" ca="1" si="2"/>
        <v>0</v>
      </c>
      <c r="I23" s="438">
        <f t="shared" ca="1" si="3"/>
        <v>61950562</v>
      </c>
    </row>
    <row r="24" spans="1:9" s="3" customFormat="1" ht="18" customHeight="1">
      <c r="A24" s="435">
        <f ca="1">IF(ROWS($1:10)&gt;COUNT(Dong5),"",OFFSET(TH!C$1,SMALL(Dong5,ROWS($1:10)),))</f>
        <v>40686</v>
      </c>
      <c r="B24" s="435" t="str">
        <f ca="1">IF(ROWS($1:10)&gt;COUNT(Dong5),"",OFFSET(TH!D$1,SMALL(Dong5,ROWS($1:10)),))</f>
        <v>C29</v>
      </c>
      <c r="C24" s="435">
        <f ca="1">IF(ROWS($1:10)&gt;COUNT(Dong5),"",OFFSET(TH!E$1,SMALL(Dong5,ROWS($1:10)),))</f>
        <v>40686</v>
      </c>
      <c r="D24" s="436" t="str">
        <f ca="1">IF(ROWS($1:10)&gt;COUNT(Dong5),"",OFFSET(TH!F$1,SMALL(Dong5,ROWS($1:10)),))</f>
        <v>Thuế môn bài phải nộp</v>
      </c>
      <c r="E24" s="435" t="str">
        <f ca="1">IF(ROWS($1:10)&gt;COUNT(Dong5),"",IF(OFFSET(TH!L$1,SMALL(Dong5,ROWS($1:10)),)=$E$7,OFFSET(TH!M$1,SMALL(Dong5,ROWS($1:10)),),OFFSET(TH!L$1,SMALL(Dong5,ROWS($1:10)),)))</f>
        <v>33382</v>
      </c>
      <c r="F24" s="437">
        <f ca="1">IF(ROWS($1:10)&gt;COUNT(Dong5),0,IF(OFFSET(TH!L$1,SMALL(Dong5,ROWS($1:10)),)=$E$7,OFFSET(TH!K$1,SMALL(Dong5,ROWS($1:10)),),0))</f>
        <v>1000000</v>
      </c>
      <c r="G24" s="434">
        <f ca="1">IF(ROWS($1:10)&gt;COUNT(Dong5),0,IF(OFFSET(TH!M$1,SMALL(Dong5,ROWS($1:10)),)=$E$7,OFFSET(TH!K$1,SMALL(Dong5,ROWS($1:10)),),0))</f>
        <v>0</v>
      </c>
      <c r="H24" s="438">
        <f t="shared" ca="1" si="2"/>
        <v>0</v>
      </c>
      <c r="I24" s="438">
        <f t="shared" ca="1" si="3"/>
        <v>60950562</v>
      </c>
    </row>
    <row r="25" spans="1:9" s="3" customFormat="1" ht="18" customHeight="1">
      <c r="A25" s="435">
        <f ca="1">IF(ROWS($1:11)&gt;COUNT(Dong5),"",OFFSET(TH!C$1,SMALL(Dong5,ROWS($1:11)),))</f>
        <v>40689</v>
      </c>
      <c r="B25" s="435" t="str">
        <f ca="1">IF(ROWS($1:11)&gt;COUNT(Dong5),"",OFFSET(TH!D$1,SMALL(Dong5,ROWS($1:11)),))</f>
        <v>C32</v>
      </c>
      <c r="C25" s="435">
        <f ca="1">IF(ROWS($1:11)&gt;COUNT(Dong5),"",OFFSET(TH!E$1,SMALL(Dong5,ROWS($1:11)),))</f>
        <v>40689</v>
      </c>
      <c r="D25" s="436" t="str">
        <f ca="1">IF(ROWS($1:11)&gt;COUNT(Dong5),"",OFFSET(TH!F$1,SMALL(Dong5,ROWS($1:11)),))</f>
        <v>Giấy Canson</v>
      </c>
      <c r="E25" s="435" t="str">
        <f ca="1">IF(ROWS($1:11)&gt;COUNT(Dong5),"",IF(OFFSET(TH!L$1,SMALL(Dong5,ROWS($1:11)),)=$E$7,OFFSET(TH!M$1,SMALL(Dong5,ROWS($1:11)),),OFFSET(TH!L$1,SMALL(Dong5,ROWS($1:11)),)))</f>
        <v>1111</v>
      </c>
      <c r="F25" s="437">
        <f ca="1">IF(ROWS($1:11)&gt;COUNT(Dong5),0,IF(OFFSET(TH!L$1,SMALL(Dong5,ROWS($1:11)),)=$E$7,OFFSET(TH!K$1,SMALL(Dong5,ROWS($1:11)),),0))</f>
        <v>267000</v>
      </c>
      <c r="G25" s="434">
        <f ca="1">IF(ROWS($1:11)&gt;COUNT(Dong5),0,IF(OFFSET(TH!M$1,SMALL(Dong5,ROWS($1:11)),)=$E$7,OFFSET(TH!K$1,SMALL(Dong5,ROWS($1:11)),),0))</f>
        <v>0</v>
      </c>
      <c r="H25" s="438">
        <f t="shared" ca="1" si="2"/>
        <v>0</v>
      </c>
      <c r="I25" s="438">
        <f t="shared" ca="1" si="3"/>
        <v>60683562</v>
      </c>
    </row>
    <row r="26" spans="1:9" s="3" customFormat="1" ht="18" customHeight="1">
      <c r="A26" s="435">
        <f ca="1">IF(ROWS($1:12)&gt;COUNT(Dong5),"",OFFSET(TH!C$1,SMALL(Dong5,ROWS($1:12)),))</f>
        <v>40689</v>
      </c>
      <c r="B26" s="435" t="str">
        <f ca="1">IF(ROWS($1:12)&gt;COUNT(Dong5),"",OFFSET(TH!D$1,SMALL(Dong5,ROWS($1:12)),))</f>
        <v>C33</v>
      </c>
      <c r="C26" s="435">
        <f ca="1">IF(ROWS($1:12)&gt;COUNT(Dong5),"",OFFSET(TH!E$1,SMALL(Dong5,ROWS($1:12)),))</f>
        <v>40689</v>
      </c>
      <c r="D26" s="436" t="str">
        <f ca="1">IF(ROWS($1:12)&gt;COUNT(Dong5),"",OFFSET(TH!F$1,SMALL(Dong5,ROWS($1:12)),))</f>
        <v>Dịch vụ viễn thông</v>
      </c>
      <c r="E26" s="435" t="str">
        <f ca="1">IF(ROWS($1:12)&gt;COUNT(Dong5),"",IF(OFFSET(TH!L$1,SMALL(Dong5,ROWS($1:12)),)=$E$7,OFFSET(TH!M$1,SMALL(Dong5,ROWS($1:12)),),OFFSET(TH!L$1,SMALL(Dong5,ROWS($1:12)),)))</f>
        <v>1111</v>
      </c>
      <c r="F26" s="437">
        <f ca="1">IF(ROWS($1:12)&gt;COUNT(Dong5),0,IF(OFFSET(TH!L$1,SMALL(Dong5,ROWS($1:12)),)=$E$7,OFFSET(TH!K$1,SMALL(Dong5,ROWS($1:12)),),0))</f>
        <v>494235</v>
      </c>
      <c r="G26" s="434">
        <f ca="1">IF(ROWS($1:12)&gt;COUNT(Dong5),0,IF(OFFSET(TH!M$1,SMALL(Dong5,ROWS($1:12)),)=$E$7,OFFSET(TH!K$1,SMALL(Dong5,ROWS($1:12)),),0))</f>
        <v>0</v>
      </c>
      <c r="H26" s="438">
        <f t="shared" ca="1" si="2"/>
        <v>0</v>
      </c>
      <c r="I26" s="438">
        <f t="shared" ca="1" si="3"/>
        <v>60189327</v>
      </c>
    </row>
    <row r="27" spans="1:9" s="3" customFormat="1" ht="18" customHeight="1">
      <c r="A27" s="435">
        <f ca="1">IF(ROWS($1:13)&gt;COUNT(Dong5),"",OFFSET(TH!C$1,SMALL(Dong5,ROWS($1:13)),))</f>
        <v>40689</v>
      </c>
      <c r="B27" s="435" t="str">
        <f ca="1">IF(ROWS($1:13)&gt;COUNT(Dong5),"",OFFSET(TH!D$1,SMALL(Dong5,ROWS($1:13)),))</f>
        <v>C34</v>
      </c>
      <c r="C27" s="435">
        <f ca="1">IF(ROWS($1:13)&gt;COUNT(Dong5),"",OFFSET(TH!E$1,SMALL(Dong5,ROWS($1:13)),))</f>
        <v>40689</v>
      </c>
      <c r="D27" s="436" t="str">
        <f ca="1">IF(ROWS($1:13)&gt;COUNT(Dong5),"",OFFSET(TH!F$1,SMALL(Dong5,ROWS($1:13)),))</f>
        <v>Dịch vụ viễn thông</v>
      </c>
      <c r="E27" s="435" t="str">
        <f ca="1">IF(ROWS($1:13)&gt;COUNT(Dong5),"",IF(OFFSET(TH!L$1,SMALL(Dong5,ROWS($1:13)),)=$E$7,OFFSET(TH!M$1,SMALL(Dong5,ROWS($1:13)),),OFFSET(TH!L$1,SMALL(Dong5,ROWS($1:13)),)))</f>
        <v>1111</v>
      </c>
      <c r="F27" s="437">
        <f ca="1">IF(ROWS($1:13)&gt;COUNT(Dong5),0,IF(OFFSET(TH!L$1,SMALL(Dong5,ROWS($1:13)),)=$E$7,OFFSET(TH!K$1,SMALL(Dong5,ROWS($1:13)),),0))</f>
        <v>467016</v>
      </c>
      <c r="G27" s="434">
        <f ca="1">IF(ROWS($1:13)&gt;COUNT(Dong5),0,IF(OFFSET(TH!M$1,SMALL(Dong5,ROWS($1:13)),)=$E$7,OFFSET(TH!K$1,SMALL(Dong5,ROWS($1:13)),),0))</f>
        <v>0</v>
      </c>
      <c r="H27" s="438">
        <f t="shared" ca="1" si="2"/>
        <v>0</v>
      </c>
      <c r="I27" s="438">
        <f t="shared" ca="1" si="3"/>
        <v>59722311</v>
      </c>
    </row>
    <row r="28" spans="1:9" s="3" customFormat="1" ht="18" customHeight="1">
      <c r="A28" s="435">
        <f ca="1">IF(ROWS($1:14)&gt;COUNT(Dong5),"",OFFSET(TH!C$1,SMALL(Dong5,ROWS($1:14)),))</f>
        <v>40690</v>
      </c>
      <c r="B28" s="435" t="str">
        <f ca="1">IF(ROWS($1:14)&gt;COUNT(Dong5),"",OFFSET(TH!D$1,SMALL(Dong5,ROWS($1:14)),))</f>
        <v>GBN</v>
      </c>
      <c r="C28" s="435">
        <f ca="1">IF(ROWS($1:14)&gt;COUNT(Dong5),"",OFFSET(TH!E$1,SMALL(Dong5,ROWS($1:14)),))</f>
        <v>40690</v>
      </c>
      <c r="D28" s="436" t="str">
        <f ca="1">IF(ROWS($1:14)&gt;COUNT(Dong5),"",OFFSET(TH!F$1,SMALL(Dong5,ROWS($1:14)),))</f>
        <v>Phí chuyển tiền</v>
      </c>
      <c r="E28" s="435" t="str">
        <f ca="1">IF(ROWS($1:14)&gt;COUNT(Dong5),"",IF(OFFSET(TH!L$1,SMALL(Dong5,ROWS($1:14)),)=$E$7,OFFSET(TH!M$1,SMALL(Dong5,ROWS($1:14)),),OFFSET(TH!L$1,SMALL(Dong5,ROWS($1:14)),)))</f>
        <v>1121</v>
      </c>
      <c r="F28" s="437">
        <f ca="1">IF(ROWS($1:14)&gt;COUNT(Dong5),0,IF(OFFSET(TH!L$1,SMALL(Dong5,ROWS($1:14)),)=$E$7,OFFSET(TH!K$1,SMALL(Dong5,ROWS($1:14)),),0))</f>
        <v>10000</v>
      </c>
      <c r="G28" s="434">
        <f ca="1">IF(ROWS($1:14)&gt;COUNT(Dong5),0,IF(OFFSET(TH!M$1,SMALL(Dong5,ROWS($1:14)),)=$E$7,OFFSET(TH!K$1,SMALL(Dong5,ROWS($1:14)),),0))</f>
        <v>0</v>
      </c>
      <c r="H28" s="438">
        <f t="shared" ca="1" si="2"/>
        <v>0</v>
      </c>
      <c r="I28" s="438">
        <f t="shared" ca="1" si="3"/>
        <v>59712311</v>
      </c>
    </row>
    <row r="29" spans="1:9" s="3" customFormat="1" ht="18" customHeight="1">
      <c r="A29" s="435">
        <f ca="1">IF(ROWS($1:15)&gt;COUNT(Dong5),"",OFFSET(TH!C$1,SMALL(Dong5,ROWS($1:15)),))</f>
        <v>40690</v>
      </c>
      <c r="B29" s="435" t="str">
        <f ca="1">IF(ROWS($1:15)&gt;COUNT(Dong5),"",OFFSET(TH!D$1,SMALL(Dong5,ROWS($1:15)),))</f>
        <v>GBN</v>
      </c>
      <c r="C29" s="435">
        <f ca="1">IF(ROWS($1:15)&gt;COUNT(Dong5),"",OFFSET(TH!E$1,SMALL(Dong5,ROWS($1:15)),))</f>
        <v>40690</v>
      </c>
      <c r="D29" s="436" t="str">
        <f ca="1">IF(ROWS($1:15)&gt;COUNT(Dong5),"",OFFSET(TH!F$1,SMALL(Dong5,ROWS($1:15)),))</f>
        <v>Phí chuyển tiền</v>
      </c>
      <c r="E29" s="435" t="str">
        <f ca="1">IF(ROWS($1:15)&gt;COUNT(Dong5),"",IF(OFFSET(TH!L$1,SMALL(Dong5,ROWS($1:15)),)=$E$7,OFFSET(TH!M$1,SMALL(Dong5,ROWS($1:15)),),OFFSET(TH!L$1,SMALL(Dong5,ROWS($1:15)),)))</f>
        <v>1121</v>
      </c>
      <c r="F29" s="437">
        <f ca="1">IF(ROWS($1:15)&gt;COUNT(Dong5),0,IF(OFFSET(TH!L$1,SMALL(Dong5,ROWS($1:15)),)=$E$7,OFFSET(TH!K$1,SMALL(Dong5,ROWS($1:15)),),0))</f>
        <v>10000</v>
      </c>
      <c r="G29" s="434">
        <f ca="1">IF(ROWS($1:15)&gt;COUNT(Dong5),0,IF(OFFSET(TH!M$1,SMALL(Dong5,ROWS($1:15)),)=$E$7,OFFSET(TH!K$1,SMALL(Dong5,ROWS($1:15)),),0))</f>
        <v>0</v>
      </c>
      <c r="H29" s="438">
        <f t="shared" ca="1" si="2"/>
        <v>0</v>
      </c>
      <c r="I29" s="438">
        <f t="shared" ca="1" si="3"/>
        <v>59702311</v>
      </c>
    </row>
    <row r="30" spans="1:9" s="3" customFormat="1" ht="18" customHeight="1">
      <c r="A30" s="435">
        <f ca="1">IF(ROWS($1:16)&gt;COUNT(Dong5),"",OFFSET(TH!C$1,SMALL(Dong5,ROWS($1:16)),))</f>
        <v>40694</v>
      </c>
      <c r="B30" s="435" t="str">
        <f ca="1">IF(ROWS($1:16)&gt;COUNT(Dong5),"",OFFSET(TH!D$1,SMALL(Dong5,ROWS($1:16)),))</f>
        <v>CTGS</v>
      </c>
      <c r="C30" s="435">
        <f ca="1">IF(ROWS($1:16)&gt;COUNT(Dong5),"",OFFSET(TH!E$1,SMALL(Dong5,ROWS($1:16)),))</f>
        <v>40694</v>
      </c>
      <c r="D30" s="436" t="str">
        <f ca="1">IF(ROWS($1:16)&gt;COUNT(Dong5),"",OFFSET(TH!F$1,SMALL(Dong5,ROWS($1:16)),))</f>
        <v>Tiền lương BP Quản lý</v>
      </c>
      <c r="E30" s="435" t="str">
        <f ca="1">IF(ROWS($1:16)&gt;COUNT(Dong5),"",IF(OFFSET(TH!L$1,SMALL(Dong5,ROWS($1:16)),)=$E$7,OFFSET(TH!M$1,SMALL(Dong5,ROWS($1:16)),),OFFSET(TH!L$1,SMALL(Dong5,ROWS($1:16)),)))</f>
        <v>3341</v>
      </c>
      <c r="F30" s="437">
        <f ca="1">IF(ROWS($1:16)&gt;COUNT(Dong5),0,IF(OFFSET(TH!L$1,SMALL(Dong5,ROWS($1:16)),)=$E$7,OFFSET(TH!K$1,SMALL(Dong5,ROWS($1:16)),),0))</f>
        <v>7025000</v>
      </c>
      <c r="G30" s="434">
        <f ca="1">IF(ROWS($1:16)&gt;COUNT(Dong5),0,IF(OFFSET(TH!M$1,SMALL(Dong5,ROWS($1:16)),)=$E$7,OFFSET(TH!K$1,SMALL(Dong5,ROWS($1:16)),),0))</f>
        <v>0</v>
      </c>
      <c r="H30" s="438">
        <f t="shared" ref="H30:H38" ca="1" si="4">IF(D30&lt;&gt;"",MAX(H29+F30-G30-I29,0),0)</f>
        <v>0</v>
      </c>
      <c r="I30" s="438">
        <f t="shared" ref="I30:I38" ca="1" si="5">IF(D30&lt;&gt;"",MAX(I29+G30-H29-F30,0),0)</f>
        <v>52677311</v>
      </c>
    </row>
    <row r="31" spans="1:9" s="3" customFormat="1" ht="18" customHeight="1">
      <c r="A31" s="435">
        <f ca="1">IF(ROWS($1:17)&gt;COUNT(Dong5),"",OFFSET(TH!C$1,SMALL(Dong5,ROWS($1:17)),))</f>
        <v>40696</v>
      </c>
      <c r="B31" s="435" t="str">
        <f ca="1">IF(ROWS($1:17)&gt;COUNT(Dong5),"",OFFSET(TH!D$1,SMALL(Dong5,ROWS($1:17)),))</f>
        <v>C37</v>
      </c>
      <c r="C31" s="435">
        <f ca="1">IF(ROWS($1:17)&gt;COUNT(Dong5),"",OFFSET(TH!E$1,SMALL(Dong5,ROWS($1:17)),))</f>
        <v>40696</v>
      </c>
      <c r="D31" s="436" t="str">
        <f ca="1">IF(ROWS($1:17)&gt;COUNT(Dong5),"",OFFSET(TH!F$1,SMALL(Dong5,ROWS($1:17)),))</f>
        <v>Văn phòng phẩm</v>
      </c>
      <c r="E31" s="435" t="str">
        <f ca="1">IF(ROWS($1:17)&gt;COUNT(Dong5),"",IF(OFFSET(TH!L$1,SMALL(Dong5,ROWS($1:17)),)=$E$7,OFFSET(TH!M$1,SMALL(Dong5,ROWS($1:17)),),OFFSET(TH!L$1,SMALL(Dong5,ROWS($1:17)),)))</f>
        <v>1111</v>
      </c>
      <c r="F31" s="437">
        <f ca="1">IF(ROWS($1:17)&gt;COUNT(Dong5),0,IF(OFFSET(TH!L$1,SMALL(Dong5,ROWS($1:17)),)=$E$7,OFFSET(TH!K$1,SMALL(Dong5,ROWS($1:17)),),0))</f>
        <v>256500</v>
      </c>
      <c r="G31" s="434">
        <f ca="1">IF(ROWS($1:17)&gt;COUNT(Dong5),0,IF(OFFSET(TH!M$1,SMALL(Dong5,ROWS($1:17)),)=$E$7,OFFSET(TH!K$1,SMALL(Dong5,ROWS($1:17)),),0))</f>
        <v>0</v>
      </c>
      <c r="H31" s="438">
        <f t="shared" ca="1" si="4"/>
        <v>0</v>
      </c>
      <c r="I31" s="438">
        <f t="shared" ca="1" si="5"/>
        <v>52420811</v>
      </c>
    </row>
    <row r="32" spans="1:9" s="3" customFormat="1" ht="18" customHeight="1">
      <c r="A32" s="435">
        <f ca="1">IF(ROWS($1:18)&gt;COUNT(Dong5),"",OFFSET(TH!C$1,SMALL(Dong5,ROWS($1:18)),))</f>
        <v>40700</v>
      </c>
      <c r="B32" s="435" t="str">
        <f ca="1">IF(ROWS($1:18)&gt;COUNT(Dong5),"",OFFSET(TH!D$1,SMALL(Dong5,ROWS($1:18)),))</f>
        <v>GBN</v>
      </c>
      <c r="C32" s="435">
        <f ca="1">IF(ROWS($1:18)&gt;COUNT(Dong5),"",OFFSET(TH!E$1,SMALL(Dong5,ROWS($1:18)),))</f>
        <v>40700</v>
      </c>
      <c r="D32" s="436" t="str">
        <f ca="1">IF(ROWS($1:18)&gt;COUNT(Dong5),"",OFFSET(TH!F$1,SMALL(Dong5,ROWS($1:18)),))</f>
        <v>Phí chuyển tiền</v>
      </c>
      <c r="E32" s="435" t="str">
        <f ca="1">IF(ROWS($1:18)&gt;COUNT(Dong5),"",IF(OFFSET(TH!L$1,SMALL(Dong5,ROWS($1:18)),)=$E$7,OFFSET(TH!M$1,SMALL(Dong5,ROWS($1:18)),),OFFSET(TH!L$1,SMALL(Dong5,ROWS($1:18)),)))</f>
        <v>1121</v>
      </c>
      <c r="F32" s="437">
        <f ca="1">IF(ROWS($1:18)&gt;COUNT(Dong5),0,IF(OFFSET(TH!L$1,SMALL(Dong5,ROWS($1:18)),)=$E$7,OFFSET(TH!K$1,SMALL(Dong5,ROWS($1:18)),),0))</f>
        <v>10000</v>
      </c>
      <c r="G32" s="434">
        <f ca="1">IF(ROWS($1:18)&gt;COUNT(Dong5),0,IF(OFFSET(TH!M$1,SMALL(Dong5,ROWS($1:18)),)=$E$7,OFFSET(TH!K$1,SMALL(Dong5,ROWS($1:18)),),0))</f>
        <v>0</v>
      </c>
      <c r="H32" s="438">
        <f t="shared" ca="1" si="4"/>
        <v>0</v>
      </c>
      <c r="I32" s="438">
        <f t="shared" ca="1" si="5"/>
        <v>52410811</v>
      </c>
    </row>
    <row r="33" spans="1:9" s="3" customFormat="1" ht="18" customHeight="1">
      <c r="A33" s="435">
        <f ca="1">IF(ROWS($1:19)&gt;COUNT(Dong5),"",OFFSET(TH!C$1,SMALL(Dong5,ROWS($1:19)),))</f>
        <v>40707</v>
      </c>
      <c r="B33" s="435" t="str">
        <f ca="1">IF(ROWS($1:19)&gt;COUNT(Dong5),"",OFFSET(TH!D$1,SMALL(Dong5,ROWS($1:19)),))</f>
        <v>C44</v>
      </c>
      <c r="C33" s="435">
        <f ca="1">IF(ROWS($1:19)&gt;COUNT(Dong5),"",OFFSET(TH!E$1,SMALL(Dong5,ROWS($1:19)),))</f>
        <v>40707</v>
      </c>
      <c r="D33" s="436" t="str">
        <f ca="1">IF(ROWS($1:19)&gt;COUNT(Dong5),"",OFFSET(TH!F$1,SMALL(Dong5,ROWS($1:19)),))</f>
        <v>Giấy excel</v>
      </c>
      <c r="E33" s="435" t="str">
        <f ca="1">IF(ROWS($1:19)&gt;COUNT(Dong5),"",IF(OFFSET(TH!L$1,SMALL(Dong5,ROWS($1:19)),)=$E$7,OFFSET(TH!M$1,SMALL(Dong5,ROWS($1:19)),),OFFSET(TH!L$1,SMALL(Dong5,ROWS($1:19)),)))</f>
        <v>1111</v>
      </c>
      <c r="F33" s="437">
        <f ca="1">IF(ROWS($1:19)&gt;COUNT(Dong5),0,IF(OFFSET(TH!L$1,SMALL(Dong5,ROWS($1:19)),)=$E$7,OFFSET(TH!K$1,SMALL(Dong5,ROWS($1:19)),),0))</f>
        <v>125455</v>
      </c>
      <c r="G33" s="434">
        <f ca="1">IF(ROWS($1:19)&gt;COUNT(Dong5),0,IF(OFFSET(TH!M$1,SMALL(Dong5,ROWS($1:19)),)=$E$7,OFFSET(TH!K$1,SMALL(Dong5,ROWS($1:19)),),0))</f>
        <v>0</v>
      </c>
      <c r="H33" s="438">
        <f t="shared" ca="1" si="4"/>
        <v>0</v>
      </c>
      <c r="I33" s="438">
        <f t="shared" ca="1" si="5"/>
        <v>52285356</v>
      </c>
    </row>
    <row r="34" spans="1:9" s="3" customFormat="1" ht="18" customHeight="1">
      <c r="A34" s="435">
        <f ca="1">IF(ROWS($1:20)&gt;COUNT(Dong5),"",OFFSET(TH!C$1,SMALL(Dong5,ROWS($1:20)),))</f>
        <v>40709</v>
      </c>
      <c r="B34" s="435" t="str">
        <f ca="1">IF(ROWS($1:20)&gt;COUNT(Dong5),"",OFFSET(TH!D$1,SMALL(Dong5,ROWS($1:20)),))</f>
        <v>GBN</v>
      </c>
      <c r="C34" s="435">
        <f ca="1">IF(ROWS($1:20)&gt;COUNT(Dong5),"",OFFSET(TH!E$1,SMALL(Dong5,ROWS($1:20)),))</f>
        <v>40709</v>
      </c>
      <c r="D34" s="436" t="str">
        <f ca="1">IF(ROWS($1:20)&gt;COUNT(Dong5),"",OFFSET(TH!F$1,SMALL(Dong5,ROWS($1:20)),))</f>
        <v>Phí KD</v>
      </c>
      <c r="E34" s="435" t="str">
        <f ca="1">IF(ROWS($1:20)&gt;COUNT(Dong5),"",IF(OFFSET(TH!L$1,SMALL(Dong5,ROWS($1:20)),)=$E$7,OFFSET(TH!M$1,SMALL(Dong5,ROWS($1:20)),),OFFSET(TH!L$1,SMALL(Dong5,ROWS($1:20)),)))</f>
        <v>1121</v>
      </c>
      <c r="F34" s="437">
        <f ca="1">IF(ROWS($1:20)&gt;COUNT(Dong5),0,IF(OFFSET(TH!L$1,SMALL(Dong5,ROWS($1:20)),)=$E$7,OFFSET(TH!K$1,SMALL(Dong5,ROWS($1:20)),),0))</f>
        <v>20748</v>
      </c>
      <c r="G34" s="434">
        <f ca="1">IF(ROWS($1:20)&gt;COUNT(Dong5),0,IF(OFFSET(TH!M$1,SMALL(Dong5,ROWS($1:20)),)=$E$7,OFFSET(TH!K$1,SMALL(Dong5,ROWS($1:20)),),0))</f>
        <v>0</v>
      </c>
      <c r="H34" s="438">
        <f t="shared" ca="1" si="4"/>
        <v>0</v>
      </c>
      <c r="I34" s="438">
        <f t="shared" ca="1" si="5"/>
        <v>52264608</v>
      </c>
    </row>
    <row r="35" spans="1:9" s="3" customFormat="1" ht="18" customHeight="1">
      <c r="A35" s="435">
        <f ca="1">IF(ROWS($1:21)&gt;COUNT(Dong5),"",OFFSET(TH!C$1,SMALL(Dong5,ROWS($1:21)),))</f>
        <v>40711</v>
      </c>
      <c r="B35" s="435" t="str">
        <f ca="1">IF(ROWS($1:21)&gt;COUNT(Dong5),"",OFFSET(TH!D$1,SMALL(Dong5,ROWS($1:21)),))</f>
        <v>GBN</v>
      </c>
      <c r="C35" s="435">
        <f ca="1">IF(ROWS($1:21)&gt;COUNT(Dong5),"",OFFSET(TH!E$1,SMALL(Dong5,ROWS($1:21)),))</f>
        <v>40711</v>
      </c>
      <c r="D35" s="436" t="str">
        <f ca="1">IF(ROWS($1:21)&gt;COUNT(Dong5),"",OFFSET(TH!F$1,SMALL(Dong5,ROWS($1:21)),))</f>
        <v>Phí chuyển tiền</v>
      </c>
      <c r="E35" s="435" t="str">
        <f ca="1">IF(ROWS($1:21)&gt;COUNT(Dong5),"",IF(OFFSET(TH!L$1,SMALL(Dong5,ROWS($1:21)),)=$E$7,OFFSET(TH!M$1,SMALL(Dong5,ROWS($1:21)),),OFFSET(TH!L$1,SMALL(Dong5,ROWS($1:21)),)))</f>
        <v>1121</v>
      </c>
      <c r="F35" s="437">
        <f ca="1">IF(ROWS($1:21)&gt;COUNT(Dong5),0,IF(OFFSET(TH!L$1,SMALL(Dong5,ROWS($1:21)),)=$E$7,OFFSET(TH!K$1,SMALL(Dong5,ROWS($1:21)),),0))</f>
        <v>10000</v>
      </c>
      <c r="G35" s="434">
        <f ca="1">IF(ROWS($1:21)&gt;COUNT(Dong5),0,IF(OFFSET(TH!M$1,SMALL(Dong5,ROWS($1:21)),)=$E$7,OFFSET(TH!K$1,SMALL(Dong5,ROWS($1:21)),),0))</f>
        <v>0</v>
      </c>
      <c r="H35" s="438">
        <f t="shared" ca="1" si="4"/>
        <v>0</v>
      </c>
      <c r="I35" s="438">
        <f t="shared" ca="1" si="5"/>
        <v>52254608</v>
      </c>
    </row>
    <row r="36" spans="1:9" s="3" customFormat="1" ht="18" customHeight="1">
      <c r="A36" s="435">
        <f ca="1">IF(ROWS($1:22)&gt;COUNT(Dong5),"",OFFSET(TH!C$1,SMALL(Dong5,ROWS($1:22)),))</f>
        <v>40711</v>
      </c>
      <c r="B36" s="435" t="str">
        <f ca="1">IF(ROWS($1:22)&gt;COUNT(Dong5),"",OFFSET(TH!D$1,SMALL(Dong5,ROWS($1:22)),))</f>
        <v>GBN</v>
      </c>
      <c r="C36" s="435">
        <f ca="1">IF(ROWS($1:22)&gt;COUNT(Dong5),"",OFFSET(TH!E$1,SMALL(Dong5,ROWS($1:22)),))</f>
        <v>40711</v>
      </c>
      <c r="D36" s="436" t="str">
        <f ca="1">IF(ROWS($1:22)&gt;COUNT(Dong5),"",OFFSET(TH!F$1,SMALL(Dong5,ROWS($1:22)),))</f>
        <v>Phí chuyển tiền</v>
      </c>
      <c r="E36" s="435" t="str">
        <f ca="1">IF(ROWS($1:22)&gt;COUNT(Dong5),"",IF(OFFSET(TH!L$1,SMALL(Dong5,ROWS($1:22)),)=$E$7,OFFSET(TH!M$1,SMALL(Dong5,ROWS($1:22)),),OFFSET(TH!L$1,SMALL(Dong5,ROWS($1:22)),)))</f>
        <v>1121</v>
      </c>
      <c r="F36" s="437">
        <f ca="1">IF(ROWS($1:22)&gt;COUNT(Dong5),0,IF(OFFSET(TH!L$1,SMALL(Dong5,ROWS($1:22)),)=$E$7,OFFSET(TH!K$1,SMALL(Dong5,ROWS($1:22)),),0))</f>
        <v>10000</v>
      </c>
      <c r="G36" s="434">
        <f ca="1">IF(ROWS($1:22)&gt;COUNT(Dong5),0,IF(OFFSET(TH!M$1,SMALL(Dong5,ROWS($1:22)),)=$E$7,OFFSET(TH!K$1,SMALL(Dong5,ROWS($1:22)),),0))</f>
        <v>0</v>
      </c>
      <c r="H36" s="438">
        <f t="shared" ca="1" si="4"/>
        <v>0</v>
      </c>
      <c r="I36" s="438">
        <f t="shared" ca="1" si="5"/>
        <v>52244608</v>
      </c>
    </row>
    <row r="37" spans="1:9" s="3" customFormat="1" ht="18" customHeight="1">
      <c r="A37" s="435">
        <f ca="1">IF(ROWS($1:23)&gt;COUNT(Dong5),"",OFFSET(TH!C$1,SMALL(Dong5,ROWS($1:23)),))</f>
        <v>40715</v>
      </c>
      <c r="B37" s="435" t="str">
        <f ca="1">IF(ROWS($1:23)&gt;COUNT(Dong5),"",OFFSET(TH!D$1,SMALL(Dong5,ROWS($1:23)),))</f>
        <v>GBN</v>
      </c>
      <c r="C37" s="435">
        <f ca="1">IF(ROWS($1:23)&gt;COUNT(Dong5),"",OFFSET(TH!E$1,SMALL(Dong5,ROWS($1:23)),))</f>
        <v>40715</v>
      </c>
      <c r="D37" s="436" t="str">
        <f ca="1">IF(ROWS($1:23)&gt;COUNT(Dong5),"",OFFSET(TH!F$1,SMALL(Dong5,ROWS($1:23)),))</f>
        <v>Phí chuyển tiền</v>
      </c>
      <c r="E37" s="435" t="str">
        <f ca="1">IF(ROWS($1:23)&gt;COUNT(Dong5),"",IF(OFFSET(TH!L$1,SMALL(Dong5,ROWS($1:23)),)=$E$7,OFFSET(TH!M$1,SMALL(Dong5,ROWS($1:23)),),OFFSET(TH!L$1,SMALL(Dong5,ROWS($1:23)),)))</f>
        <v>1121</v>
      </c>
      <c r="F37" s="437">
        <f ca="1">IF(ROWS($1:23)&gt;COUNT(Dong5),0,IF(OFFSET(TH!L$1,SMALL(Dong5,ROWS($1:23)),)=$E$7,OFFSET(TH!K$1,SMALL(Dong5,ROWS($1:23)),),0))</f>
        <v>10000</v>
      </c>
      <c r="G37" s="434">
        <f ca="1">IF(ROWS($1:23)&gt;COUNT(Dong5),0,IF(OFFSET(TH!M$1,SMALL(Dong5,ROWS($1:23)),)=$E$7,OFFSET(TH!K$1,SMALL(Dong5,ROWS($1:23)),),0))</f>
        <v>0</v>
      </c>
      <c r="H37" s="438">
        <f t="shared" ca="1" si="4"/>
        <v>0</v>
      </c>
      <c r="I37" s="438">
        <f t="shared" ca="1" si="5"/>
        <v>52234608</v>
      </c>
    </row>
    <row r="38" spans="1:9" s="3" customFormat="1" ht="18" customHeight="1">
      <c r="A38" s="435">
        <f ca="1">IF(ROWS($1:24)&gt;COUNT(Dong5),"",OFFSET(TH!C$1,SMALL(Dong5,ROWS($1:24)),))</f>
        <v>40724</v>
      </c>
      <c r="B38" s="435" t="str">
        <f ca="1">IF(ROWS($1:24)&gt;COUNT(Dong5),"",OFFSET(TH!D$1,SMALL(Dong5,ROWS($1:24)),))</f>
        <v>C53</v>
      </c>
      <c r="C38" s="435">
        <f ca="1">IF(ROWS($1:24)&gt;COUNT(Dong5),"",OFFSET(TH!E$1,SMALL(Dong5,ROWS($1:24)),))</f>
        <v>40724</v>
      </c>
      <c r="D38" s="436" t="str">
        <f ca="1">IF(ROWS($1:24)&gt;COUNT(Dong5),"",OFFSET(TH!F$1,SMALL(Dong5,ROWS($1:24)),))</f>
        <v>Dịch vụ viễn thông</v>
      </c>
      <c r="E38" s="435" t="str">
        <f ca="1">IF(ROWS($1:24)&gt;COUNT(Dong5),"",IF(OFFSET(TH!L$1,SMALL(Dong5,ROWS($1:24)),)=$E$7,OFFSET(TH!M$1,SMALL(Dong5,ROWS($1:24)),),OFFSET(TH!L$1,SMALL(Dong5,ROWS($1:24)),)))</f>
        <v>1111</v>
      </c>
      <c r="F38" s="437">
        <f ca="1">IF(ROWS($1:24)&gt;COUNT(Dong5),0,IF(OFFSET(TH!L$1,SMALL(Dong5,ROWS($1:24)),)=$E$7,OFFSET(TH!K$1,SMALL(Dong5,ROWS($1:24)),),0))</f>
        <v>1127386</v>
      </c>
      <c r="G38" s="434">
        <f ca="1">IF(ROWS($1:24)&gt;COUNT(Dong5),0,IF(OFFSET(TH!M$1,SMALL(Dong5,ROWS($1:24)),)=$E$7,OFFSET(TH!K$1,SMALL(Dong5,ROWS($1:24)),),0))</f>
        <v>0</v>
      </c>
      <c r="H38" s="438">
        <f t="shared" ca="1" si="4"/>
        <v>0</v>
      </c>
      <c r="I38" s="438">
        <f t="shared" ca="1" si="5"/>
        <v>51107222</v>
      </c>
    </row>
    <row r="39" spans="1:9" s="3" customFormat="1" ht="18" customHeight="1">
      <c r="A39" s="435">
        <f ca="1">IF(ROWS($1:25)&gt;COUNT(Dong5),"",OFFSET(TH!C$1,SMALL(Dong5,ROWS($1:25)),))</f>
        <v>40724</v>
      </c>
      <c r="B39" s="435" t="str">
        <f ca="1">IF(ROWS($1:25)&gt;COUNT(Dong5),"",OFFSET(TH!D$1,SMALL(Dong5,ROWS($1:25)),))</f>
        <v>C54</v>
      </c>
      <c r="C39" s="435">
        <f ca="1">IF(ROWS($1:25)&gt;COUNT(Dong5),"",OFFSET(TH!E$1,SMALL(Dong5,ROWS($1:25)),))</f>
        <v>40724</v>
      </c>
      <c r="D39" s="436" t="str">
        <f ca="1">IF(ROWS($1:25)&gt;COUNT(Dong5),"",OFFSET(TH!F$1,SMALL(Dong5,ROWS($1:25)),))</f>
        <v>Dịch vụ viễn thông</v>
      </c>
      <c r="E39" s="435" t="str">
        <f ca="1">IF(ROWS($1:25)&gt;COUNT(Dong5),"",IF(OFFSET(TH!L$1,SMALL(Dong5,ROWS($1:25)),)=$E$7,OFFSET(TH!M$1,SMALL(Dong5,ROWS($1:25)),),OFFSET(TH!L$1,SMALL(Dong5,ROWS($1:25)),)))</f>
        <v>1111</v>
      </c>
      <c r="F39" s="437">
        <f ca="1">IF(ROWS($1:25)&gt;COUNT(Dong5),0,IF(OFFSET(TH!L$1,SMALL(Dong5,ROWS($1:25)),)=$E$7,OFFSET(TH!K$1,SMALL(Dong5,ROWS($1:25)),),0))</f>
        <v>234053</v>
      </c>
      <c r="G39" s="434">
        <f ca="1">IF(ROWS($1:25)&gt;COUNT(Dong5),0,IF(OFFSET(TH!M$1,SMALL(Dong5,ROWS($1:25)),)=$E$7,OFFSET(TH!K$1,SMALL(Dong5,ROWS($1:25)),),0))</f>
        <v>0</v>
      </c>
      <c r="H39" s="438">
        <f t="shared" ref="H39:H50" ca="1" si="6">IF(D39&lt;&gt;"",MAX(H38+F39-G39-I38,0),0)</f>
        <v>0</v>
      </c>
      <c r="I39" s="438">
        <f t="shared" ref="I39:I50" ca="1" si="7">IF(D39&lt;&gt;"",MAX(I38+G39-H38-F39,0),0)</f>
        <v>50873169</v>
      </c>
    </row>
    <row r="40" spans="1:9" s="3" customFormat="1" ht="18" customHeight="1">
      <c r="A40" s="435">
        <f ca="1">IF(ROWS($1:26)&gt;COUNT(Dong5),"",OFFSET(TH!C$1,SMALL(Dong5,ROWS($1:26)),))</f>
        <v>40724</v>
      </c>
      <c r="B40" s="435" t="str">
        <f ca="1">IF(ROWS($1:26)&gt;COUNT(Dong5),"",OFFSET(TH!D$1,SMALL(Dong5,ROWS($1:26)),))</f>
        <v>CTGS</v>
      </c>
      <c r="C40" s="435">
        <f ca="1">IF(ROWS($1:26)&gt;COUNT(Dong5),"",OFFSET(TH!E$1,SMALL(Dong5,ROWS($1:26)),))</f>
        <v>40724</v>
      </c>
      <c r="D40" s="436" t="str">
        <f ca="1">IF(ROWS($1:26)&gt;COUNT(Dong5),"",OFFSET(TH!F$1,SMALL(Dong5,ROWS($1:26)),))</f>
        <v>Tiền lương BP Quản lý</v>
      </c>
      <c r="E40" s="435" t="str">
        <f ca="1">IF(ROWS($1:26)&gt;COUNT(Dong5),"",IF(OFFSET(TH!L$1,SMALL(Dong5,ROWS($1:26)),)=$E$7,OFFSET(TH!M$1,SMALL(Dong5,ROWS($1:26)),),OFFSET(TH!L$1,SMALL(Dong5,ROWS($1:26)),)))</f>
        <v>3341</v>
      </c>
      <c r="F40" s="437">
        <f ca="1">IF(ROWS($1:26)&gt;COUNT(Dong5),0,IF(OFFSET(TH!L$1,SMALL(Dong5,ROWS($1:26)),)=$E$7,OFFSET(TH!K$1,SMALL(Dong5,ROWS($1:26)),),0))</f>
        <v>7070000</v>
      </c>
      <c r="G40" s="434">
        <f ca="1">IF(ROWS($1:26)&gt;COUNT(Dong5),0,IF(OFFSET(TH!M$1,SMALL(Dong5,ROWS($1:26)),)=$E$7,OFFSET(TH!K$1,SMALL(Dong5,ROWS($1:26)),),0))</f>
        <v>0</v>
      </c>
      <c r="H40" s="438">
        <f t="shared" ca="1" si="6"/>
        <v>0</v>
      </c>
      <c r="I40" s="438">
        <f t="shared" ca="1" si="7"/>
        <v>43803169</v>
      </c>
    </row>
    <row r="41" spans="1:9" s="3" customFormat="1" ht="18" customHeight="1">
      <c r="A41" s="435">
        <f ca="1">IF(ROWS($1:27)&gt;COUNT(Dong5),"",OFFSET(TH!C$1,SMALL(Dong5,ROWS($1:27)),))</f>
        <v>40736</v>
      </c>
      <c r="B41" s="435" t="str">
        <f ca="1">IF(ROWS($1:27)&gt;COUNT(Dong5),"",OFFSET(TH!D$1,SMALL(Dong5,ROWS($1:27)),))</f>
        <v>GBN</v>
      </c>
      <c r="C41" s="435">
        <f ca="1">IF(ROWS($1:27)&gt;COUNT(Dong5),"",OFFSET(TH!E$1,SMALL(Dong5,ROWS($1:27)),))</f>
        <v>40736</v>
      </c>
      <c r="D41" s="436" t="str">
        <f ca="1">IF(ROWS($1:27)&gt;COUNT(Dong5),"",OFFSET(TH!F$1,SMALL(Dong5,ROWS($1:27)),))</f>
        <v>Phí KD</v>
      </c>
      <c r="E41" s="435" t="str">
        <f ca="1">IF(ROWS($1:27)&gt;COUNT(Dong5),"",IF(OFFSET(TH!L$1,SMALL(Dong5,ROWS($1:27)),)=$E$7,OFFSET(TH!M$1,SMALL(Dong5,ROWS($1:27)),),OFFSET(TH!L$1,SMALL(Dong5,ROWS($1:27)),)))</f>
        <v>1121</v>
      </c>
      <c r="F41" s="437">
        <f ca="1">IF(ROWS($1:27)&gt;COUNT(Dong5),0,IF(OFFSET(TH!L$1,SMALL(Dong5,ROWS($1:27)),)=$E$7,OFFSET(TH!K$1,SMALL(Dong5,ROWS($1:27)),),0))</f>
        <v>18478</v>
      </c>
      <c r="G41" s="434">
        <f ca="1">IF(ROWS($1:27)&gt;COUNT(Dong5),0,IF(OFFSET(TH!M$1,SMALL(Dong5,ROWS($1:27)),)=$E$7,OFFSET(TH!K$1,SMALL(Dong5,ROWS($1:27)),),0))</f>
        <v>0</v>
      </c>
      <c r="H41" s="438">
        <f t="shared" ca="1" si="6"/>
        <v>0</v>
      </c>
      <c r="I41" s="438">
        <f t="shared" ca="1" si="7"/>
        <v>43784691</v>
      </c>
    </row>
    <row r="42" spans="1:9" s="3" customFormat="1" ht="18" customHeight="1">
      <c r="A42" s="435">
        <f ca="1">IF(ROWS($1:28)&gt;COUNT(Dong5),"",OFFSET(TH!C$1,SMALL(Dong5,ROWS($1:28)),))</f>
        <v>40736</v>
      </c>
      <c r="B42" s="435" t="str">
        <f ca="1">IF(ROWS($1:28)&gt;COUNT(Dong5),"",OFFSET(TH!D$1,SMALL(Dong5,ROWS($1:28)),))</f>
        <v>GBN</v>
      </c>
      <c r="C42" s="435">
        <f ca="1">IF(ROWS($1:28)&gt;COUNT(Dong5),"",OFFSET(TH!E$1,SMALL(Dong5,ROWS($1:28)),))</f>
        <v>40736</v>
      </c>
      <c r="D42" s="436" t="str">
        <f ca="1">IF(ROWS($1:28)&gt;COUNT(Dong5),"",OFFSET(TH!F$1,SMALL(Dong5,ROWS($1:28)),))</f>
        <v>Phí chuyển tiền</v>
      </c>
      <c r="E42" s="435" t="str">
        <f ca="1">IF(ROWS($1:28)&gt;COUNT(Dong5),"",IF(OFFSET(TH!L$1,SMALL(Dong5,ROWS($1:28)),)=$E$7,OFFSET(TH!M$1,SMALL(Dong5,ROWS($1:28)),),OFFSET(TH!L$1,SMALL(Dong5,ROWS($1:28)),)))</f>
        <v>1121</v>
      </c>
      <c r="F42" s="437">
        <f ca="1">IF(ROWS($1:28)&gt;COUNT(Dong5),0,IF(OFFSET(TH!L$1,SMALL(Dong5,ROWS($1:28)),)=$E$7,OFFSET(TH!K$1,SMALL(Dong5,ROWS($1:28)),),0))</f>
        <v>10000</v>
      </c>
      <c r="G42" s="434">
        <f ca="1">IF(ROWS($1:28)&gt;COUNT(Dong5),0,IF(OFFSET(TH!M$1,SMALL(Dong5,ROWS($1:28)),)=$E$7,OFFSET(TH!K$1,SMALL(Dong5,ROWS($1:28)),),0))</f>
        <v>0</v>
      </c>
      <c r="H42" s="438">
        <f t="shared" ca="1" si="6"/>
        <v>0</v>
      </c>
      <c r="I42" s="438">
        <f t="shared" ca="1" si="7"/>
        <v>43774691</v>
      </c>
    </row>
    <row r="43" spans="1:9" s="3" customFormat="1" ht="18" customHeight="1">
      <c r="A43" s="435">
        <f ca="1">IF(ROWS($1:29)&gt;COUNT(Dong5),"",OFFSET(TH!C$1,SMALL(Dong5,ROWS($1:29)),))</f>
        <v>40755</v>
      </c>
      <c r="B43" s="435" t="str">
        <f ca="1">IF(ROWS($1:29)&gt;COUNT(Dong5),"",OFFSET(TH!D$1,SMALL(Dong5,ROWS($1:29)),))</f>
        <v>CTGS</v>
      </c>
      <c r="C43" s="435">
        <f ca="1">IF(ROWS($1:29)&gt;COUNT(Dong5),"",OFFSET(TH!E$1,SMALL(Dong5,ROWS($1:29)),))</f>
        <v>40755</v>
      </c>
      <c r="D43" s="436" t="str">
        <f ca="1">IF(ROWS($1:29)&gt;COUNT(Dong5),"",OFFSET(TH!F$1,SMALL(Dong5,ROWS($1:29)),))</f>
        <v>Tiền lương BP Quản lý</v>
      </c>
      <c r="E43" s="435" t="str">
        <f ca="1">IF(ROWS($1:29)&gt;COUNT(Dong5),"",IF(OFFSET(TH!L$1,SMALL(Dong5,ROWS($1:29)),)=$E$7,OFFSET(TH!M$1,SMALL(Dong5,ROWS($1:29)),),OFFSET(TH!L$1,SMALL(Dong5,ROWS($1:29)),)))</f>
        <v>3341</v>
      </c>
      <c r="F43" s="437">
        <f ca="1">IF(ROWS($1:29)&gt;COUNT(Dong5),0,IF(OFFSET(TH!L$1,SMALL(Dong5,ROWS($1:29)),)=$E$7,OFFSET(TH!K$1,SMALL(Dong5,ROWS($1:29)),),0))</f>
        <v>7070000</v>
      </c>
      <c r="G43" s="434">
        <f ca="1">IF(ROWS($1:29)&gt;COUNT(Dong5),0,IF(OFFSET(TH!M$1,SMALL(Dong5,ROWS($1:29)),)=$E$7,OFFSET(TH!K$1,SMALL(Dong5,ROWS($1:29)),),0))</f>
        <v>0</v>
      </c>
      <c r="H43" s="438">
        <f t="shared" ca="1" si="6"/>
        <v>0</v>
      </c>
      <c r="I43" s="438">
        <f t="shared" ca="1" si="7"/>
        <v>36704691</v>
      </c>
    </row>
    <row r="44" spans="1:9" s="3" customFormat="1" ht="18" customHeight="1">
      <c r="A44" s="435">
        <f ca="1">IF(ROWS($1:30)&gt;COUNT(Dong5),"",OFFSET(TH!C$1,SMALL(Dong5,ROWS($1:30)),))</f>
        <v>40766</v>
      </c>
      <c r="B44" s="435" t="str">
        <f ca="1">IF(ROWS($1:30)&gt;COUNT(Dong5),"",OFFSET(TH!D$1,SMALL(Dong5,ROWS($1:30)),))</f>
        <v>GBN</v>
      </c>
      <c r="C44" s="435">
        <f ca="1">IF(ROWS($1:30)&gt;COUNT(Dong5),"",OFFSET(TH!E$1,SMALL(Dong5,ROWS($1:30)),))</f>
        <v>40766</v>
      </c>
      <c r="D44" s="436" t="str">
        <f ca="1">IF(ROWS($1:30)&gt;COUNT(Dong5),"",OFFSET(TH!F$1,SMALL(Dong5,ROWS($1:30)),))</f>
        <v>Phí chuyển tiền</v>
      </c>
      <c r="E44" s="435" t="str">
        <f ca="1">IF(ROWS($1:30)&gt;COUNT(Dong5),"",IF(OFFSET(TH!L$1,SMALL(Dong5,ROWS($1:30)),)=$E$7,OFFSET(TH!M$1,SMALL(Dong5,ROWS($1:30)),),OFFSET(TH!L$1,SMALL(Dong5,ROWS($1:30)),)))</f>
        <v>1121</v>
      </c>
      <c r="F44" s="437">
        <f ca="1">IF(ROWS($1:30)&gt;COUNT(Dong5),0,IF(OFFSET(TH!L$1,SMALL(Dong5,ROWS($1:30)),)=$E$7,OFFSET(TH!K$1,SMALL(Dong5,ROWS($1:30)),),0))</f>
        <v>9091</v>
      </c>
      <c r="G44" s="434">
        <f ca="1">IF(ROWS($1:30)&gt;COUNT(Dong5),0,IF(OFFSET(TH!M$1,SMALL(Dong5,ROWS($1:30)),)=$E$7,OFFSET(TH!K$1,SMALL(Dong5,ROWS($1:30)),),0))</f>
        <v>0</v>
      </c>
      <c r="H44" s="438">
        <f t="shared" ca="1" si="6"/>
        <v>0</v>
      </c>
      <c r="I44" s="438">
        <f t="shared" ca="1" si="7"/>
        <v>36695600</v>
      </c>
    </row>
    <row r="45" spans="1:9" s="3" customFormat="1" ht="18" customHeight="1">
      <c r="A45" s="435">
        <f ca="1">IF(ROWS($1:31)&gt;COUNT(Dong5),"",OFFSET(TH!C$1,SMALL(Dong5,ROWS($1:31)),))</f>
        <v>40775</v>
      </c>
      <c r="B45" s="435" t="str">
        <f ca="1">IF(ROWS($1:31)&gt;COUNT(Dong5),"",OFFSET(TH!D$1,SMALL(Dong5,ROWS($1:31)),))</f>
        <v>C13</v>
      </c>
      <c r="C45" s="435">
        <f ca="1">IF(ROWS($1:31)&gt;COUNT(Dong5),"",OFFSET(TH!E$1,SMALL(Dong5,ROWS($1:31)),))</f>
        <v>40775</v>
      </c>
      <c r="D45" s="436" t="str">
        <f ca="1">IF(ROWS($1:31)&gt;COUNT(Dong5),"",OFFSET(TH!F$1,SMALL(Dong5,ROWS($1:31)),))</f>
        <v>Dịch vụ viễn thông</v>
      </c>
      <c r="E45" s="435" t="str">
        <f ca="1">IF(ROWS($1:31)&gt;COUNT(Dong5),"",IF(OFFSET(TH!L$1,SMALL(Dong5,ROWS($1:31)),)=$E$7,OFFSET(TH!M$1,SMALL(Dong5,ROWS($1:31)),),OFFSET(TH!L$1,SMALL(Dong5,ROWS($1:31)),)))</f>
        <v>1111</v>
      </c>
      <c r="F45" s="437">
        <f ca="1">IF(ROWS($1:31)&gt;COUNT(Dong5),0,IF(OFFSET(TH!L$1,SMALL(Dong5,ROWS($1:31)),)=$E$7,OFFSET(TH!K$1,SMALL(Dong5,ROWS($1:31)),),0))</f>
        <v>752211</v>
      </c>
      <c r="G45" s="434">
        <f ca="1">IF(ROWS($1:31)&gt;COUNT(Dong5),0,IF(OFFSET(TH!M$1,SMALL(Dong5,ROWS($1:31)),)=$E$7,OFFSET(TH!K$1,SMALL(Dong5,ROWS($1:31)),),0))</f>
        <v>0</v>
      </c>
      <c r="H45" s="438">
        <f t="shared" ca="1" si="6"/>
        <v>0</v>
      </c>
      <c r="I45" s="438">
        <f t="shared" ca="1" si="7"/>
        <v>35943389</v>
      </c>
    </row>
    <row r="46" spans="1:9" s="3" customFormat="1" ht="18" customHeight="1">
      <c r="A46" s="435">
        <f ca="1">IF(ROWS($1:32)&gt;COUNT(Dong5),"",OFFSET(TH!C$1,SMALL(Dong5,ROWS($1:32)),))</f>
        <v>40786</v>
      </c>
      <c r="B46" s="435" t="str">
        <f ca="1">IF(ROWS($1:32)&gt;COUNT(Dong5),"",OFFSET(TH!D$1,SMALL(Dong5,ROWS($1:32)),))</f>
        <v>CTGS</v>
      </c>
      <c r="C46" s="435">
        <f ca="1">IF(ROWS($1:32)&gt;COUNT(Dong5),"",OFFSET(TH!E$1,SMALL(Dong5,ROWS($1:32)),))</f>
        <v>40786</v>
      </c>
      <c r="D46" s="436" t="str">
        <f ca="1">IF(ROWS($1:32)&gt;COUNT(Dong5),"",OFFSET(TH!F$1,SMALL(Dong5,ROWS($1:32)),))</f>
        <v>Tiền lương BP Quản lý</v>
      </c>
      <c r="E46" s="435" t="str">
        <f ca="1">IF(ROWS($1:32)&gt;COUNT(Dong5),"",IF(OFFSET(TH!L$1,SMALL(Dong5,ROWS($1:32)),)=$E$7,OFFSET(TH!M$1,SMALL(Dong5,ROWS($1:32)),),OFFSET(TH!L$1,SMALL(Dong5,ROWS($1:32)),)))</f>
        <v>3341</v>
      </c>
      <c r="F46" s="437">
        <f ca="1">IF(ROWS($1:32)&gt;COUNT(Dong5),0,IF(OFFSET(TH!L$1,SMALL(Dong5,ROWS($1:32)),)=$E$7,OFFSET(TH!K$1,SMALL(Dong5,ROWS($1:32)),),0))</f>
        <v>7115000</v>
      </c>
      <c r="G46" s="434">
        <f ca="1">IF(ROWS($1:32)&gt;COUNT(Dong5),0,IF(OFFSET(TH!M$1,SMALL(Dong5,ROWS($1:32)),)=$E$7,OFFSET(TH!K$1,SMALL(Dong5,ROWS($1:32)),),0))</f>
        <v>0</v>
      </c>
      <c r="H46" s="438">
        <f t="shared" ca="1" si="6"/>
        <v>0</v>
      </c>
      <c r="I46" s="438">
        <f t="shared" ca="1" si="7"/>
        <v>28828389</v>
      </c>
    </row>
    <row r="47" spans="1:9" s="3" customFormat="1" ht="18" customHeight="1">
      <c r="A47" s="435">
        <f ca="1">IF(ROWS($1:33)&gt;COUNT(Dong5),"",OFFSET(TH!C$1,SMALL(Dong5,ROWS($1:33)),))</f>
        <v>40802</v>
      </c>
      <c r="B47" s="435" t="str">
        <f ca="1">IF(ROWS($1:33)&gt;COUNT(Dong5),"",OFFSET(TH!D$1,SMALL(Dong5,ROWS($1:33)),))</f>
        <v>GBN</v>
      </c>
      <c r="C47" s="435">
        <f ca="1">IF(ROWS($1:33)&gt;COUNT(Dong5),"",OFFSET(TH!E$1,SMALL(Dong5,ROWS($1:33)),))</f>
        <v>40802</v>
      </c>
      <c r="D47" s="436" t="str">
        <f ca="1">IF(ROWS($1:33)&gt;COUNT(Dong5),"",OFFSET(TH!F$1,SMALL(Dong5,ROWS($1:33)),))</f>
        <v>Phí KD</v>
      </c>
      <c r="E47" s="435" t="str">
        <f ca="1">IF(ROWS($1:33)&gt;COUNT(Dong5),"",IF(OFFSET(TH!L$1,SMALL(Dong5,ROWS($1:33)),)=$E$7,OFFSET(TH!M$1,SMALL(Dong5,ROWS($1:33)),),OFFSET(TH!L$1,SMALL(Dong5,ROWS($1:33)),)))</f>
        <v>1121</v>
      </c>
      <c r="F47" s="437">
        <f ca="1">IF(ROWS($1:33)&gt;COUNT(Dong5),0,IF(OFFSET(TH!L$1,SMALL(Dong5,ROWS($1:33)),)=$E$7,OFFSET(TH!K$1,SMALL(Dong5,ROWS($1:33)),),0))</f>
        <v>9091</v>
      </c>
      <c r="G47" s="434">
        <f ca="1">IF(ROWS($1:33)&gt;COUNT(Dong5),0,IF(OFFSET(TH!M$1,SMALL(Dong5,ROWS($1:33)),)=$E$7,OFFSET(TH!K$1,SMALL(Dong5,ROWS($1:33)),),0))</f>
        <v>0</v>
      </c>
      <c r="H47" s="438">
        <f t="shared" ca="1" si="6"/>
        <v>0</v>
      </c>
      <c r="I47" s="438">
        <f t="shared" ca="1" si="7"/>
        <v>28819298</v>
      </c>
    </row>
    <row r="48" spans="1:9" s="3" customFormat="1" ht="18" customHeight="1">
      <c r="A48" s="435">
        <f ca="1">IF(ROWS($1:34)&gt;COUNT(Dong5),"",OFFSET(TH!C$1,SMALL(Dong5,ROWS($1:34)),))</f>
        <v>40802</v>
      </c>
      <c r="B48" s="435" t="str">
        <f ca="1">IF(ROWS($1:34)&gt;COUNT(Dong5),"",OFFSET(TH!D$1,SMALL(Dong5,ROWS($1:34)),))</f>
        <v>GBN</v>
      </c>
      <c r="C48" s="435">
        <f ca="1">IF(ROWS($1:34)&gt;COUNT(Dong5),"",OFFSET(TH!E$1,SMALL(Dong5,ROWS($1:34)),))</f>
        <v>40802</v>
      </c>
      <c r="D48" s="436" t="str">
        <f ca="1">IF(ROWS($1:34)&gt;COUNT(Dong5),"",OFFSET(TH!F$1,SMALL(Dong5,ROWS($1:34)),))</f>
        <v>Phí chuyển tiền</v>
      </c>
      <c r="E48" s="435" t="str">
        <f ca="1">IF(ROWS($1:34)&gt;COUNT(Dong5),"",IF(OFFSET(TH!L$1,SMALL(Dong5,ROWS($1:34)),)=$E$7,OFFSET(TH!M$1,SMALL(Dong5,ROWS($1:34)),),OFFSET(TH!L$1,SMALL(Dong5,ROWS($1:34)),)))</f>
        <v>1121</v>
      </c>
      <c r="F48" s="437">
        <f ca="1">IF(ROWS($1:34)&gt;COUNT(Dong5),0,IF(OFFSET(TH!L$1,SMALL(Dong5,ROWS($1:34)),)=$E$7,OFFSET(TH!K$1,SMALL(Dong5,ROWS($1:34)),),0))</f>
        <v>9091</v>
      </c>
      <c r="G48" s="434">
        <f ca="1">IF(ROWS($1:34)&gt;COUNT(Dong5),0,IF(OFFSET(TH!M$1,SMALL(Dong5,ROWS($1:34)),)=$E$7,OFFSET(TH!K$1,SMALL(Dong5,ROWS($1:34)),),0))</f>
        <v>0</v>
      </c>
      <c r="H48" s="438">
        <f t="shared" ca="1" si="6"/>
        <v>0</v>
      </c>
      <c r="I48" s="438">
        <f t="shared" ca="1" si="7"/>
        <v>28810207</v>
      </c>
    </row>
    <row r="49" spans="1:9" s="3" customFormat="1" ht="18" customHeight="1">
      <c r="A49" s="435">
        <f ca="1">IF(ROWS($1:35)&gt;COUNT(Dong5),"",OFFSET(TH!C$1,SMALL(Dong5,ROWS($1:35)),))</f>
        <v>40807</v>
      </c>
      <c r="B49" s="435" t="str">
        <f ca="1">IF(ROWS($1:35)&gt;COUNT(Dong5),"",OFFSET(TH!D$1,SMALL(Dong5,ROWS($1:35)),))</f>
        <v>C19</v>
      </c>
      <c r="C49" s="435">
        <f ca="1">IF(ROWS($1:35)&gt;COUNT(Dong5),"",OFFSET(TH!E$1,SMALL(Dong5,ROWS($1:35)),))</f>
        <v>40807</v>
      </c>
      <c r="D49" s="436" t="str">
        <f ca="1">IF(ROWS($1:35)&gt;COUNT(Dong5),"",OFFSET(TH!F$1,SMALL(Dong5,ROWS($1:35)),))</f>
        <v>Dịch vụ viễn thông</v>
      </c>
      <c r="E49" s="435" t="str">
        <f ca="1">IF(ROWS($1:35)&gt;COUNT(Dong5),"",IF(OFFSET(TH!L$1,SMALL(Dong5,ROWS($1:35)),)=$E$7,OFFSET(TH!M$1,SMALL(Dong5,ROWS($1:35)),),OFFSET(TH!L$1,SMALL(Dong5,ROWS($1:35)),)))</f>
        <v>1111</v>
      </c>
      <c r="F49" s="437">
        <f ca="1">IF(ROWS($1:35)&gt;COUNT(Dong5),0,IF(OFFSET(TH!L$1,SMALL(Dong5,ROWS($1:35)),)=$E$7,OFFSET(TH!K$1,SMALL(Dong5,ROWS($1:35)),),0))</f>
        <v>642847</v>
      </c>
      <c r="G49" s="434">
        <f ca="1">IF(ROWS($1:35)&gt;COUNT(Dong5),0,IF(OFFSET(TH!M$1,SMALL(Dong5,ROWS($1:35)),)=$E$7,OFFSET(TH!K$1,SMALL(Dong5,ROWS($1:35)),),0))</f>
        <v>0</v>
      </c>
      <c r="H49" s="438">
        <f t="shared" ca="1" si="6"/>
        <v>0</v>
      </c>
      <c r="I49" s="438">
        <f t="shared" ca="1" si="7"/>
        <v>28167360</v>
      </c>
    </row>
    <row r="50" spans="1:9" s="3" customFormat="1" ht="18" customHeight="1">
      <c r="A50" s="435">
        <f ca="1">IF(ROWS($1:36)&gt;COUNT(Dong5),"",OFFSET(TH!C$1,SMALL(Dong5,ROWS($1:36)),))</f>
        <v>40816</v>
      </c>
      <c r="B50" s="435" t="str">
        <f ca="1">IF(ROWS($1:36)&gt;COUNT(Dong5),"",OFFSET(TH!D$1,SMALL(Dong5,ROWS($1:36)),))</f>
        <v>CTGS</v>
      </c>
      <c r="C50" s="435">
        <f ca="1">IF(ROWS($1:36)&gt;COUNT(Dong5),"",OFFSET(TH!E$1,SMALL(Dong5,ROWS($1:36)),))</f>
        <v>40816</v>
      </c>
      <c r="D50" s="436" t="str">
        <f ca="1">IF(ROWS($1:36)&gt;COUNT(Dong5),"",OFFSET(TH!F$1,SMALL(Dong5,ROWS($1:36)),))</f>
        <v>Tiền lương BP Quản lý</v>
      </c>
      <c r="E50" s="435" t="str">
        <f ca="1">IF(ROWS($1:36)&gt;COUNT(Dong5),"",IF(OFFSET(TH!L$1,SMALL(Dong5,ROWS($1:36)),)=$E$7,OFFSET(TH!M$1,SMALL(Dong5,ROWS($1:36)),),OFFSET(TH!L$1,SMALL(Dong5,ROWS($1:36)),)))</f>
        <v>3341</v>
      </c>
      <c r="F50" s="437">
        <f ca="1">IF(ROWS($1:36)&gt;COUNT(Dong5),0,IF(OFFSET(TH!L$1,SMALL(Dong5,ROWS($1:36)),)=$E$7,OFFSET(TH!K$1,SMALL(Dong5,ROWS($1:36)),),0))</f>
        <v>7025000</v>
      </c>
      <c r="G50" s="434">
        <f ca="1">IF(ROWS($1:36)&gt;COUNT(Dong5),0,IF(OFFSET(TH!M$1,SMALL(Dong5,ROWS($1:36)),)=$E$7,OFFSET(TH!K$1,SMALL(Dong5,ROWS($1:36)),),0))</f>
        <v>0</v>
      </c>
      <c r="H50" s="438">
        <f t="shared" ca="1" si="6"/>
        <v>0</v>
      </c>
      <c r="I50" s="438">
        <f t="shared" ca="1" si="7"/>
        <v>21142360</v>
      </c>
    </row>
    <row r="51" spans="1:9" s="3" customFormat="1" ht="18" customHeight="1">
      <c r="A51" s="435"/>
      <c r="B51" s="435"/>
      <c r="C51" s="435"/>
      <c r="D51" s="436"/>
      <c r="E51" s="435"/>
      <c r="F51" s="437"/>
      <c r="G51" s="434"/>
      <c r="H51" s="438"/>
      <c r="I51" s="438"/>
    </row>
    <row r="52" spans="1:9" s="3" customFormat="1" ht="18" customHeight="1">
      <c r="A52" s="435"/>
      <c r="B52" s="439"/>
      <c r="C52" s="435"/>
      <c r="D52" s="440" t="s">
        <v>122</v>
      </c>
      <c r="E52" s="439" t="s">
        <v>18</v>
      </c>
      <c r="F52" s="441">
        <f ca="1">SUM(F15:F51)</f>
        <v>47049838</v>
      </c>
      <c r="G52" s="441">
        <f ca="1">SUM(G15:G51)</f>
        <v>68192198</v>
      </c>
      <c r="H52" s="441" t="s">
        <v>18</v>
      </c>
      <c r="I52" s="441" t="s">
        <v>18</v>
      </c>
    </row>
    <row r="53" spans="1:9" s="3" customFormat="1" ht="18" customHeight="1">
      <c r="A53" s="442"/>
      <c r="B53" s="443"/>
      <c r="C53" s="442"/>
      <c r="D53" s="444" t="s">
        <v>10</v>
      </c>
      <c r="E53" s="443" t="s">
        <v>18</v>
      </c>
      <c r="F53" s="445" t="s">
        <v>18</v>
      </c>
      <c r="G53" s="445" t="s">
        <v>18</v>
      </c>
      <c r="H53" s="446">
        <f ca="1">MAX(H14+F52-G52-I14,0)</f>
        <v>0</v>
      </c>
      <c r="I53" s="446">
        <f ca="1">MAX(I14+G52-F52-H14,0)</f>
        <v>21142360</v>
      </c>
    </row>
    <row r="54" spans="1:9" s="3" customFormat="1" ht="9.75" customHeight="1">
      <c r="A54" s="379"/>
      <c r="B54" s="379"/>
      <c r="C54" s="379"/>
      <c r="E54" s="379"/>
    </row>
    <row r="55" spans="1:9" s="3" customFormat="1" ht="15">
      <c r="A55" s="379"/>
      <c r="B55" s="379"/>
      <c r="C55" s="100" t="s">
        <v>143</v>
      </c>
      <c r="E55" s="379"/>
    </row>
    <row r="56" spans="1:9" s="3" customFormat="1" ht="15">
      <c r="A56" s="379"/>
      <c r="B56" s="379"/>
      <c r="C56" s="447" t="str">
        <f ca="1">"- Ngày mở sổ: "&amp;DAY($A$15)&amp;"/"&amp;MONTH($A$15)&amp;"/ " &amp;YEAR($A$15)</f>
        <v>- Ngày mở sổ: 31/12/ 2011</v>
      </c>
      <c r="E56" s="379"/>
    </row>
    <row r="57" spans="1:9" s="3" customFormat="1" ht="13.5" customHeight="1">
      <c r="A57" s="379"/>
      <c r="B57" s="379"/>
      <c r="C57" s="379"/>
      <c r="E57" s="827" t="str">
        <f ca="1">"Ngày 31 tháng  12  năm  "&amp;YEAR($A$15)</f>
        <v>Ngày 31 tháng  12  năm  2011</v>
      </c>
      <c r="F57" s="827"/>
      <c r="G57" s="827"/>
      <c r="H57" s="827"/>
      <c r="I57" s="827"/>
    </row>
    <row r="58" spans="1:9" s="3" customFormat="1" ht="15">
      <c r="A58" s="827" t="s">
        <v>11</v>
      </c>
      <c r="B58" s="827"/>
      <c r="C58" s="827"/>
      <c r="D58" s="827"/>
      <c r="E58" s="827" t="s">
        <v>12</v>
      </c>
      <c r="F58" s="827"/>
      <c r="G58" s="827"/>
      <c r="H58" s="827"/>
      <c r="I58" s="827"/>
    </row>
    <row r="59" spans="1:9" s="3" customFormat="1" ht="15">
      <c r="A59" s="827" t="s">
        <v>13</v>
      </c>
      <c r="B59" s="827"/>
      <c r="C59" s="827"/>
      <c r="D59" s="827"/>
      <c r="E59" s="827" t="s">
        <v>13</v>
      </c>
      <c r="F59" s="827"/>
      <c r="G59" s="827"/>
      <c r="H59" s="827"/>
      <c r="I59" s="827"/>
    </row>
  </sheetData>
  <mergeCells count="17">
    <mergeCell ref="A58:D58"/>
    <mergeCell ref="E58:I58"/>
    <mergeCell ref="A59:D59"/>
    <mergeCell ref="E59:I59"/>
    <mergeCell ref="E57:I5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1"/>
  <sheetViews>
    <sheetView topLeftCell="A10" zoomScale="90" workbookViewId="0">
      <pane ySplit="4" topLeftCell="A53" activePane="bottomLeft" state="frozen"/>
      <selection activeCell="A10" sqref="A10"/>
      <selection pane="bottomLeft" activeCell="A6" sqref="A6:J6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8" customFormat="1" ht="16.5" customHeight="1">
      <c r="A1" s="103" t="str">
        <f>TH!A1</f>
        <v>Đơn vị: CÔNG TY TNHH SX TM KIM DUNG PHÁT</v>
      </c>
      <c r="B1" s="2"/>
      <c r="C1" s="2"/>
      <c r="D1" s="2"/>
      <c r="E1" s="2"/>
      <c r="G1" s="823" t="s">
        <v>108</v>
      </c>
      <c r="H1" s="823"/>
      <c r="I1" s="823"/>
      <c r="J1" s="823"/>
    </row>
    <row r="2" spans="1:15" s="218" customFormat="1" ht="16.5" customHeight="1">
      <c r="A2" s="67" t="str">
        <f>TH!A2</f>
        <v>Địa chỉ: 1A227/1 Ấp 1, Phạm Văn Hai, Bình Chánh, TPHCM</v>
      </c>
      <c r="B2" s="377"/>
      <c r="C2" s="377"/>
      <c r="D2" s="377"/>
      <c r="E2" s="377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  <c r="J2" s="824"/>
    </row>
    <row r="3" spans="1:15" s="218" customFormat="1" ht="16.5" customHeight="1">
      <c r="A3" s="241"/>
      <c r="B3" s="377"/>
      <c r="C3" s="79"/>
      <c r="D3" s="79"/>
      <c r="E3" s="377"/>
      <c r="G3" s="824"/>
      <c r="H3" s="824"/>
      <c r="I3" s="824"/>
      <c r="J3" s="824"/>
    </row>
    <row r="4" spans="1:15" s="218" customFormat="1" ht="6.75" customHeight="1">
      <c r="A4" s="377"/>
      <c r="B4" s="377"/>
      <c r="C4" s="377"/>
      <c r="D4" s="377"/>
      <c r="E4" s="377"/>
      <c r="G4" s="378"/>
      <c r="H4" s="378"/>
      <c r="I4" s="378"/>
      <c r="J4" s="378"/>
    </row>
    <row r="5" spans="1:15" s="80" customFormat="1" ht="24.75" customHeight="1">
      <c r="A5" s="833" t="s">
        <v>109</v>
      </c>
      <c r="B5" s="833"/>
      <c r="C5" s="833"/>
      <c r="D5" s="833"/>
      <c r="E5" s="833"/>
      <c r="F5" s="833"/>
      <c r="G5" s="833"/>
      <c r="H5" s="833"/>
      <c r="I5" s="833"/>
      <c r="J5" s="833"/>
    </row>
    <row r="6" spans="1:15" s="80" customFormat="1" ht="14.25" customHeight="1">
      <c r="A6" s="835" t="str">
        <f ca="1">$L$11&amp;" / "&amp;YEAR($A$14)</f>
        <v>Quý III / 2011</v>
      </c>
      <c r="B6" s="835"/>
      <c r="C6" s="835"/>
      <c r="D6" s="835"/>
      <c r="E6" s="835"/>
      <c r="F6" s="835"/>
      <c r="G6" s="835"/>
      <c r="H6" s="835"/>
      <c r="I6" s="835"/>
      <c r="J6" s="835"/>
    </row>
    <row r="7" spans="1:15" s="80" customFormat="1" ht="15">
      <c r="A7" s="834" t="s">
        <v>110</v>
      </c>
      <c r="B7" s="834"/>
      <c r="C7" s="834"/>
      <c r="D7" s="834"/>
      <c r="E7" s="834"/>
      <c r="F7" s="834"/>
      <c r="G7" s="834"/>
      <c r="H7" s="834"/>
      <c r="I7" s="834"/>
      <c r="J7" s="834"/>
    </row>
    <row r="8" spans="1:15" s="80" customFormat="1" ht="15">
      <c r="A8" s="834" t="s">
        <v>111</v>
      </c>
      <c r="B8" s="834"/>
      <c r="C8" s="834"/>
      <c r="D8" s="834"/>
      <c r="E8" s="834"/>
      <c r="F8" s="834"/>
      <c r="G8" s="834"/>
      <c r="H8" s="834"/>
      <c r="I8" s="834"/>
      <c r="J8" s="834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37" t="s">
        <v>19</v>
      </c>
      <c r="B10" s="837" t="s">
        <v>113</v>
      </c>
      <c r="C10" s="836" t="s">
        <v>114</v>
      </c>
      <c r="D10" s="836"/>
      <c r="E10" s="836" t="s">
        <v>0</v>
      </c>
      <c r="F10" s="837" t="s">
        <v>14</v>
      </c>
      <c r="G10" s="836" t="s">
        <v>20</v>
      </c>
      <c r="H10" s="836"/>
      <c r="I10" s="836" t="s">
        <v>115</v>
      </c>
      <c r="J10" s="836" t="s">
        <v>116</v>
      </c>
      <c r="L10" s="380"/>
      <c r="N10" s="819" t="s">
        <v>306</v>
      </c>
      <c r="O10" s="819"/>
    </row>
    <row r="11" spans="1:15" s="80" customFormat="1" ht="24" customHeight="1" thickBot="1">
      <c r="A11" s="838"/>
      <c r="B11" s="838"/>
      <c r="C11" s="381" t="s">
        <v>117</v>
      </c>
      <c r="D11" s="381" t="s">
        <v>118</v>
      </c>
      <c r="E11" s="836"/>
      <c r="F11" s="838"/>
      <c r="G11" s="381" t="s">
        <v>21</v>
      </c>
      <c r="H11" s="381" t="s">
        <v>22</v>
      </c>
      <c r="I11" s="836"/>
      <c r="J11" s="836"/>
      <c r="L11" s="298" t="s">
        <v>1024</v>
      </c>
      <c r="N11" s="360">
        <f>IF(L11="Quý I",1,IF(L11="Quý II",4,IF(L11="Quý III",7,IF(L11="Quý IV",10,""))))</f>
        <v>7</v>
      </c>
      <c r="O11" s="360">
        <f>IF(L11="Quý I",3,IF(L11="Quý II",6,IF(L11="Quý III",9,IF(L11="Quý IV",12,""))))</f>
        <v>9</v>
      </c>
    </row>
    <row r="12" spans="1:15" s="80" customFormat="1" ht="11.25" customHeight="1">
      <c r="A12" s="381" t="s">
        <v>2</v>
      </c>
      <c r="B12" s="381" t="s">
        <v>3</v>
      </c>
      <c r="C12" s="381" t="s">
        <v>4</v>
      </c>
      <c r="D12" s="381" t="s">
        <v>5</v>
      </c>
      <c r="E12" s="381" t="s">
        <v>6</v>
      </c>
      <c r="F12" s="381" t="s">
        <v>119</v>
      </c>
      <c r="G12" s="381">
        <v>1</v>
      </c>
      <c r="H12" s="381">
        <v>2</v>
      </c>
      <c r="I12" s="381">
        <v>3</v>
      </c>
      <c r="J12" s="381" t="s">
        <v>120</v>
      </c>
      <c r="N12" s="247"/>
      <c r="O12" s="247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4">
        <f>IF($L$11="All",CDPS!$C$10,CDPS!$C$10+SUMIF(_N111,"x",TH)-SUMIF(_C111,"x",TH))</f>
        <v>1416624868</v>
      </c>
      <c r="J13" s="83"/>
      <c r="N13" s="246"/>
      <c r="O13" s="246"/>
    </row>
    <row r="14" spans="1:15" s="80" customFormat="1" ht="21.75" customHeight="1">
      <c r="A14" s="86">
        <f ca="1">IF(ROWS($1:1)&gt;COUNT(Dong1),"",OFFSET(TH!C$1,SMALL(Dong1,ROWS($1:1)),))</f>
        <v>40729</v>
      </c>
      <c r="B14" s="86">
        <f ca="1">IF(ROWS($1:1)&gt;COUNT(Dong1),"",OFFSET(TH!E$1,SMALL(Dong1,ROWS($1:1)),))</f>
        <v>40729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5" t="str">
        <f ca="1">IF(ROWS($1:1)&gt;COUNT(Dong1),"",OFFSET(TH!F$1,SMALL(Dong1,ROWS($1:1)),))</f>
        <v>Mực in VFLEX 6529 Blue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2680000</v>
      </c>
      <c r="I14" s="87">
        <f ca="1">IF(E14&lt;&gt;"",I13+G14-H14,0)</f>
        <v>1413944868</v>
      </c>
      <c r="J14" s="92"/>
      <c r="N14" s="247"/>
      <c r="O14" s="247"/>
    </row>
    <row r="15" spans="1:15" s="80" customFormat="1" ht="21.75" customHeight="1">
      <c r="A15" s="86">
        <f ca="1">IF(ROWS($1:2)&gt;COUNT(Dong1),"",OFFSET(TH!C$1,SMALL(Dong1,ROWS($1:2)),))</f>
        <v>40729</v>
      </c>
      <c r="B15" s="86">
        <f ca="1">IF(ROWS($1:2)&gt;COUNT(Dong1),"",OFFSET(TH!E$1,SMALL(Dong1,ROWS($1:2)),))</f>
        <v>40729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5" t="str">
        <f ca="1">IF(ROWS($1:2)&gt;COUNT(Dong1),"",OFFSET(TH!F$1,SMALL(Dong1,ROWS($1:2)),))</f>
        <v>VAT Mực in VFLEX 6529 Blue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268000</v>
      </c>
      <c r="I15" s="87">
        <f t="shared" ref="I15:I62" ca="1" si="0">IF(E15&lt;&gt;"",I14+G15-H15,0)</f>
        <v>1413676868</v>
      </c>
      <c r="J15" s="92"/>
      <c r="N15" s="247"/>
      <c r="O15" s="247"/>
    </row>
    <row r="16" spans="1:15" s="80" customFormat="1" ht="21.75" customHeight="1">
      <c r="A16" s="86">
        <f ca="1">IF(ROWS($1:3)&gt;COUNT(Dong1),"",OFFSET(TH!C$1,SMALL(Dong1,ROWS($1:3)),))</f>
        <v>40736</v>
      </c>
      <c r="B16" s="86">
        <f ca="1">IF(ROWS($1:3)&gt;COUNT(Dong1),"",OFFSET(TH!E$1,SMALL(Dong1,ROWS($1:3)),))</f>
        <v>40736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5" t="str">
        <f ca="1">IF(ROWS($1:3)&gt;COUNT(Dong1),"",OFFSET(TH!F$1,SMALL(Dong1,ROWS($1:3)),))</f>
        <v>Nộp tiền mặt vào tài khoản</v>
      </c>
      <c r="F16" s="90" t="str">
        <f ca="1">IF(ROWS($1:3)&gt;COUNT(Dong1),"",IF(OFFSET(TH!M$1,SMALL(Dong1,ROWS($1:3)),)="1111",OFFSET(TH!L$1,SMALL(Dong1,ROWS($1:3)),),OFFSET(TH!M$1,SMALL(Dong1,ROWS($1:3)),)))</f>
        <v>1121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114504000</v>
      </c>
      <c r="I16" s="87">
        <f t="shared" ca="1" si="0"/>
        <v>1299172868</v>
      </c>
      <c r="J16" s="92"/>
      <c r="N16" s="247"/>
      <c r="O16" s="247"/>
    </row>
    <row r="17" spans="1:15" s="80" customFormat="1" ht="21.75" customHeight="1">
      <c r="A17" s="86">
        <f ca="1">IF(ROWS($1:4)&gt;COUNT(Dong1),"",OFFSET(TH!C$1,SMALL(Dong1,ROWS($1:4)),))</f>
        <v>40738</v>
      </c>
      <c r="B17" s="86">
        <f ca="1">IF(ROWS($1:4)&gt;COUNT(Dong1),"",OFFSET(TH!E$1,SMALL(Dong1,ROWS($1:4)),))</f>
        <v>40738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5" t="str">
        <f ca="1">IF(ROWS($1:4)&gt;COUNT(Dong1),"",OFFSET(TH!F$1,SMALL(Dong1,ROWS($1:4)),))</f>
        <v>Hộp mực in</v>
      </c>
      <c r="F17" s="90" t="str">
        <f ca="1">IF(ROWS($1:4)&gt;COUNT(Dong1),"",IF(OFFSET(TH!M$1,SMALL(Dong1,ROWS($1:4)),)="1111",OFFSET(TH!L$1,SMALL(Dong1,ROWS($1:4)),),OFFSET(TH!M$1,SMALL(Dong1,ROWS($1:4)),)))</f>
        <v>154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1090909</v>
      </c>
      <c r="I17" s="87">
        <f t="shared" ca="1" si="0"/>
        <v>1298081959</v>
      </c>
      <c r="J17" s="92"/>
      <c r="N17" s="247"/>
      <c r="O17" s="247"/>
    </row>
    <row r="18" spans="1:15" s="80" customFormat="1" ht="21.75" customHeight="1">
      <c r="A18" s="86">
        <f ca="1">IF(ROWS($1:5)&gt;COUNT(Dong1),"",OFFSET(TH!C$1,SMALL(Dong1,ROWS($1:5)),))</f>
        <v>40738</v>
      </c>
      <c r="B18" s="86">
        <f ca="1">IF(ROWS($1:5)&gt;COUNT(Dong1),"",OFFSET(TH!E$1,SMALL(Dong1,ROWS($1:5)),))</f>
        <v>40738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5" t="str">
        <f ca="1">IF(ROWS($1:5)&gt;COUNT(Dong1),"",OFFSET(TH!F$1,SMALL(Dong1,ROWS($1:5)),))</f>
        <v>VAT Hộp mực in</v>
      </c>
      <c r="F18" s="90" t="str">
        <f ca="1">IF(ROWS($1:5)&gt;COUNT(Dong1),"",IF(OFFSET(TH!M$1,SMALL(Dong1,ROWS($1:5)),)="1111",OFFSET(TH!L$1,SMALL(Dong1,ROWS($1:5)),),OFFSET(TH!M$1,SMALL(Dong1,ROWS($1:5)),)))</f>
        <v>1331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109091</v>
      </c>
      <c r="I18" s="87">
        <f t="shared" ca="1" si="0"/>
        <v>1297972868</v>
      </c>
      <c r="J18" s="92"/>
      <c r="N18" s="247"/>
      <c r="O18" s="247"/>
    </row>
    <row r="19" spans="1:15" s="80" customFormat="1" ht="21.75" customHeight="1">
      <c r="A19" s="86">
        <f ca="1">IF(ROWS($1:6)&gt;COUNT(Dong1),"",OFFSET(TH!C$1,SMALL(Dong1,ROWS($1:6)),))</f>
        <v>40740</v>
      </c>
      <c r="B19" s="86">
        <f ca="1">IF(ROWS($1:6)&gt;COUNT(Dong1),"",OFFSET(TH!E$1,SMALL(Dong1,ROWS($1:6)),))</f>
        <v>40740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5" t="str">
        <f ca="1">IF(ROWS($1:6)&gt;COUNT(Dong1),"",OFFSET(TH!F$1,SMALL(Dong1,ROWS($1:6)),))</f>
        <v>Rút tiền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62000000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1359972868</v>
      </c>
      <c r="J19" s="92"/>
      <c r="N19" s="247"/>
      <c r="O19" s="247"/>
    </row>
    <row r="20" spans="1:15" s="80" customFormat="1" ht="21.75" customHeight="1">
      <c r="A20" s="86">
        <f ca="1">IF(ROWS($1:7)&gt;COUNT(Dong1),"",OFFSET(TH!C$1,SMALL(Dong1,ROWS($1:7)),))</f>
        <v>40742</v>
      </c>
      <c r="B20" s="86">
        <f ca="1">IF(ROWS($1:7)&gt;COUNT(Dong1),"",OFFSET(TH!E$1,SMALL(Dong1,ROWS($1:7)),))</f>
        <v>40742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5" t="str">
        <f ca="1">IF(ROWS($1:7)&gt;COUNT(Dong1),"",OFFSET(TH!F$1,SMALL(Dong1,ROWS($1:7)),))</f>
        <v>Tiền điện</v>
      </c>
      <c r="F20" s="90" t="str">
        <f ca="1">IF(ROWS($1:7)&gt;COUNT(Dong1),"",IF(OFFSET(TH!M$1,SMALL(Dong1,ROWS($1:7)),)="1111",OFFSET(TH!L$1,SMALL(Dong1,ROWS($1:7)),),OFFSET(TH!M$1,SMALL(Dong1,ROWS($1:7)),)))</f>
        <v>154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1093440</v>
      </c>
      <c r="I20" s="87">
        <f t="shared" ca="1" si="0"/>
        <v>1358879428</v>
      </c>
      <c r="J20" s="92"/>
      <c r="N20" s="247"/>
      <c r="O20" s="247"/>
    </row>
    <row r="21" spans="1:15" s="80" customFormat="1" ht="21.75" customHeight="1">
      <c r="A21" s="86">
        <f ca="1">IF(ROWS($1:8)&gt;COUNT(Dong1),"",OFFSET(TH!C$1,SMALL(Dong1,ROWS($1:8)),))</f>
        <v>40742</v>
      </c>
      <c r="B21" s="86">
        <f ca="1">IF(ROWS($1:8)&gt;COUNT(Dong1),"",OFFSET(TH!E$1,SMALL(Dong1,ROWS($1:8)),))</f>
        <v>40742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C04</v>
      </c>
      <c r="E21" s="135" t="str">
        <f ca="1">IF(ROWS($1:8)&gt;COUNT(Dong1),"",OFFSET(TH!F$1,SMALL(Dong1,ROWS($1:8)),))</f>
        <v>VAT Tiền điện</v>
      </c>
      <c r="F21" s="90" t="str">
        <f ca="1">IF(ROWS($1:8)&gt;COUNT(Dong1),"",IF(OFFSET(TH!M$1,SMALL(Dong1,ROWS($1:8)),)="1111",OFFSET(TH!L$1,SMALL(Dong1,ROWS($1:8)),),OFFSET(TH!M$1,SMALL(Dong1,ROWS($1:8)),)))</f>
        <v>1331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109344</v>
      </c>
      <c r="I21" s="87">
        <f t="shared" ca="1" si="0"/>
        <v>1358770084</v>
      </c>
      <c r="J21" s="92"/>
      <c r="N21" s="247"/>
      <c r="O21" s="247"/>
    </row>
    <row r="22" spans="1:15" s="80" customFormat="1" ht="21.75" customHeight="1">
      <c r="A22" s="86">
        <f ca="1">IF(ROWS($1:9)&gt;COUNT(Dong1),"",OFFSET(TH!C$1,SMALL(Dong1,ROWS($1:9)),))</f>
        <v>40745</v>
      </c>
      <c r="B22" s="86">
        <f ca="1">IF(ROWS($1:9)&gt;COUNT(Dong1),"",OFFSET(TH!E$1,SMALL(Dong1,ROWS($1:9)),))</f>
        <v>40745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5" t="str">
        <f ca="1">IF(ROWS($1:9)&gt;COUNT(Dong1),"",OFFSET(TH!F$1,SMALL(Dong1,ROWS($1:9)),))</f>
        <v>Thanh toán tiền Kẽm đóng bao bì</v>
      </c>
      <c r="F22" s="90" t="str">
        <f ca="1">IF(ROWS($1:9)&gt;COUNT(Dong1),"",IF(OFFSET(TH!M$1,SMALL(Dong1,ROWS($1:9)),)="1111",OFFSET(TH!L$1,SMALL(Dong1,ROWS($1:9)),),OFFSET(TH!M$1,SMALL(Dong1,ROWS($1:9)),)))</f>
        <v>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1320000</v>
      </c>
      <c r="I22" s="87">
        <f t="shared" ca="1" si="0"/>
        <v>1357450084</v>
      </c>
      <c r="J22" s="92"/>
      <c r="N22" s="247"/>
      <c r="O22" s="247"/>
    </row>
    <row r="23" spans="1:15" s="80" customFormat="1" ht="21.75" customHeight="1">
      <c r="A23" s="86">
        <f ca="1">IF(ROWS($1:10)&gt;COUNT(Dong1),"",OFFSET(TH!C$1,SMALL(Dong1,ROWS($1:10)),))</f>
        <v>40755</v>
      </c>
      <c r="B23" s="86">
        <f ca="1">IF(ROWS($1:10)&gt;COUNT(Dong1),"",OFFSET(TH!E$1,SMALL(Dong1,ROWS($1:10)),))</f>
        <v>40755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5" t="str">
        <f ca="1">IF(ROWS($1:10)&gt;COUNT(Dong1),"",OFFSET(TH!F$1,SMALL(Dong1,ROWS($1:10)),))</f>
        <v>Thanh toán tiền lương tháng 7/2011</v>
      </c>
      <c r="F23" s="90" t="str">
        <f ca="1">IF(ROWS($1:10)&gt;COUNT(Dong1),"",IF(OFFSET(TH!M$1,SMALL(Dong1,ROWS($1:10)),)="1111",OFFSET(TH!L$1,SMALL(Dong1,ROWS($1:10)),),OFFSET(TH!M$1,SMALL(Dong1,ROWS($1:10)),)))</f>
        <v>3341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13340000</v>
      </c>
      <c r="I23" s="87">
        <f t="shared" ca="1" si="0"/>
        <v>1344110084</v>
      </c>
      <c r="J23" s="92"/>
      <c r="N23" s="247"/>
      <c r="O23" s="247"/>
    </row>
    <row r="24" spans="1:15" s="80" customFormat="1" ht="21.75" customHeight="1">
      <c r="A24" s="86">
        <f ca="1">IF(ROWS($1:11)&gt;COUNT(Dong1),"",OFFSET(TH!C$1,SMALL(Dong1,ROWS($1:11)),))</f>
        <v>40755</v>
      </c>
      <c r="B24" s="86">
        <f ca="1">IF(ROWS($1:11)&gt;COUNT(Dong1),"",OFFSET(TH!E$1,SMALL(Dong1,ROWS($1:11)),))</f>
        <v>40755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C07</v>
      </c>
      <c r="E24" s="135" t="str">
        <f ca="1">IF(ROWS($1:11)&gt;COUNT(Dong1),"",OFFSET(TH!F$1,SMALL(Dong1,ROWS($1:11)),))</f>
        <v>Difsel 0.05S, lệ phí xăng dầu</v>
      </c>
      <c r="F24" s="90" t="str">
        <f ca="1">IF(ROWS($1:11)&gt;COUNT(Dong1),"",IF(OFFSET(TH!M$1,SMALL(Dong1,ROWS($1:11)),)="1111",OFFSET(TH!L$1,SMALL(Dong1,ROWS($1:11)),),OFFSET(TH!M$1,SMALL(Dong1,ROWS($1:11)),)))</f>
        <v>641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455629</v>
      </c>
      <c r="I24" s="87">
        <f t="shared" ca="1" si="0"/>
        <v>1343654455</v>
      </c>
      <c r="J24" s="92"/>
      <c r="N24" s="247"/>
      <c r="O24" s="247"/>
    </row>
    <row r="25" spans="1:15" s="80" customFormat="1" ht="21.75" customHeight="1">
      <c r="A25" s="86">
        <f ca="1">IF(ROWS($1:12)&gt;COUNT(Dong1),"",OFFSET(TH!C$1,SMALL(Dong1,ROWS($1:12)),))</f>
        <v>40755</v>
      </c>
      <c r="B25" s="86">
        <f ca="1">IF(ROWS($1:12)&gt;COUNT(Dong1),"",OFFSET(TH!E$1,SMALL(Dong1,ROWS($1:12)),))</f>
        <v>40755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5" t="str">
        <f ca="1">IF(ROWS($1:12)&gt;COUNT(Dong1),"",OFFSET(TH!F$1,SMALL(Dong1,ROWS($1:12)),))</f>
        <v>VAT Difsel 0.05S</v>
      </c>
      <c r="F25" s="90" t="str">
        <f ca="1">IF(ROWS($1:12)&gt;COUNT(Dong1),"",IF(OFFSET(TH!M$1,SMALL(Dong1,ROWS($1:12)),)="1111",OFFSET(TH!L$1,SMALL(Dong1,ROWS($1:12)),),OFFSET(TH!M$1,SMALL(Dong1,ROWS($1:12)),)))</f>
        <v>1331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44378</v>
      </c>
      <c r="I25" s="87">
        <f t="shared" ca="1" si="0"/>
        <v>1343610077</v>
      </c>
      <c r="J25" s="92"/>
      <c r="N25" s="247"/>
      <c r="O25" s="247"/>
    </row>
    <row r="26" spans="1:15" s="80" customFormat="1" ht="21.75" customHeight="1">
      <c r="A26" s="86">
        <f ca="1">IF(ROWS($1:13)&gt;COUNT(Dong1),"",OFFSET(TH!C$1,SMALL(Dong1,ROWS($1:13)),))</f>
        <v>40758</v>
      </c>
      <c r="B26" s="86">
        <f ca="1">IF(ROWS($1:13)&gt;COUNT(Dong1),"",OFFSET(TH!E$1,SMALL(Dong1,ROWS($1:13)),))</f>
        <v>40758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5" t="str">
        <f ca="1">IF(ROWS($1:13)&gt;COUNT(Dong1),"",OFFSET(TH!F$1,SMALL(Dong1,ROWS($1:13)),))</f>
        <v>Difsel 0.05S, lệ phí xăng dầu</v>
      </c>
      <c r="F26" s="90" t="str">
        <f ca="1">IF(ROWS($1:13)&gt;COUNT(Dong1),"",IF(OFFSET(TH!M$1,SMALL(Dong1,ROWS($1:13)),)="1111",OFFSET(TH!L$1,SMALL(Dong1,ROWS($1:13)),),OFFSET(TH!M$1,SMALL(Dong1,ROWS($1:13)),)))</f>
        <v>641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384545</v>
      </c>
      <c r="I26" s="87">
        <f t="shared" ca="1" si="0"/>
        <v>1343225532</v>
      </c>
      <c r="J26" s="92"/>
      <c r="N26" s="247"/>
      <c r="O26" s="247"/>
    </row>
    <row r="27" spans="1:15" s="80" customFormat="1" ht="21.75" customHeight="1">
      <c r="A27" s="86">
        <f ca="1">IF(ROWS($1:14)&gt;COUNT(Dong1),"",OFFSET(TH!C$1,SMALL(Dong1,ROWS($1:14)),))</f>
        <v>40758</v>
      </c>
      <c r="B27" s="86">
        <f ca="1">IF(ROWS($1:14)&gt;COUNT(Dong1),"",OFFSET(TH!E$1,SMALL(Dong1,ROWS($1:14)),))</f>
        <v>40758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5" t="str">
        <f ca="1">IF(ROWS($1:14)&gt;COUNT(Dong1),"",OFFSET(TH!F$1,SMALL(Dong1,ROWS($1:14)),))</f>
        <v>VAT Difsel 0.05S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37455</v>
      </c>
      <c r="I27" s="87">
        <f t="shared" ca="1" si="0"/>
        <v>1343188077</v>
      </c>
      <c r="J27" s="92"/>
      <c r="N27" s="247"/>
      <c r="O27" s="247"/>
    </row>
    <row r="28" spans="1:15" s="80" customFormat="1" ht="21.75" customHeight="1">
      <c r="A28" s="86">
        <f ca="1">IF(ROWS($1:15)&gt;COUNT(Dong1),"",OFFSET(TH!C$1,SMALL(Dong1,ROWS($1:15)),))</f>
        <v>40758</v>
      </c>
      <c r="B28" s="86">
        <f ca="1">IF(ROWS($1:15)&gt;COUNT(Dong1),"",OFFSET(TH!E$1,SMALL(Dong1,ROWS($1:15)),))</f>
        <v>40758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5" t="str">
        <f ca="1">IF(ROWS($1:15)&gt;COUNT(Dong1),"",OFFSET(TH!F$1,SMALL(Dong1,ROWS($1:15)),))</f>
        <v>Mực in VFLEX 1563 Black-378</v>
      </c>
      <c r="F28" s="90" t="str">
        <f ca="1">IF(ROWS($1:15)&gt;COUNT(Dong1),"",IF(OFFSET(TH!M$1,SMALL(Dong1,ROWS($1:15)),)="1111",OFFSET(TH!L$1,SMALL(Dong1,ROWS($1:15)),),OFFSET(TH!M$1,SMALL(Dong1,ROWS($1:15)),)))</f>
        <v>154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1600000</v>
      </c>
      <c r="I28" s="87">
        <f t="shared" ca="1" si="0"/>
        <v>1341588077</v>
      </c>
      <c r="J28" s="92"/>
      <c r="N28" s="247"/>
      <c r="O28" s="247"/>
    </row>
    <row r="29" spans="1:15" s="80" customFormat="1" ht="21.75" customHeight="1">
      <c r="A29" s="86">
        <f ca="1">IF(ROWS($1:16)&gt;COUNT(Dong1),"",OFFSET(TH!C$1,SMALL(Dong1,ROWS($1:16)),))</f>
        <v>40758</v>
      </c>
      <c r="B29" s="86">
        <f ca="1">IF(ROWS($1:16)&gt;COUNT(Dong1),"",OFFSET(TH!E$1,SMALL(Dong1,ROWS($1:16)),))</f>
        <v>40758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C09</v>
      </c>
      <c r="E29" s="135" t="str">
        <f ca="1">IF(ROWS($1:16)&gt;COUNT(Dong1),"",OFFSET(TH!F$1,SMALL(Dong1,ROWS($1:16)),))</f>
        <v>VAT Mực in VFLEX 1563 Black-378</v>
      </c>
      <c r="F29" s="90" t="str">
        <f ca="1">IF(ROWS($1:16)&gt;COUNT(Dong1),"",IF(OFFSET(TH!M$1,SMALL(Dong1,ROWS($1:16)),)="1111",OFFSET(TH!L$1,SMALL(Dong1,ROWS($1:16)),),OFFSET(TH!M$1,SMALL(Dong1,ROWS($1:16)),)))</f>
        <v>1331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160000</v>
      </c>
      <c r="I29" s="87">
        <f t="shared" ca="1" si="0"/>
        <v>1341428077</v>
      </c>
      <c r="J29" s="92"/>
      <c r="N29" s="247"/>
      <c r="O29" s="247"/>
    </row>
    <row r="30" spans="1:15" s="80" customFormat="1" ht="21.75" customHeight="1">
      <c r="A30" s="86">
        <f ca="1">IF(ROWS($1:17)&gt;COUNT(Dong1),"",OFFSET(TH!C$1,SMALL(Dong1,ROWS($1:17)),))</f>
        <v>40762</v>
      </c>
      <c r="B30" s="86">
        <f ca="1">IF(ROWS($1:17)&gt;COUNT(Dong1),"",OFFSET(TH!E$1,SMALL(Dong1,ROWS($1:17)),))</f>
        <v>40762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C10</v>
      </c>
      <c r="E30" s="135" t="str">
        <f ca="1">IF(ROWS($1:17)&gt;COUNT(Dong1),"",OFFSET(TH!F$1,SMALL(Dong1,ROWS($1:17)),))</f>
        <v>Difsel 0.05S, lệ phí xăng dầu</v>
      </c>
      <c r="F30" s="90" t="str">
        <f ca="1">IF(ROWS($1:17)&gt;COUNT(Dong1),"",IF(OFFSET(TH!M$1,SMALL(Dong1,ROWS($1:17)),)="1111",OFFSET(TH!L$1,SMALL(Dong1,ROWS($1:17)),),OFFSET(TH!M$1,SMALL(Dong1,ROWS($1:17)),)))</f>
        <v>641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455629</v>
      </c>
      <c r="I30" s="87">
        <f t="shared" ca="1" si="0"/>
        <v>1340972448</v>
      </c>
      <c r="J30" s="92"/>
      <c r="N30" s="247"/>
      <c r="O30" s="247"/>
    </row>
    <row r="31" spans="1:15" s="80" customFormat="1" ht="21.75" customHeight="1">
      <c r="A31" s="86">
        <f ca="1">IF(ROWS($1:18)&gt;COUNT(Dong1),"",OFFSET(TH!C$1,SMALL(Dong1,ROWS($1:18)),))</f>
        <v>40762</v>
      </c>
      <c r="B31" s="86">
        <f ca="1">IF(ROWS($1:18)&gt;COUNT(Dong1),"",OFFSET(TH!E$1,SMALL(Dong1,ROWS($1:18)),))</f>
        <v>40762</v>
      </c>
      <c r="C31" s="87" t="str">
        <f ca="1">IF(ROWS($1:18)&gt;COUNT(Dong1),"",IF(OFFSET(TH!L$1,SMALL(Dong1,ROWS($1:18)),)="1111",OFFSET(TH!D$1,SMALL(Dong1,ROWS($1:18)),),""))</f>
        <v/>
      </c>
      <c r="D31" s="88" t="str">
        <f ca="1">IF(ROWS($1:18)&gt;COUNT(Dong1),"",IF(OFFSET(TH!M$1,SMALL(Dong1,ROWS($1:18)),)="1111",OFFSET(TH!D$1,SMALL(Dong1,ROWS($1:18)),),""))</f>
        <v>C10</v>
      </c>
      <c r="E31" s="135" t="str">
        <f ca="1">IF(ROWS($1:18)&gt;COUNT(Dong1),"",OFFSET(TH!F$1,SMALL(Dong1,ROWS($1:18)),))</f>
        <v>VAT Difsel 0.05S</v>
      </c>
      <c r="F31" s="90" t="str">
        <f ca="1">IF(ROWS($1:18)&gt;COUNT(Dong1),"",IF(OFFSET(TH!M$1,SMALL(Dong1,ROWS($1:18)),)="1111",OFFSET(TH!L$1,SMALL(Dong1,ROWS($1:18)),),OFFSET(TH!M$1,SMALL(Dong1,ROWS($1:18)),)))</f>
        <v>1331</v>
      </c>
      <c r="G31" s="91">
        <f ca="1">IF(ROWS($1:18)&gt;COUNT(Dong1),"",IF(OFFSET(TH!L$1,SMALL(Dong1,ROWS($1:18)),)="1111",OFFSET(TH!K$1,SMALL(Dong1,ROWS($1:18)),),0))</f>
        <v>0</v>
      </c>
      <c r="H31" s="89">
        <f ca="1">IF(ROWS($1:18)&gt;COUNT(Dong1),"",IF(OFFSET(TH!M$1,SMALL(Dong1,ROWS($1:18)),)="1111",OFFSET(TH!K$1,SMALL(Dong1,ROWS($1:18)),),0))</f>
        <v>44378</v>
      </c>
      <c r="I31" s="87">
        <f t="shared" ca="1" si="0"/>
        <v>1340928070</v>
      </c>
      <c r="J31" s="92"/>
      <c r="N31" s="247"/>
      <c r="O31" s="247"/>
    </row>
    <row r="32" spans="1:15" s="80" customFormat="1" ht="21.75" customHeight="1">
      <c r="A32" s="86">
        <f ca="1">IF(ROWS($1:19)&gt;COUNT(Dong1),"",OFFSET(TH!C$1,SMALL(Dong1,ROWS($1:19)),))</f>
        <v>40764</v>
      </c>
      <c r="B32" s="86">
        <f ca="1">IF(ROWS($1:19)&gt;COUNT(Dong1),"",OFFSET(TH!E$1,SMALL(Dong1,ROWS($1:19)),))</f>
        <v>40764</v>
      </c>
      <c r="C32" s="87" t="str">
        <f ca="1">IF(ROWS($1:19)&gt;COUNT(Dong1),"",IF(OFFSET(TH!L$1,SMALL(Dong1,ROWS($1:19)),)="1111",OFFSET(TH!D$1,SMALL(Dong1,ROWS($1:19)),),""))</f>
        <v>T02</v>
      </c>
      <c r="D32" s="88" t="str">
        <f ca="1">IF(ROWS($1:19)&gt;COUNT(Dong1),"",IF(OFFSET(TH!M$1,SMALL(Dong1,ROWS($1:19)),)="1111",OFFSET(TH!D$1,SMALL(Dong1,ROWS($1:19)),),""))</f>
        <v/>
      </c>
      <c r="E32" s="135" t="str">
        <f ca="1">IF(ROWS($1:19)&gt;COUNT(Dong1),"",OFFSET(TH!F$1,SMALL(Dong1,ROWS($1:19)),))</f>
        <v>Thùng 5 lớp không in</v>
      </c>
      <c r="F32" s="90" t="str">
        <f ca="1">IF(ROWS($1:19)&gt;COUNT(Dong1),"",IF(OFFSET(TH!M$1,SMALL(Dong1,ROWS($1:19)),)="1111",OFFSET(TH!L$1,SMALL(Dong1,ROWS($1:19)),),OFFSET(TH!M$1,SMALL(Dong1,ROWS($1:19)),)))</f>
        <v>131</v>
      </c>
      <c r="G32" s="91">
        <f ca="1">IF(ROWS($1:19)&gt;COUNT(Dong1),"",IF(OFFSET(TH!L$1,SMALL(Dong1,ROWS($1:19)),)="1111",OFFSET(TH!K$1,SMALL(Dong1,ROWS($1:19)),),0))</f>
        <v>11858000</v>
      </c>
      <c r="H32" s="89">
        <f ca="1">IF(ROWS($1:19)&gt;COUNT(Dong1),"",IF(OFFSET(TH!M$1,SMALL(Dong1,ROWS($1:19)),)="1111",OFFSET(TH!K$1,SMALL(Dong1,ROWS($1:19)),),0))</f>
        <v>0</v>
      </c>
      <c r="I32" s="87">
        <f t="shared" ca="1" si="0"/>
        <v>1352786070</v>
      </c>
      <c r="J32" s="92"/>
      <c r="N32" s="247"/>
      <c r="O32" s="247"/>
    </row>
    <row r="33" spans="1:15" s="80" customFormat="1" ht="21.75" customHeight="1">
      <c r="A33" s="86">
        <f ca="1">IF(ROWS($1:20)&gt;COUNT(Dong1),"",OFFSET(TH!C$1,SMALL(Dong1,ROWS($1:20)),))</f>
        <v>40766</v>
      </c>
      <c r="B33" s="86">
        <f ca="1">IF(ROWS($1:20)&gt;COUNT(Dong1),"",OFFSET(TH!E$1,SMALL(Dong1,ROWS($1:20)),))</f>
        <v>40766</v>
      </c>
      <c r="C33" s="87" t="str">
        <f ca="1">IF(ROWS($1:20)&gt;COUNT(Dong1),"",IF(OFFSET(TH!L$1,SMALL(Dong1,ROWS($1:20)),)="1111",OFFSET(TH!D$1,SMALL(Dong1,ROWS($1:20)),),""))</f>
        <v>T03</v>
      </c>
      <c r="D33" s="88" t="str">
        <f ca="1">IF(ROWS($1:20)&gt;COUNT(Dong1),"",IF(OFFSET(TH!M$1,SMALL(Dong1,ROWS($1:20)),)="1111",OFFSET(TH!D$1,SMALL(Dong1,ROWS($1:20)),),""))</f>
        <v/>
      </c>
      <c r="E33" s="135" t="str">
        <f ca="1">IF(ROWS($1:20)&gt;COUNT(Dong1),"",OFFSET(TH!F$1,SMALL(Dong1,ROWS($1:20)),))</f>
        <v>Rút tiền nhập quỹ tiền mặt</v>
      </c>
      <c r="F33" s="90" t="str">
        <f ca="1">IF(ROWS($1:20)&gt;COUNT(Dong1),"",IF(OFFSET(TH!M$1,SMALL(Dong1,ROWS($1:20)),)="1111",OFFSET(TH!L$1,SMALL(Dong1,ROWS($1:20)),),OFFSET(TH!M$1,SMALL(Dong1,ROWS($1:20)),)))</f>
        <v>1121</v>
      </c>
      <c r="G33" s="91">
        <f ca="1">IF(ROWS($1:20)&gt;COUNT(Dong1),"",IF(OFFSET(TH!L$1,SMALL(Dong1,ROWS($1:20)),)="1111",OFFSET(TH!K$1,SMALL(Dong1,ROWS($1:20)),),0))</f>
        <v>35000000</v>
      </c>
      <c r="H33" s="89">
        <f ca="1">IF(ROWS($1:20)&gt;COUNT(Dong1),"",IF(OFFSET(TH!M$1,SMALL(Dong1,ROWS($1:20)),)="1111",OFFSET(TH!K$1,SMALL(Dong1,ROWS($1:20)),),0))</f>
        <v>0</v>
      </c>
      <c r="I33" s="87">
        <f t="shared" ca="1" si="0"/>
        <v>1387786070</v>
      </c>
      <c r="J33" s="92"/>
      <c r="N33" s="247"/>
      <c r="O33" s="247"/>
    </row>
    <row r="34" spans="1:15" s="80" customFormat="1" ht="21.75" customHeight="1">
      <c r="A34" s="86">
        <f ca="1">IF(ROWS($1:21)&gt;COUNT(Dong1),"",OFFSET(TH!C$1,SMALL(Dong1,ROWS($1:21)),))</f>
        <v>40772</v>
      </c>
      <c r="B34" s="86">
        <f ca="1">IF(ROWS($1:21)&gt;COUNT(Dong1),"",OFFSET(TH!E$1,SMALL(Dong1,ROWS($1:21)),))</f>
        <v>40772</v>
      </c>
      <c r="C34" s="87" t="str">
        <f ca="1">IF(ROWS($1:21)&gt;COUNT(Dong1),"",IF(OFFSET(TH!L$1,SMALL(Dong1,ROWS($1:21)),)="1111",OFFSET(TH!D$1,SMALL(Dong1,ROWS($1:21)),),""))</f>
        <v/>
      </c>
      <c r="D34" s="88" t="str">
        <f ca="1">IF(ROWS($1:21)&gt;COUNT(Dong1),"",IF(OFFSET(TH!M$1,SMALL(Dong1,ROWS($1:21)),)="1111",OFFSET(TH!D$1,SMALL(Dong1,ROWS($1:21)),),""))</f>
        <v>C11</v>
      </c>
      <c r="E34" s="135" t="str">
        <f ca="1">IF(ROWS($1:21)&gt;COUNT(Dong1),"",OFFSET(TH!F$1,SMALL(Dong1,ROWS($1:21)),))</f>
        <v>Mực in V-FLEX Red-R032</v>
      </c>
      <c r="F34" s="90" t="str">
        <f ca="1">IF(ROWS($1:21)&gt;COUNT(Dong1),"",IF(OFFSET(TH!M$1,SMALL(Dong1,ROWS($1:21)),)="1111",OFFSET(TH!L$1,SMALL(Dong1,ROWS($1:21)),),OFFSET(TH!M$1,SMALL(Dong1,ROWS($1:21)),)))</f>
        <v>154</v>
      </c>
      <c r="G34" s="91">
        <f ca="1">IF(ROWS($1:21)&gt;COUNT(Dong1),"",IF(OFFSET(TH!L$1,SMALL(Dong1,ROWS($1:21)),)="1111",OFFSET(TH!K$1,SMALL(Dong1,ROWS($1:21)),),0))</f>
        <v>0</v>
      </c>
      <c r="H34" s="89">
        <f ca="1">IF(ROWS($1:21)&gt;COUNT(Dong1),"",IF(OFFSET(TH!M$1,SMALL(Dong1,ROWS($1:21)),)="1111",OFFSET(TH!K$1,SMALL(Dong1,ROWS($1:21)),),0))</f>
        <v>1360000</v>
      </c>
      <c r="I34" s="87">
        <f t="shared" ca="1" si="0"/>
        <v>1386426070</v>
      </c>
      <c r="J34" s="92"/>
      <c r="N34" s="247"/>
      <c r="O34" s="247"/>
    </row>
    <row r="35" spans="1:15" s="80" customFormat="1" ht="21.75" customHeight="1">
      <c r="A35" s="86">
        <f ca="1">IF(ROWS($1:22)&gt;COUNT(Dong1),"",OFFSET(TH!C$1,SMALL(Dong1,ROWS($1:22)),))</f>
        <v>40772</v>
      </c>
      <c r="B35" s="86">
        <f ca="1">IF(ROWS($1:22)&gt;COUNT(Dong1),"",OFFSET(TH!E$1,SMALL(Dong1,ROWS($1:22)),))</f>
        <v>40772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C11</v>
      </c>
      <c r="E35" s="135" t="str">
        <f ca="1">IF(ROWS($1:22)&gt;COUNT(Dong1),"",OFFSET(TH!F$1,SMALL(Dong1,ROWS($1:22)),))</f>
        <v>VAT Mực in V-FLEX Red-R032</v>
      </c>
      <c r="F35" s="90" t="str">
        <f ca="1">IF(ROWS($1:22)&gt;COUNT(Dong1),"",IF(OFFSET(TH!M$1,SMALL(Dong1,ROWS($1:22)),)="1111",OFFSET(TH!L$1,SMALL(Dong1,ROWS($1:22)),),OFFSET(TH!M$1,SMALL(Dong1,ROWS($1:22)),)))</f>
        <v>1331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136000</v>
      </c>
      <c r="I35" s="87">
        <f t="shared" ca="1" si="0"/>
        <v>1386290070</v>
      </c>
      <c r="J35" s="92"/>
      <c r="N35" s="247"/>
      <c r="O35" s="247"/>
    </row>
    <row r="36" spans="1:15" s="80" customFormat="1" ht="21.75" customHeight="1">
      <c r="A36" s="86">
        <f ca="1">IF(ROWS($1:23)&gt;COUNT(Dong1),"",OFFSET(TH!C$1,SMALL(Dong1,ROWS($1:23)),))</f>
        <v>40772</v>
      </c>
      <c r="B36" s="86">
        <f ca="1">IF(ROWS($1:23)&gt;COUNT(Dong1),"",OFFSET(TH!E$1,SMALL(Dong1,ROWS($1:23)),))</f>
        <v>40772</v>
      </c>
      <c r="C36" s="87" t="str">
        <f ca="1">IF(ROWS($1:23)&gt;COUNT(Dong1),"",IF(OFFSET(TH!L$1,SMALL(Dong1,ROWS($1:23)),)="1111",OFFSET(TH!D$1,SMALL(Dong1,ROWS($1:23)),),""))</f>
        <v>T04</v>
      </c>
      <c r="D36" s="88" t="str">
        <f ca="1">IF(ROWS($1:23)&gt;COUNT(Dong1),"",IF(OFFSET(TH!M$1,SMALL(Dong1,ROWS($1:23)),)="1111",OFFSET(TH!D$1,SMALL(Dong1,ROWS($1:23)),),""))</f>
        <v/>
      </c>
      <c r="E36" s="135" t="str">
        <f ca="1">IF(ROWS($1:23)&gt;COUNT(Dong1),"",OFFSET(TH!F$1,SMALL(Dong1,ROWS($1:23)),))</f>
        <v>Thu tiền hàng</v>
      </c>
      <c r="F36" s="90" t="str">
        <f ca="1">IF(ROWS($1:23)&gt;COUNT(Dong1),"",IF(OFFSET(TH!M$1,SMALL(Dong1,ROWS($1:23)),)="1111",OFFSET(TH!L$1,SMALL(Dong1,ROWS($1:23)),),OFFSET(TH!M$1,SMALL(Dong1,ROWS($1:23)),)))</f>
        <v>131</v>
      </c>
      <c r="G36" s="91">
        <f ca="1">IF(ROWS($1:23)&gt;COUNT(Dong1),"",IF(OFFSET(TH!L$1,SMALL(Dong1,ROWS($1:23)),)="1111",OFFSET(TH!K$1,SMALL(Dong1,ROWS($1:23)),),0))</f>
        <v>12100000</v>
      </c>
      <c r="H36" s="89">
        <f ca="1">IF(ROWS($1:23)&gt;COUNT(Dong1),"",IF(OFFSET(TH!M$1,SMALL(Dong1,ROWS($1:23)),)="1111",OFFSET(TH!K$1,SMALL(Dong1,ROWS($1:23)),),0))</f>
        <v>0</v>
      </c>
      <c r="I36" s="87">
        <f t="shared" ca="1" si="0"/>
        <v>1398390070</v>
      </c>
      <c r="J36" s="92"/>
      <c r="N36" s="247"/>
      <c r="O36" s="247"/>
    </row>
    <row r="37" spans="1:15" s="80" customFormat="1" ht="21.75" customHeight="1">
      <c r="A37" s="86">
        <f ca="1">IF(ROWS($1:24)&gt;COUNT(Dong1),"",OFFSET(TH!C$1,SMALL(Dong1,ROWS($1:24)),))</f>
        <v>40775</v>
      </c>
      <c r="B37" s="86">
        <f ca="1">IF(ROWS($1:24)&gt;COUNT(Dong1),"",OFFSET(TH!E$1,SMALL(Dong1,ROWS($1:24)),))</f>
        <v>40775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C12</v>
      </c>
      <c r="E37" s="135" t="str">
        <f ca="1">IF(ROWS($1:24)&gt;COUNT(Dong1),"",OFFSET(TH!F$1,SMALL(Dong1,ROWS($1:24)),))</f>
        <v>Tiền điện</v>
      </c>
      <c r="F37" s="90" t="str">
        <f ca="1">IF(ROWS($1:24)&gt;COUNT(Dong1),"",IF(OFFSET(TH!M$1,SMALL(Dong1,ROWS($1:24)),)="1111",OFFSET(TH!L$1,SMALL(Dong1,ROWS($1:24)),),OFFSET(TH!M$1,SMALL(Dong1,ROWS($1:24)),)))</f>
        <v>154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569500</v>
      </c>
      <c r="I37" s="87">
        <f t="shared" ca="1" si="0"/>
        <v>1397820570</v>
      </c>
      <c r="J37" s="92"/>
      <c r="N37" s="247"/>
      <c r="O37" s="247"/>
    </row>
    <row r="38" spans="1:15" s="80" customFormat="1" ht="21.75" customHeight="1">
      <c r="A38" s="86">
        <f ca="1">IF(ROWS($1:25)&gt;COUNT(Dong1),"",OFFSET(TH!C$1,SMALL(Dong1,ROWS($1:25)),))</f>
        <v>40775</v>
      </c>
      <c r="B38" s="86">
        <f ca="1">IF(ROWS($1:25)&gt;COUNT(Dong1),"",OFFSET(TH!E$1,SMALL(Dong1,ROWS($1:25)),))</f>
        <v>40775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C12</v>
      </c>
      <c r="E38" s="135" t="str">
        <f ca="1">IF(ROWS($1:25)&gt;COUNT(Dong1),"",OFFSET(TH!F$1,SMALL(Dong1,ROWS($1:25)),))</f>
        <v>VAT Tiền điện</v>
      </c>
      <c r="F38" s="90" t="str">
        <f ca="1">IF(ROWS($1:25)&gt;COUNT(Dong1),"",IF(OFFSET(TH!M$1,SMALL(Dong1,ROWS($1:25)),)="1111",OFFSET(TH!L$1,SMALL(Dong1,ROWS($1:25)),),OFFSET(TH!M$1,SMALL(Dong1,ROWS($1:25)),)))</f>
        <v>1331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56950</v>
      </c>
      <c r="I38" s="87">
        <f t="shared" ca="1" si="0"/>
        <v>1397763620</v>
      </c>
      <c r="J38" s="92"/>
      <c r="N38" s="247"/>
      <c r="O38" s="247"/>
    </row>
    <row r="39" spans="1:15" s="80" customFormat="1" ht="21.75" customHeight="1">
      <c r="A39" s="86">
        <f ca="1">IF(ROWS($1:26)&gt;COUNT(Dong1),"",OFFSET(TH!C$1,SMALL(Dong1,ROWS($1:26)),))</f>
        <v>40775</v>
      </c>
      <c r="B39" s="86">
        <f ca="1">IF(ROWS($1:26)&gt;COUNT(Dong1),"",OFFSET(TH!E$1,SMALL(Dong1,ROWS($1:26)),))</f>
        <v>40775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C13</v>
      </c>
      <c r="E39" s="135" t="str">
        <f ca="1">IF(ROWS($1:26)&gt;COUNT(Dong1),"",OFFSET(TH!F$1,SMALL(Dong1,ROWS($1:26)),))</f>
        <v>Dịch vụ viễn thông</v>
      </c>
      <c r="F39" s="90" t="str">
        <f ca="1">IF(ROWS($1:26)&gt;COUNT(Dong1),"",IF(OFFSET(TH!M$1,SMALL(Dong1,ROWS($1:26)),)="1111",OFFSET(TH!L$1,SMALL(Dong1,ROWS($1:26)),),OFFSET(TH!M$1,SMALL(Dong1,ROWS($1:26)),)))</f>
        <v>642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752211</v>
      </c>
      <c r="I39" s="87">
        <f t="shared" ca="1" si="0"/>
        <v>1397011409</v>
      </c>
      <c r="J39" s="92"/>
      <c r="N39" s="247"/>
      <c r="O39" s="247"/>
    </row>
    <row r="40" spans="1:15" s="80" customFormat="1" ht="21.75" customHeight="1">
      <c r="A40" s="86">
        <f ca="1">IF(ROWS($1:27)&gt;COUNT(Dong1),"",OFFSET(TH!C$1,SMALL(Dong1,ROWS($1:27)),))</f>
        <v>40775</v>
      </c>
      <c r="B40" s="86">
        <f ca="1">IF(ROWS($1:27)&gt;COUNT(Dong1),"",OFFSET(TH!E$1,SMALL(Dong1,ROWS($1:27)),))</f>
        <v>40775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C13</v>
      </c>
      <c r="E40" s="135" t="str">
        <f ca="1">IF(ROWS($1:27)&gt;COUNT(Dong1),"",OFFSET(TH!F$1,SMALL(Dong1,ROWS($1:27)),))</f>
        <v>VAT Dịch vụ viễn thông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75221</v>
      </c>
      <c r="I40" s="87">
        <f t="shared" ca="1" si="0"/>
        <v>1396936188</v>
      </c>
      <c r="J40" s="92"/>
      <c r="N40" s="247"/>
      <c r="O40" s="247"/>
    </row>
    <row r="41" spans="1:15" s="80" customFormat="1" ht="21.75" customHeight="1">
      <c r="A41" s="86">
        <f ca="1">IF(ROWS($1:28)&gt;COUNT(Dong1),"",OFFSET(TH!C$1,SMALL(Dong1,ROWS($1:28)),))</f>
        <v>40780</v>
      </c>
      <c r="B41" s="86">
        <f ca="1">IF(ROWS($1:28)&gt;COUNT(Dong1),"",OFFSET(TH!E$1,SMALL(Dong1,ROWS($1:28)),))</f>
        <v>40780</v>
      </c>
      <c r="C41" s="87" t="str">
        <f ca="1">IF(ROWS($1:28)&gt;COUNT(Dong1),"",IF(OFFSET(TH!L$1,SMALL(Dong1,ROWS($1:28)),)="1111",OFFSET(TH!D$1,SMALL(Dong1,ROWS($1:28)),),""))</f>
        <v>T05</v>
      </c>
      <c r="D41" s="88" t="str">
        <f ca="1">IF(ROWS($1:28)&gt;COUNT(Dong1),"",IF(OFFSET(TH!M$1,SMALL(Dong1,ROWS($1:28)),)="1111",OFFSET(TH!D$1,SMALL(Dong1,ROWS($1:28)),),""))</f>
        <v/>
      </c>
      <c r="E41" s="135" t="str">
        <f ca="1">IF(ROWS($1:28)&gt;COUNT(Dong1),"",OFFSET(TH!F$1,SMALL(Dong1,ROWS($1:28)),))</f>
        <v>Thu tiền hàng</v>
      </c>
      <c r="F41" s="90" t="str">
        <f ca="1">IF(ROWS($1:28)&gt;COUNT(Dong1),"",IF(OFFSET(TH!M$1,SMALL(Dong1,ROWS($1:28)),)="1111",OFFSET(TH!L$1,SMALL(Dong1,ROWS($1:28)),),OFFSET(TH!M$1,SMALL(Dong1,ROWS($1:28)),)))</f>
        <v>131</v>
      </c>
      <c r="G41" s="91">
        <f ca="1">IF(ROWS($1:28)&gt;COUNT(Dong1),"",IF(OFFSET(TH!L$1,SMALL(Dong1,ROWS($1:28)),)="1111",OFFSET(TH!K$1,SMALL(Dong1,ROWS($1:28)),),0))</f>
        <v>9791100</v>
      </c>
      <c r="H41" s="89">
        <f ca="1">IF(ROWS($1:28)&gt;COUNT(Dong1),"",IF(OFFSET(TH!M$1,SMALL(Dong1,ROWS($1:28)),)="1111",OFFSET(TH!K$1,SMALL(Dong1,ROWS($1:28)),),0))</f>
        <v>0</v>
      </c>
      <c r="I41" s="87">
        <f t="shared" ca="1" si="0"/>
        <v>1406727288</v>
      </c>
      <c r="J41" s="92"/>
      <c r="N41" s="247"/>
      <c r="O41" s="247"/>
    </row>
    <row r="42" spans="1:15" s="80" customFormat="1" ht="21.75" customHeight="1">
      <c r="A42" s="86">
        <f ca="1">IF(ROWS($1:29)&gt;COUNT(Dong1),"",OFFSET(TH!C$1,SMALL(Dong1,ROWS($1:29)),))</f>
        <v>40786</v>
      </c>
      <c r="B42" s="86">
        <f ca="1">IF(ROWS($1:29)&gt;COUNT(Dong1),"",OFFSET(TH!E$1,SMALL(Dong1,ROWS($1:29)),))</f>
        <v>40786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C14</v>
      </c>
      <c r="E42" s="135" t="str">
        <f ca="1">IF(ROWS($1:29)&gt;COUNT(Dong1),"",OFFSET(TH!F$1,SMALL(Dong1,ROWS($1:29)),))</f>
        <v>Thanh toán tiền lương tháng 8/2011</v>
      </c>
      <c r="F42" s="90" t="str">
        <f ca="1">IF(ROWS($1:29)&gt;COUNT(Dong1),"",IF(OFFSET(TH!M$1,SMALL(Dong1,ROWS($1:29)),)="1111",OFFSET(TH!L$1,SMALL(Dong1,ROWS($1:29)),),OFFSET(TH!M$1,SMALL(Dong1,ROWS($1:29)),)))</f>
        <v>3341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13430000</v>
      </c>
      <c r="I42" s="87">
        <f t="shared" ca="1" si="0"/>
        <v>1393297288</v>
      </c>
      <c r="J42" s="92"/>
      <c r="N42" s="247"/>
      <c r="O42" s="247"/>
    </row>
    <row r="43" spans="1:15" s="80" customFormat="1" ht="21.75" customHeight="1">
      <c r="A43" s="86">
        <f ca="1">IF(ROWS($1:30)&gt;COUNT(Dong1),"",OFFSET(TH!C$1,SMALL(Dong1,ROWS($1:30)),))</f>
        <v>40798</v>
      </c>
      <c r="B43" s="86">
        <f ca="1">IF(ROWS($1:30)&gt;COUNT(Dong1),"",OFFSET(TH!E$1,SMALL(Dong1,ROWS($1:30)),))</f>
        <v>40798</v>
      </c>
      <c r="C43" s="87" t="str">
        <f ca="1">IF(ROWS($1:30)&gt;COUNT(Dong1),"",IF(OFFSET(TH!L$1,SMALL(Dong1,ROWS($1:30)),)="1111",OFFSET(TH!D$1,SMALL(Dong1,ROWS($1:30)),),""))</f>
        <v>T06</v>
      </c>
      <c r="D43" s="88" t="str">
        <f ca="1">IF(ROWS($1:30)&gt;COUNT(Dong1),"",IF(OFFSET(TH!M$1,SMALL(Dong1,ROWS($1:30)),)="1111",OFFSET(TH!D$1,SMALL(Dong1,ROWS($1:30)),),""))</f>
        <v/>
      </c>
      <c r="E43" s="135" t="str">
        <f ca="1">IF(ROWS($1:30)&gt;COUNT(Dong1),"",OFFSET(TH!F$1,SMALL(Dong1,ROWS($1:30)),))</f>
        <v>Rút tiền sec  nhập quỹ tiền mặt</v>
      </c>
      <c r="F43" s="90" t="str">
        <f ca="1">IF(ROWS($1:30)&gt;COUNT(Dong1),"",IF(OFFSET(TH!M$1,SMALL(Dong1,ROWS($1:30)),)="1111",OFFSET(TH!L$1,SMALL(Dong1,ROWS($1:30)),),OFFSET(TH!M$1,SMALL(Dong1,ROWS($1:30)),)))</f>
        <v>1121</v>
      </c>
      <c r="G43" s="91">
        <f ca="1">IF(ROWS($1:30)&gt;COUNT(Dong1),"",IF(OFFSET(TH!L$1,SMALL(Dong1,ROWS($1:30)),)="1111",OFFSET(TH!K$1,SMALL(Dong1,ROWS($1:30)),),0))</f>
        <v>86000000</v>
      </c>
      <c r="H43" s="89">
        <f ca="1">IF(ROWS($1:30)&gt;COUNT(Dong1),"",IF(OFFSET(TH!M$1,SMALL(Dong1,ROWS($1:30)),)="1111",OFFSET(TH!K$1,SMALL(Dong1,ROWS($1:30)),),0))</f>
        <v>0</v>
      </c>
      <c r="I43" s="87">
        <f t="shared" ca="1" si="0"/>
        <v>1479297288</v>
      </c>
      <c r="J43" s="92"/>
      <c r="N43" s="247"/>
      <c r="O43" s="247"/>
    </row>
    <row r="44" spans="1:15" s="80" customFormat="1" ht="21.75" customHeight="1">
      <c r="A44" s="86">
        <f ca="1">IF(ROWS($1:31)&gt;COUNT(Dong1),"",OFFSET(TH!C$1,SMALL(Dong1,ROWS($1:31)),))</f>
        <v>40799</v>
      </c>
      <c r="B44" s="86">
        <f ca="1">IF(ROWS($1:31)&gt;COUNT(Dong1),"",OFFSET(TH!E$1,SMALL(Dong1,ROWS($1:31)),))</f>
        <v>40799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C15</v>
      </c>
      <c r="E44" s="135" t="str">
        <f ca="1">IF(ROWS($1:31)&gt;COUNT(Dong1),"",OFFSET(TH!F$1,SMALL(Dong1,ROWS($1:31)),))</f>
        <v>PC để bàn, màn hình</v>
      </c>
      <c r="F44" s="90" t="str">
        <f ca="1">IF(ROWS($1:31)&gt;COUNT(Dong1),"",IF(OFFSET(TH!M$1,SMALL(Dong1,ROWS($1:31)),)="1111",OFFSET(TH!L$1,SMALL(Dong1,ROWS($1:31)),),OFFSET(TH!M$1,SMALL(Dong1,ROWS($1:31)),)))</f>
        <v>142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6089091</v>
      </c>
      <c r="I44" s="87">
        <f t="shared" ca="1" si="0"/>
        <v>1473208197</v>
      </c>
      <c r="J44" s="92"/>
      <c r="N44" s="247"/>
      <c r="O44" s="247"/>
    </row>
    <row r="45" spans="1:15" s="80" customFormat="1" ht="21.75" customHeight="1">
      <c r="A45" s="86">
        <f ca="1">IF(ROWS($1:32)&gt;COUNT(Dong1),"",OFFSET(TH!C$1,SMALL(Dong1,ROWS($1:32)),))</f>
        <v>40799</v>
      </c>
      <c r="B45" s="86">
        <f ca="1">IF(ROWS($1:32)&gt;COUNT(Dong1),"",OFFSET(TH!E$1,SMALL(Dong1,ROWS($1:32)),))</f>
        <v>40799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C15</v>
      </c>
      <c r="E45" s="135" t="str">
        <f ca="1">IF(ROWS($1:32)&gt;COUNT(Dong1),"",OFFSET(TH!F$1,SMALL(Dong1,ROWS($1:32)),))</f>
        <v>VAT PC để bàn, màn hình</v>
      </c>
      <c r="F45" s="90" t="str">
        <f ca="1">IF(ROWS($1:32)&gt;COUNT(Dong1),"",IF(OFFSET(TH!M$1,SMALL(Dong1,ROWS($1:32)),)="1111",OFFSET(TH!L$1,SMALL(Dong1,ROWS($1:32)),),OFFSET(TH!M$1,SMALL(Dong1,ROWS($1:32)),)))</f>
        <v>1331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608909</v>
      </c>
      <c r="I45" s="87">
        <f t="shared" ca="1" si="0"/>
        <v>1472599288</v>
      </c>
      <c r="J45" s="92"/>
      <c r="N45" s="247"/>
      <c r="O45" s="247"/>
    </row>
    <row r="46" spans="1:15" s="80" customFormat="1" ht="21.75" customHeight="1">
      <c r="A46" s="86">
        <f ca="1">IF(ROWS($1:33)&gt;COUNT(Dong1),"",OFFSET(TH!C$1,SMALL(Dong1,ROWS($1:33)),))</f>
        <v>40801</v>
      </c>
      <c r="B46" s="86">
        <f ca="1">IF(ROWS($1:33)&gt;COUNT(Dong1),"",OFFSET(TH!E$1,SMALL(Dong1,ROWS($1:33)),))</f>
        <v>40801</v>
      </c>
      <c r="C46" s="87" t="str">
        <f ca="1">IF(ROWS($1:33)&gt;COUNT(Dong1),"",IF(OFFSET(TH!L$1,SMALL(Dong1,ROWS($1:33)),)="1111",OFFSET(TH!D$1,SMALL(Dong1,ROWS($1:33)),),""))</f>
        <v>T07</v>
      </c>
      <c r="D46" s="88" t="str">
        <f ca="1">IF(ROWS($1:33)&gt;COUNT(Dong1),"",IF(OFFSET(TH!M$1,SMALL(Dong1,ROWS($1:33)),)="1111",OFFSET(TH!D$1,SMALL(Dong1,ROWS($1:33)),),""))</f>
        <v/>
      </c>
      <c r="E46" s="135" t="str">
        <f ca="1">IF(ROWS($1:33)&gt;COUNT(Dong1),"",OFFSET(TH!F$1,SMALL(Dong1,ROWS($1:33)),))</f>
        <v>Thu tiền hàng</v>
      </c>
      <c r="F46" s="90" t="str">
        <f ca="1">IF(ROWS($1:33)&gt;COUNT(Dong1),"",IF(OFFSET(TH!M$1,SMALL(Dong1,ROWS($1:33)),)="1111",OFFSET(TH!L$1,SMALL(Dong1,ROWS($1:33)),),OFFSET(TH!M$1,SMALL(Dong1,ROWS($1:33)),)))</f>
        <v>131</v>
      </c>
      <c r="G46" s="91">
        <f ca="1">IF(ROWS($1:33)&gt;COUNT(Dong1),"",IF(OFFSET(TH!L$1,SMALL(Dong1,ROWS($1:33)),)="1111",OFFSET(TH!K$1,SMALL(Dong1,ROWS($1:33)),),0))</f>
        <v>7139000</v>
      </c>
      <c r="H46" s="89">
        <f ca="1">IF(ROWS($1:33)&gt;COUNT(Dong1),"",IF(OFFSET(TH!M$1,SMALL(Dong1,ROWS($1:33)),)="1111",OFFSET(TH!K$1,SMALL(Dong1,ROWS($1:33)),),0))</f>
        <v>0</v>
      </c>
      <c r="I46" s="87">
        <f t="shared" ca="1" si="0"/>
        <v>1479738288</v>
      </c>
      <c r="J46" s="92"/>
      <c r="N46" s="247"/>
      <c r="O46" s="247"/>
    </row>
    <row r="47" spans="1:15" s="80" customFormat="1" ht="21.75" customHeight="1">
      <c r="A47" s="86">
        <f ca="1">IF(ROWS($1:34)&gt;COUNT(Dong1),"",OFFSET(TH!C$1,SMALL(Dong1,ROWS($1:34)),))</f>
        <v>40802</v>
      </c>
      <c r="B47" s="86">
        <f ca="1">IF(ROWS($1:34)&gt;COUNT(Dong1),"",OFFSET(TH!E$1,SMALL(Dong1,ROWS($1:34)),))</f>
        <v>40802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C16</v>
      </c>
      <c r="E47" s="135" t="str">
        <f ca="1">IF(ROWS($1:34)&gt;COUNT(Dong1),"",OFFSET(TH!F$1,SMALL(Dong1,ROWS($1:34)),))</f>
        <v>Nộp tiền mặt vào tài khoản</v>
      </c>
      <c r="F47" s="90" t="str">
        <f ca="1">IF(ROWS($1:34)&gt;COUNT(Dong1),"",IF(OFFSET(TH!M$1,SMALL(Dong1,ROWS($1:34)),)="1111",OFFSET(TH!L$1,SMALL(Dong1,ROWS($1:34)),),OFFSET(TH!M$1,SMALL(Dong1,ROWS($1:34)),)))</f>
        <v>1121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33000000</v>
      </c>
      <c r="I47" s="87">
        <f t="shared" ca="1" si="0"/>
        <v>1446738288</v>
      </c>
      <c r="J47" s="92"/>
      <c r="N47" s="247"/>
      <c r="O47" s="247"/>
    </row>
    <row r="48" spans="1:15" s="80" customFormat="1" ht="21.75" customHeight="1">
      <c r="A48" s="86">
        <f ca="1">IF(ROWS($1:35)&gt;COUNT(Dong1),"",OFFSET(TH!C$1,SMALL(Dong1,ROWS($1:35)),))</f>
        <v>40803</v>
      </c>
      <c r="B48" s="86">
        <f ca="1">IF(ROWS($1:35)&gt;COUNT(Dong1),"",OFFSET(TH!E$1,SMALL(Dong1,ROWS($1:35)),))</f>
        <v>40803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C17</v>
      </c>
      <c r="E48" s="135" t="str">
        <f ca="1">IF(ROWS($1:35)&gt;COUNT(Dong1),"",OFFSET(TH!F$1,SMALL(Dong1,ROWS($1:35)),))</f>
        <v>Tiền điện</v>
      </c>
      <c r="F48" s="90" t="str">
        <f ca="1">IF(ROWS($1:35)&gt;COUNT(Dong1),"",IF(OFFSET(TH!M$1,SMALL(Dong1,ROWS($1:35)),)="1111",OFFSET(TH!L$1,SMALL(Dong1,ROWS($1:35)),),OFFSET(TH!M$1,SMALL(Dong1,ROWS($1:35)),)))</f>
        <v>154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250580</v>
      </c>
      <c r="I48" s="87">
        <f t="shared" ca="1" si="0"/>
        <v>1446487708</v>
      </c>
      <c r="J48" s="92"/>
      <c r="N48" s="247"/>
      <c r="O48" s="247"/>
    </row>
    <row r="49" spans="1:15" s="80" customFormat="1" ht="21.75" customHeight="1">
      <c r="A49" s="86">
        <f ca="1">IF(ROWS($1:36)&gt;COUNT(Dong1),"",OFFSET(TH!C$1,SMALL(Dong1,ROWS($1:36)),))</f>
        <v>40803</v>
      </c>
      <c r="B49" s="86">
        <f ca="1">IF(ROWS($1:36)&gt;COUNT(Dong1),"",OFFSET(TH!E$1,SMALL(Dong1,ROWS($1:36)),))</f>
        <v>40803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C17</v>
      </c>
      <c r="E49" s="135" t="str">
        <f ca="1">IF(ROWS($1:36)&gt;COUNT(Dong1),"",OFFSET(TH!F$1,SMALL(Dong1,ROWS($1:36)),))</f>
        <v>VAT Tiền điện</v>
      </c>
      <c r="F49" s="90" t="str">
        <f ca="1">IF(ROWS($1:36)&gt;COUNT(Dong1),"",IF(OFFSET(TH!M$1,SMALL(Dong1,ROWS($1:36)),)="1111",OFFSET(TH!L$1,SMALL(Dong1,ROWS($1:36)),),OFFSET(TH!M$1,SMALL(Dong1,ROWS($1:36)),)))</f>
        <v>1331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25058</v>
      </c>
      <c r="I49" s="87">
        <f t="shared" ca="1" si="0"/>
        <v>1446462650</v>
      </c>
      <c r="J49" s="92"/>
      <c r="N49" s="247"/>
      <c r="O49" s="247"/>
    </row>
    <row r="50" spans="1:15" s="80" customFormat="1" ht="21.75" customHeight="1">
      <c r="A50" s="86">
        <f ca="1">IF(ROWS($1:37)&gt;COUNT(Dong1),"",OFFSET(TH!C$1,SMALL(Dong1,ROWS($1:37)),))</f>
        <v>40805</v>
      </c>
      <c r="B50" s="86">
        <f ca="1">IF(ROWS($1:37)&gt;COUNT(Dong1),"",OFFSET(TH!E$1,SMALL(Dong1,ROWS($1:37)),))</f>
        <v>40805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C18</v>
      </c>
      <c r="E50" s="135" t="str">
        <f ca="1">IF(ROWS($1:37)&gt;COUNT(Dong1),"",OFFSET(TH!F$1,SMALL(Dong1,ROWS($1:37)),))</f>
        <v>Mực in FW - Xanh, FW - Đỏ, FW - Đen</v>
      </c>
      <c r="F50" s="90" t="str">
        <f ca="1">IF(ROWS($1:37)&gt;COUNT(Dong1),"",IF(OFFSET(TH!M$1,SMALL(Dong1,ROWS($1:37)),)="1111",OFFSET(TH!L$1,SMALL(Dong1,ROWS($1:37)),),OFFSET(TH!M$1,SMALL(Dong1,ROWS($1:37)),)))</f>
        <v>154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2640000</v>
      </c>
      <c r="I50" s="87">
        <f t="shared" ca="1" si="0"/>
        <v>1443822650</v>
      </c>
      <c r="J50" s="92"/>
    </row>
    <row r="51" spans="1:15" s="80" customFormat="1" ht="21.75" customHeight="1">
      <c r="A51" s="86">
        <f ca="1">IF(ROWS($1:38)&gt;COUNT(Dong1),"",OFFSET(TH!C$1,SMALL(Dong1,ROWS($1:38)),))</f>
        <v>40805</v>
      </c>
      <c r="B51" s="86">
        <f ca="1">IF(ROWS($1:38)&gt;COUNT(Dong1),"",OFFSET(TH!E$1,SMALL(Dong1,ROWS($1:38)),))</f>
        <v>40805</v>
      </c>
      <c r="C51" s="87" t="str">
        <f ca="1">IF(ROWS($1:38)&gt;COUNT(Dong1),"",IF(OFFSET(TH!L$1,SMALL(Dong1,ROWS($1:38)),)="1111",OFFSET(TH!D$1,SMALL(Dong1,ROWS($1:38)),),""))</f>
        <v/>
      </c>
      <c r="D51" s="88" t="str">
        <f ca="1">IF(ROWS($1:38)&gt;COUNT(Dong1),"",IF(OFFSET(TH!M$1,SMALL(Dong1,ROWS($1:38)),)="1111",OFFSET(TH!D$1,SMALL(Dong1,ROWS($1:38)),),""))</f>
        <v>C18</v>
      </c>
      <c r="E51" s="135" t="str">
        <f ca="1">IF(ROWS($1:38)&gt;COUNT(Dong1),"",OFFSET(TH!F$1,SMALL(Dong1,ROWS($1:38)),))</f>
        <v>Vat mực in</v>
      </c>
      <c r="F51" s="90" t="str">
        <f ca="1">IF(ROWS($1:38)&gt;COUNT(Dong1),"",IF(OFFSET(TH!M$1,SMALL(Dong1,ROWS($1:38)),)="1111",OFFSET(TH!L$1,SMALL(Dong1,ROWS($1:38)),),OFFSET(TH!M$1,SMALL(Dong1,ROWS($1:38)),)))</f>
        <v>1331</v>
      </c>
      <c r="G51" s="91">
        <f ca="1">IF(ROWS($1:38)&gt;COUNT(Dong1),"",IF(OFFSET(TH!L$1,SMALL(Dong1,ROWS($1:38)),)="1111",OFFSET(TH!K$1,SMALL(Dong1,ROWS($1:38)),),0))</f>
        <v>0</v>
      </c>
      <c r="H51" s="89">
        <f ca="1">IF(ROWS($1:38)&gt;COUNT(Dong1),"",IF(OFFSET(TH!M$1,SMALL(Dong1,ROWS($1:38)),)="1111",OFFSET(TH!K$1,SMALL(Dong1,ROWS($1:38)),),0))</f>
        <v>264000</v>
      </c>
      <c r="I51" s="87">
        <f t="shared" ca="1" si="0"/>
        <v>1443558650</v>
      </c>
      <c r="J51" s="92"/>
    </row>
    <row r="52" spans="1:15" s="80" customFormat="1" ht="21.75" customHeight="1">
      <c r="A52" s="86">
        <f ca="1">IF(ROWS($1:39)&gt;COUNT(Dong1),"",OFFSET(TH!C$1,SMALL(Dong1,ROWS($1:39)),))</f>
        <v>40807</v>
      </c>
      <c r="B52" s="86">
        <f ca="1">IF(ROWS($1:39)&gt;COUNT(Dong1),"",OFFSET(TH!E$1,SMALL(Dong1,ROWS($1:39)),))</f>
        <v>40807</v>
      </c>
      <c r="C52" s="87" t="str">
        <f ca="1">IF(ROWS($1:39)&gt;COUNT(Dong1),"",IF(OFFSET(TH!L$1,SMALL(Dong1,ROWS($1:39)),)="1111",OFFSET(TH!D$1,SMALL(Dong1,ROWS($1:39)),),""))</f>
        <v/>
      </c>
      <c r="D52" s="88" t="str">
        <f ca="1">IF(ROWS($1:39)&gt;COUNT(Dong1),"",IF(OFFSET(TH!M$1,SMALL(Dong1,ROWS($1:39)),)="1111",OFFSET(TH!D$1,SMALL(Dong1,ROWS($1:39)),),""))</f>
        <v>C19</v>
      </c>
      <c r="E52" s="135" t="str">
        <f ca="1">IF(ROWS($1:39)&gt;COUNT(Dong1),"",OFFSET(TH!F$1,SMALL(Dong1,ROWS($1:39)),))</f>
        <v>Dịch vụ viễn thông</v>
      </c>
      <c r="F52" s="90" t="str">
        <f ca="1">IF(ROWS($1:39)&gt;COUNT(Dong1),"",IF(OFFSET(TH!M$1,SMALL(Dong1,ROWS($1:39)),)="1111",OFFSET(TH!L$1,SMALL(Dong1,ROWS($1:39)),),OFFSET(TH!M$1,SMALL(Dong1,ROWS($1:39)),)))</f>
        <v>642</v>
      </c>
      <c r="G52" s="91">
        <f ca="1">IF(ROWS($1:39)&gt;COUNT(Dong1),"",IF(OFFSET(TH!L$1,SMALL(Dong1,ROWS($1:39)),)="1111",OFFSET(TH!K$1,SMALL(Dong1,ROWS($1:39)),),0))</f>
        <v>0</v>
      </c>
      <c r="H52" s="89">
        <f ca="1">IF(ROWS($1:39)&gt;COUNT(Dong1),"",IF(OFFSET(TH!M$1,SMALL(Dong1,ROWS($1:39)),)="1111",OFFSET(TH!K$1,SMALL(Dong1,ROWS($1:39)),),0))</f>
        <v>642847</v>
      </c>
      <c r="I52" s="87">
        <f t="shared" ca="1" si="0"/>
        <v>1442915803</v>
      </c>
      <c r="J52" s="92"/>
    </row>
    <row r="53" spans="1:15" s="80" customFormat="1" ht="21.75" customHeight="1">
      <c r="A53" s="86">
        <f ca="1">IF(ROWS($1:40)&gt;COUNT(Dong1),"",OFFSET(TH!C$1,SMALL(Dong1,ROWS($1:40)),))</f>
        <v>40807</v>
      </c>
      <c r="B53" s="86">
        <f ca="1">IF(ROWS($1:40)&gt;COUNT(Dong1),"",OFFSET(TH!E$1,SMALL(Dong1,ROWS($1:40)),))</f>
        <v>40807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C19</v>
      </c>
      <c r="E53" s="135" t="str">
        <f ca="1">IF(ROWS($1:40)&gt;COUNT(Dong1),"",OFFSET(TH!F$1,SMALL(Dong1,ROWS($1:40)),))</f>
        <v>VAT Dịch vụ viễn thông</v>
      </c>
      <c r="F53" s="90" t="str">
        <f ca="1">IF(ROWS($1:40)&gt;COUNT(Dong1),"",IF(OFFSET(TH!M$1,SMALL(Dong1,ROWS($1:40)),)="1111",OFFSET(TH!L$1,SMALL(Dong1,ROWS($1:40)),),OFFSET(TH!M$1,SMALL(Dong1,ROWS($1:40)),)))</f>
        <v>1331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64285</v>
      </c>
      <c r="I53" s="87">
        <f t="shared" ca="1" si="0"/>
        <v>1442851518</v>
      </c>
      <c r="J53" s="92"/>
    </row>
    <row r="54" spans="1:15" s="80" customFormat="1" ht="21.75" customHeight="1">
      <c r="A54" s="86">
        <f ca="1">IF(ROWS($1:41)&gt;COUNT(Dong1),"",OFFSET(TH!C$1,SMALL(Dong1,ROWS($1:41)),))</f>
        <v>40808</v>
      </c>
      <c r="B54" s="86">
        <f ca="1">IF(ROWS($1:41)&gt;COUNT(Dong1),"",OFFSET(TH!E$1,SMALL(Dong1,ROWS($1:41)),))</f>
        <v>40808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C20</v>
      </c>
      <c r="E54" s="135" t="str">
        <f ca="1">IF(ROWS($1:41)&gt;COUNT(Dong1),"",OFFSET(TH!F$1,SMALL(Dong1,ROWS($1:41)),))</f>
        <v>Thanh toán tiền Kẽm đóng bao bì</v>
      </c>
      <c r="F54" s="90" t="str">
        <f ca="1">IF(ROWS($1:41)&gt;COUNT(Dong1),"",IF(OFFSET(TH!M$1,SMALL(Dong1,ROWS($1:41)),)="1111",OFFSET(TH!L$1,SMALL(Dong1,ROWS($1:41)),),OFFSET(TH!M$1,SMALL(Dong1,ROWS($1:41)),)))</f>
        <v>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1375000</v>
      </c>
      <c r="I54" s="87">
        <f t="shared" ca="1" si="0"/>
        <v>1441476518</v>
      </c>
      <c r="J54" s="92"/>
    </row>
    <row r="55" spans="1:15" s="80" customFormat="1" ht="21.75" customHeight="1">
      <c r="A55" s="86">
        <f ca="1">IF(ROWS($1:42)&gt;COUNT(Dong1),"",OFFSET(TH!C$1,SMALL(Dong1,ROWS($1:42)),))</f>
        <v>40808</v>
      </c>
      <c r="B55" s="86">
        <f ca="1">IF(ROWS($1:42)&gt;COUNT(Dong1),"",OFFSET(TH!E$1,SMALL(Dong1,ROWS($1:42)),))</f>
        <v>40808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C21</v>
      </c>
      <c r="E55" s="135" t="str">
        <f ca="1">IF(ROWS($1:42)&gt;COUNT(Dong1),"",OFFSET(TH!F$1,SMALL(Dong1,ROWS($1:42)),))</f>
        <v>Dầu DO, Phí xăng dầu</v>
      </c>
      <c r="F55" s="90" t="str">
        <f ca="1">IF(ROWS($1:42)&gt;COUNT(Dong1),"",IF(OFFSET(TH!M$1,SMALL(Dong1,ROWS($1:42)),)="1111",OFFSET(TH!L$1,SMALL(Dong1,ROWS($1:42)),),OFFSET(TH!M$1,SMALL(Dong1,ROWS($1:42)),)))</f>
        <v>641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500011</v>
      </c>
      <c r="I55" s="87">
        <f t="shared" ca="1" si="0"/>
        <v>1440976507</v>
      </c>
      <c r="J55" s="92"/>
    </row>
    <row r="56" spans="1:15" s="80" customFormat="1" ht="21.75" customHeight="1">
      <c r="A56" s="86">
        <f ca="1">IF(ROWS($1:43)&gt;COUNT(Dong1),"",OFFSET(TH!C$1,SMALL(Dong1,ROWS($1:43)),))</f>
        <v>40809</v>
      </c>
      <c r="B56" s="86">
        <f ca="1">IF(ROWS($1:43)&gt;COUNT(Dong1),"",OFFSET(TH!E$1,SMALL(Dong1,ROWS($1:43)),))</f>
        <v>40809</v>
      </c>
      <c r="C56" s="87" t="str">
        <f ca="1">IF(ROWS($1:43)&gt;COUNT(Dong1),"",IF(OFFSET(TH!L$1,SMALL(Dong1,ROWS($1:43)),)="1111",OFFSET(TH!D$1,SMALL(Dong1,ROWS($1:43)),),""))</f>
        <v>T08</v>
      </c>
      <c r="D56" s="88" t="str">
        <f ca="1">IF(ROWS($1:43)&gt;COUNT(Dong1),"",IF(OFFSET(TH!M$1,SMALL(Dong1,ROWS($1:43)),)="1111",OFFSET(TH!D$1,SMALL(Dong1,ROWS($1:43)),),""))</f>
        <v/>
      </c>
      <c r="E56" s="135" t="str">
        <f ca="1">IF(ROWS($1:43)&gt;COUNT(Dong1),"",OFFSET(TH!F$1,SMALL(Dong1,ROWS($1:43)),))</f>
        <v>Thu tiền hàng</v>
      </c>
      <c r="F56" s="90" t="str">
        <f ca="1">IF(ROWS($1:43)&gt;COUNT(Dong1),"",IF(OFFSET(TH!M$1,SMALL(Dong1,ROWS($1:43)),)="1111",OFFSET(TH!L$1,SMALL(Dong1,ROWS($1:43)),),OFFSET(TH!M$1,SMALL(Dong1,ROWS($1:43)),)))</f>
        <v>131</v>
      </c>
      <c r="G56" s="91">
        <f ca="1">IF(ROWS($1:43)&gt;COUNT(Dong1),"",IF(OFFSET(TH!L$1,SMALL(Dong1,ROWS($1:43)),)="1111",OFFSET(TH!K$1,SMALL(Dong1,ROWS($1:43)),),0))</f>
        <v>1610294</v>
      </c>
      <c r="H56" s="89">
        <f ca="1">IF(ROWS($1:43)&gt;COUNT(Dong1),"",IF(OFFSET(TH!M$1,SMALL(Dong1,ROWS($1:43)),)="1111",OFFSET(TH!K$1,SMALL(Dong1,ROWS($1:43)),),0))</f>
        <v>0</v>
      </c>
      <c r="I56" s="87">
        <f t="shared" ca="1" si="0"/>
        <v>1442586801</v>
      </c>
      <c r="J56" s="92"/>
    </row>
    <row r="57" spans="1:15" s="80" customFormat="1" ht="21.75" customHeight="1">
      <c r="A57" s="86">
        <f ca="1">IF(ROWS($1:44)&gt;COUNT(Dong1),"",OFFSET(TH!C$1,SMALL(Dong1,ROWS($1:44)),))</f>
        <v>40810</v>
      </c>
      <c r="B57" s="86">
        <f ca="1">IF(ROWS($1:44)&gt;COUNT(Dong1),"",OFFSET(TH!E$1,SMALL(Dong1,ROWS($1:44)),))</f>
        <v>40810</v>
      </c>
      <c r="C57" s="87" t="str">
        <f ca="1">IF(ROWS($1:44)&gt;COUNT(Dong1),"",IF(OFFSET(TH!L$1,SMALL(Dong1,ROWS($1:44)),)="1111",OFFSET(TH!D$1,SMALL(Dong1,ROWS($1:44)),),""))</f>
        <v>T09</v>
      </c>
      <c r="D57" s="88" t="str">
        <f ca="1">IF(ROWS($1:44)&gt;COUNT(Dong1),"",IF(OFFSET(TH!M$1,SMALL(Dong1,ROWS($1:44)),)="1111",OFFSET(TH!D$1,SMALL(Dong1,ROWS($1:44)),),""))</f>
        <v/>
      </c>
      <c r="E57" s="135" t="str">
        <f ca="1">IF(ROWS($1:44)&gt;COUNT(Dong1),"",OFFSET(TH!F$1,SMALL(Dong1,ROWS($1:44)),))</f>
        <v>Thu tiền hàng</v>
      </c>
      <c r="F57" s="90" t="str">
        <f ca="1">IF(ROWS($1:44)&gt;COUNT(Dong1),"",IF(OFFSET(TH!M$1,SMALL(Dong1,ROWS($1:44)),)="1111",OFFSET(TH!L$1,SMALL(Dong1,ROWS($1:44)),),OFFSET(TH!M$1,SMALL(Dong1,ROWS($1:44)),)))</f>
        <v>131</v>
      </c>
      <c r="G57" s="91">
        <f ca="1">IF(ROWS($1:44)&gt;COUNT(Dong1),"",IF(OFFSET(TH!L$1,SMALL(Dong1,ROWS($1:44)),)="1111",OFFSET(TH!K$1,SMALL(Dong1,ROWS($1:44)),),0))</f>
        <v>5078546</v>
      </c>
      <c r="H57" s="89">
        <f ca="1">IF(ROWS($1:44)&gt;COUNT(Dong1),"",IF(OFFSET(TH!M$1,SMALL(Dong1,ROWS($1:44)),)="1111",OFFSET(TH!K$1,SMALL(Dong1,ROWS($1:44)),),0))</f>
        <v>0</v>
      </c>
      <c r="I57" s="87">
        <f t="shared" ca="1" si="0"/>
        <v>1447665347</v>
      </c>
      <c r="J57" s="92"/>
    </row>
    <row r="58" spans="1:15" s="80" customFormat="1" ht="21.75" customHeight="1">
      <c r="A58" s="86">
        <f ca="1">IF(ROWS($1:45)&gt;COUNT(Dong1),"",OFFSET(TH!C$1,SMALL(Dong1,ROWS($1:45)),))</f>
        <v>40813</v>
      </c>
      <c r="B58" s="86">
        <f ca="1">IF(ROWS($1:45)&gt;COUNT(Dong1),"",OFFSET(TH!E$1,SMALL(Dong1,ROWS($1:45)),))</f>
        <v>40813</v>
      </c>
      <c r="C58" s="87" t="str">
        <f ca="1">IF(ROWS($1:45)&gt;COUNT(Dong1),"",IF(OFFSET(TH!L$1,SMALL(Dong1,ROWS($1:45)),)="1111",OFFSET(TH!D$1,SMALL(Dong1,ROWS($1:45)),),""))</f>
        <v>T10</v>
      </c>
      <c r="D58" s="88" t="str">
        <f ca="1">IF(ROWS($1:45)&gt;COUNT(Dong1),"",IF(OFFSET(TH!M$1,SMALL(Dong1,ROWS($1:45)),)="1111",OFFSET(TH!D$1,SMALL(Dong1,ROWS($1:45)),),""))</f>
        <v/>
      </c>
      <c r="E58" s="135" t="str">
        <f ca="1">IF(ROWS($1:45)&gt;COUNT(Dong1),"",OFFSET(TH!F$1,SMALL(Dong1,ROWS($1:45)),))</f>
        <v>Thu tiền hàng</v>
      </c>
      <c r="F58" s="90" t="str">
        <f ca="1">IF(ROWS($1:45)&gt;COUNT(Dong1),"",IF(OFFSET(TH!M$1,SMALL(Dong1,ROWS($1:45)),)="1111",OFFSET(TH!L$1,SMALL(Dong1,ROWS($1:45)),),OFFSET(TH!M$1,SMALL(Dong1,ROWS($1:45)),)))</f>
        <v>131</v>
      </c>
      <c r="G58" s="91">
        <f ca="1">IF(ROWS($1:45)&gt;COUNT(Dong1),"",IF(OFFSET(TH!L$1,SMALL(Dong1,ROWS($1:45)),)="1111",OFFSET(TH!K$1,SMALL(Dong1,ROWS($1:45)),),0))</f>
        <v>18998716</v>
      </c>
      <c r="H58" s="89">
        <f ca="1">IF(ROWS($1:45)&gt;COUNT(Dong1),"",IF(OFFSET(TH!M$1,SMALL(Dong1,ROWS($1:45)),)="1111",OFFSET(TH!K$1,SMALL(Dong1,ROWS($1:45)),),0))</f>
        <v>0</v>
      </c>
      <c r="I58" s="87">
        <f t="shared" ca="1" si="0"/>
        <v>1466664063</v>
      </c>
      <c r="J58" s="92"/>
    </row>
    <row r="59" spans="1:15" s="80" customFormat="1" ht="21.75" customHeight="1">
      <c r="A59" s="86">
        <f ca="1">IF(ROWS($1:46)&gt;COUNT(Dong1),"",OFFSET(TH!C$1,SMALL(Dong1,ROWS($1:46)),))</f>
        <v>40816</v>
      </c>
      <c r="B59" s="86">
        <f ca="1">IF(ROWS($1:46)&gt;COUNT(Dong1),"",OFFSET(TH!E$1,SMALL(Dong1,ROWS($1:46)),))</f>
        <v>40816</v>
      </c>
      <c r="C59" s="87" t="str">
        <f ca="1">IF(ROWS($1:46)&gt;COUNT(Dong1),"",IF(OFFSET(TH!L$1,SMALL(Dong1,ROWS($1:46)),)="1111",OFFSET(TH!D$1,SMALL(Dong1,ROWS($1:46)),),""))</f>
        <v/>
      </c>
      <c r="D59" s="88" t="str">
        <f ca="1">IF(ROWS($1:46)&gt;COUNT(Dong1),"",IF(OFFSET(TH!M$1,SMALL(Dong1,ROWS($1:46)),)="1111",OFFSET(TH!D$1,SMALL(Dong1,ROWS($1:46)),),""))</f>
        <v>C22</v>
      </c>
      <c r="E59" s="135" t="str">
        <f ca="1">IF(ROWS($1:46)&gt;COUNT(Dong1),"",OFFSET(TH!F$1,SMALL(Dong1,ROWS($1:46)),))</f>
        <v>Thanh toán tiền lương tháng 9/2011</v>
      </c>
      <c r="F59" s="90" t="str">
        <f ca="1">IF(ROWS($1:46)&gt;COUNT(Dong1),"",IF(OFFSET(TH!M$1,SMALL(Dong1,ROWS($1:46)),)="1111",OFFSET(TH!L$1,SMALL(Dong1,ROWS($1:46)),),OFFSET(TH!M$1,SMALL(Dong1,ROWS($1:46)),)))</f>
        <v>3341</v>
      </c>
      <c r="G59" s="91">
        <f ca="1">IF(ROWS($1:46)&gt;COUNT(Dong1),"",IF(OFFSET(TH!L$1,SMALL(Dong1,ROWS($1:46)),)="1111",OFFSET(TH!K$1,SMALL(Dong1,ROWS($1:46)),),0))</f>
        <v>0</v>
      </c>
      <c r="H59" s="89">
        <f ca="1">IF(ROWS($1:46)&gt;COUNT(Dong1),"",IF(OFFSET(TH!M$1,SMALL(Dong1,ROWS($1:46)),)="1111",OFFSET(TH!K$1,SMALL(Dong1,ROWS($1:46)),),0))</f>
        <v>13250000</v>
      </c>
      <c r="I59" s="87">
        <f t="shared" ca="1" si="0"/>
        <v>1453414063</v>
      </c>
      <c r="J59" s="92"/>
    </row>
    <row r="60" spans="1:15" s="80" customFormat="1" ht="21.75" customHeight="1">
      <c r="A60" s="86">
        <f ca="1">IF(ROWS($1:47)&gt;COUNT(Dong1),"",OFFSET(TH!C$1,SMALL(Dong1,ROWS($1:47)),))</f>
        <v>40816</v>
      </c>
      <c r="B60" s="86">
        <f ca="1">IF(ROWS($1:47)&gt;COUNT(Dong1),"",OFFSET(TH!E$1,SMALL(Dong1,ROWS($1:47)),))</f>
        <v>40816</v>
      </c>
      <c r="C60" s="87" t="str">
        <f ca="1">IF(ROWS($1:47)&gt;COUNT(Dong1),"",IF(OFFSET(TH!L$1,SMALL(Dong1,ROWS($1:47)),)="1111",OFFSET(TH!D$1,SMALL(Dong1,ROWS($1:47)),),""))</f>
        <v/>
      </c>
      <c r="D60" s="88" t="str">
        <f ca="1">IF(ROWS($1:47)&gt;COUNT(Dong1),"",IF(OFFSET(TH!M$1,SMALL(Dong1,ROWS($1:47)),)="1111",OFFSET(TH!D$1,SMALL(Dong1,ROWS($1:47)),),""))</f>
        <v>C23</v>
      </c>
      <c r="E60" s="135" t="str">
        <f ca="1">IF(ROWS($1:47)&gt;COUNT(Dong1),"",OFFSET(TH!F$1,SMALL(Dong1,ROWS($1:47)),))</f>
        <v>Nộp tiền mặt vào tài khoản</v>
      </c>
      <c r="F60" s="90" t="str">
        <f ca="1">IF(ROWS($1:47)&gt;COUNT(Dong1),"",IF(OFFSET(TH!M$1,SMALL(Dong1,ROWS($1:47)),)="1111",OFFSET(TH!L$1,SMALL(Dong1,ROWS($1:47)),),OFFSET(TH!M$1,SMALL(Dong1,ROWS($1:47)),)))</f>
        <v>1121</v>
      </c>
      <c r="G60" s="91">
        <f ca="1">IF(ROWS($1:47)&gt;COUNT(Dong1),"",IF(OFFSET(TH!L$1,SMALL(Dong1,ROWS($1:47)),)="1111",OFFSET(TH!K$1,SMALL(Dong1,ROWS($1:47)),),0))</f>
        <v>0</v>
      </c>
      <c r="H60" s="89">
        <f ca="1">IF(ROWS($1:47)&gt;COUNT(Dong1),"",IF(OFFSET(TH!M$1,SMALL(Dong1,ROWS($1:47)),)="1111",OFFSET(TH!K$1,SMALL(Dong1,ROWS($1:47)),),0))</f>
        <v>105600000</v>
      </c>
      <c r="I60" s="87">
        <f t="shared" ca="1" si="0"/>
        <v>1347814063</v>
      </c>
      <c r="J60" s="92"/>
    </row>
    <row r="61" spans="1:15" s="80" customFormat="1" ht="21.75" customHeight="1">
      <c r="A61" s="86">
        <f ca="1">IF(ROWS($1:48)&gt;COUNT(Dong1),"",OFFSET(TH!C$1,SMALL(Dong1,ROWS($1:48)),))</f>
        <v>40816</v>
      </c>
      <c r="B61" s="86">
        <f ca="1">IF(ROWS($1:48)&gt;COUNT(Dong1),"",OFFSET(TH!E$1,SMALL(Dong1,ROWS($1:48)),))</f>
        <v>40816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C24</v>
      </c>
      <c r="E61" s="135" t="str">
        <f ca="1">IF(ROWS($1:48)&gt;COUNT(Dong1),"",OFFSET(TH!F$1,SMALL(Dong1,ROWS($1:48)),))</f>
        <v>Mực in V-FLEX 7844 Dark Blue</v>
      </c>
      <c r="F61" s="90" t="str">
        <f ca="1">IF(ROWS($1:48)&gt;COUNT(Dong1),"",IF(OFFSET(TH!M$1,SMALL(Dong1,ROWS($1:48)),)="1111",OFFSET(TH!L$1,SMALL(Dong1,ROWS($1:48)),),OFFSET(TH!M$1,SMALL(Dong1,ROWS($1:48)),)))</f>
        <v>154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1160000</v>
      </c>
      <c r="I61" s="87">
        <f t="shared" ca="1" si="0"/>
        <v>1346654063</v>
      </c>
      <c r="J61" s="92"/>
    </row>
    <row r="62" spans="1:15" s="80" customFormat="1" ht="21.75" customHeight="1">
      <c r="A62" s="86">
        <f ca="1">IF(ROWS($1:49)&gt;COUNT(Dong1),"",OFFSET(TH!C$1,SMALL(Dong1,ROWS($1:49)),))</f>
        <v>40816</v>
      </c>
      <c r="B62" s="86">
        <f ca="1">IF(ROWS($1:49)&gt;COUNT(Dong1),"",OFFSET(TH!E$1,SMALL(Dong1,ROWS($1:49)),))</f>
        <v>40816</v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>C24</v>
      </c>
      <c r="E62" s="135" t="str">
        <f ca="1">IF(ROWS($1:49)&gt;COUNT(Dong1),"",OFFSET(TH!F$1,SMALL(Dong1,ROWS($1:49)),))</f>
        <v>VAT Mực in V-FLEX 7844 Dark Blue</v>
      </c>
      <c r="F62" s="90" t="str">
        <f ca="1">IF(ROWS($1:49)&gt;COUNT(Dong1),"",IF(OFFSET(TH!M$1,SMALL(Dong1,ROWS($1:49)),)="1111",OFFSET(TH!L$1,SMALL(Dong1,ROWS($1:49)),),OFFSET(TH!M$1,SMALL(Dong1,ROWS($1:49)),)))</f>
        <v>1331</v>
      </c>
      <c r="G62" s="91">
        <f ca="1">IF(ROWS($1:49)&gt;COUNT(Dong1),"",IF(OFFSET(TH!L$1,SMALL(Dong1,ROWS($1:49)),)="1111",OFFSET(TH!K$1,SMALL(Dong1,ROWS($1:49)),),0))</f>
        <v>0</v>
      </c>
      <c r="H62" s="89">
        <f ca="1">IF(ROWS($1:49)&gt;COUNT(Dong1),"",IF(OFFSET(TH!M$1,SMALL(Dong1,ROWS($1:49)),)="1111",OFFSET(TH!K$1,SMALL(Dong1,ROWS($1:49)),),0))</f>
        <v>116000</v>
      </c>
      <c r="I62" s="87">
        <f t="shared" ca="1" si="0"/>
        <v>1346538063</v>
      </c>
      <c r="J62" s="92"/>
    </row>
    <row r="63" spans="1:15" s="80" customFormat="1" ht="21.75" customHeight="1">
      <c r="A63" s="93"/>
      <c r="B63" s="92"/>
      <c r="C63" s="92"/>
      <c r="D63" s="92"/>
      <c r="E63" s="136"/>
      <c r="F63" s="94"/>
      <c r="G63" s="92"/>
      <c r="H63" s="92"/>
      <c r="I63" s="87"/>
      <c r="J63" s="92"/>
    </row>
    <row r="64" spans="1:15" s="82" customFormat="1" ht="21.75" customHeight="1">
      <c r="A64" s="95"/>
      <c r="B64" s="95"/>
      <c r="C64" s="95"/>
      <c r="D64" s="95"/>
      <c r="E64" s="95" t="s">
        <v>122</v>
      </c>
      <c r="F64" s="96" t="s">
        <v>18</v>
      </c>
      <c r="G64" s="95">
        <f ca="1">SUM(G14:G63)</f>
        <v>249575656</v>
      </c>
      <c r="H64" s="95">
        <f ca="1">SUM(H14:H63)</f>
        <v>319662461</v>
      </c>
      <c r="I64" s="96" t="s">
        <v>18</v>
      </c>
      <c r="J64" s="96" t="s">
        <v>18</v>
      </c>
    </row>
    <row r="65" spans="1:12" s="82" customFormat="1" ht="21.75" customHeight="1">
      <c r="A65" s="97"/>
      <c r="B65" s="97"/>
      <c r="C65" s="97"/>
      <c r="D65" s="97"/>
      <c r="E65" s="97" t="s">
        <v>123</v>
      </c>
      <c r="F65" s="98" t="s">
        <v>18</v>
      </c>
      <c r="G65" s="98" t="s">
        <v>18</v>
      </c>
      <c r="H65" s="98" t="s">
        <v>18</v>
      </c>
      <c r="I65" s="99">
        <f ca="1">I13+G64-H64</f>
        <v>1346538063</v>
      </c>
      <c r="J65" s="98" t="s">
        <v>18</v>
      </c>
    </row>
    <row r="66" spans="1:12" s="80" customFormat="1" ht="15">
      <c r="L66" s="100" t="s">
        <v>143</v>
      </c>
    </row>
    <row r="67" spans="1:12" s="80" customFormat="1" ht="15">
      <c r="A67" s="100" t="s">
        <v>144</v>
      </c>
      <c r="L67" s="100" t="s">
        <v>144</v>
      </c>
    </row>
    <row r="68" spans="1:12" s="80" customFormat="1" ht="15">
      <c r="A68" s="447" t="str">
        <f ca="1">"- Ngày mở sổ: "&amp;DAY($A$14)&amp;"/"&amp;MONTH($A$14)&amp;"/ " &amp;YEAR($A$14)</f>
        <v>- Ngày mở sổ: 5/7/ 2011</v>
      </c>
      <c r="L68" s="100" t="s">
        <v>124</v>
      </c>
    </row>
    <row r="69" spans="1:12" s="80" customFormat="1" ht="15">
      <c r="I69" s="102" t="str">
        <f ca="1">"Ngày "&amp;IF(OR($L$11=4,$L$11=6,$L$11=9,$L$11=11),"30",IF($L$11=2,"28","31"))&amp;" tháng "&amp;$O$11&amp;"  năm  "&amp;YEAR($A$14)</f>
        <v>Ngày 31 tháng 9  năm  2011</v>
      </c>
      <c r="L69" s="100" t="s">
        <v>141</v>
      </c>
    </row>
    <row r="70" spans="1:12" s="101" customFormat="1" ht="14.25">
      <c r="C70" s="101" t="s">
        <v>11</v>
      </c>
      <c r="E70" s="101" t="s">
        <v>12</v>
      </c>
      <c r="I70" s="101" t="s">
        <v>98</v>
      </c>
    </row>
    <row r="71" spans="1:12" s="102" customFormat="1" ht="15">
      <c r="C71" s="102" t="s">
        <v>13</v>
      </c>
      <c r="E71" s="102" t="s">
        <v>13</v>
      </c>
      <c r="I71" s="102" t="s">
        <v>125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2" sqref="G22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26"/>
      <c r="R3" s="119"/>
      <c r="S3" s="120" t="s">
        <v>322</v>
      </c>
      <c r="T3" s="119"/>
      <c r="U3" s="120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7"/>
      <c r="R4" s="52"/>
      <c r="S4" s="243">
        <v>4</v>
      </c>
      <c r="T4" s="52"/>
      <c r="U4" s="228" t="s">
        <v>4</v>
      </c>
      <c r="V4" s="77"/>
      <c r="W4" s="229">
        <v>23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31  tháng  12  năm  2011</v>
      </c>
      <c r="I5" s="32"/>
      <c r="J5" s="48"/>
      <c r="K5" s="50"/>
      <c r="L5" s="32"/>
      <c r="M5" s="50"/>
      <c r="N5" s="50"/>
      <c r="O5" s="50"/>
      <c r="P5" s="51"/>
      <c r="Q5" s="226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C23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3341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Thanh toán tiền lương tháng 12/2011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12411055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e">
        <f ca="1">"Viết bằng chữ: " &amp;[1]!VND('IN-TC'!D13, TRUE)</f>
        <v>#NAME?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31  tháng  12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4"/>
      <c r="D24" s="32"/>
      <c r="E24" s="32"/>
      <c r="F24" s="32"/>
      <c r="G24" s="32"/>
      <c r="H24" s="134"/>
      <c r="I24" s="32"/>
      <c r="J24" s="134"/>
      <c r="K24" s="32"/>
      <c r="L24" s="32"/>
      <c r="M24" s="134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7" customWidth="1"/>
    <col min="2" max="2" width="7" style="382" customWidth="1"/>
    <col min="3" max="3" width="8.5703125" style="107" customWidth="1"/>
    <col min="4" max="4" width="39.28515625" style="105" customWidth="1"/>
    <col min="5" max="5" width="8.5703125" style="105" customWidth="1"/>
    <col min="6" max="7" width="14.85546875" style="105" customWidth="1"/>
    <col min="8" max="8" width="14.85546875" style="236" customWidth="1"/>
    <col min="9" max="9" width="6.5703125" style="105" customWidth="1"/>
    <col min="10" max="10" width="2.85546875" style="105" customWidth="1"/>
    <col min="11" max="11" width="9.140625" style="105" customWidth="1"/>
    <col min="12" max="12" width="3.28515625" style="105" customWidth="1"/>
    <col min="13" max="13" width="8" style="105" customWidth="1"/>
    <col min="14" max="15" width="3.85546875" style="105" hidden="1" customWidth="1"/>
    <col min="16" max="16" width="1.7109375" style="105" customWidth="1"/>
    <col min="17" max="17" width="12.85546875" style="105" bestFit="1" customWidth="1"/>
    <col min="18" max="18" width="12.7109375" style="105" customWidth="1"/>
    <col min="19" max="19" width="15.140625" style="105" customWidth="1"/>
    <col min="20" max="20" width="12" style="105" bestFit="1" customWidth="1"/>
    <col min="21" max="16384" width="9.140625" style="105"/>
  </cols>
  <sheetData>
    <row r="1" spans="1:20" ht="16.5" customHeight="1">
      <c r="A1" s="103" t="str">
        <f>TH!A1</f>
        <v>Đơn vị: CÔNG TY TNHH SX TM KIM DUNG PHÁT</v>
      </c>
      <c r="B1" s="106"/>
      <c r="F1" s="137"/>
      <c r="G1" s="137" t="s">
        <v>142</v>
      </c>
      <c r="H1" s="451"/>
      <c r="I1" s="137"/>
      <c r="K1" s="352"/>
      <c r="L1" s="352"/>
    </row>
    <row r="2" spans="1:20" ht="16.5" customHeight="1">
      <c r="A2" s="67" t="str">
        <f>TH!A2</f>
        <v>Địa chỉ: 1A227/1 Ấp 1, Phạm Văn Hai, Bình Chánh, TPHCM</v>
      </c>
      <c r="B2" s="109"/>
      <c r="C2" s="109"/>
      <c r="D2" s="109"/>
      <c r="F2" s="84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9"/>
      <c r="H2" s="849"/>
      <c r="I2" s="138"/>
      <c r="K2" s="353"/>
      <c r="L2" s="353"/>
    </row>
    <row r="3" spans="1:20" ht="16.5" customHeight="1">
      <c r="A3" s="109"/>
      <c r="B3" s="109"/>
      <c r="C3" s="109"/>
      <c r="D3" s="109"/>
      <c r="F3" s="849"/>
      <c r="G3" s="849"/>
      <c r="H3" s="849"/>
      <c r="I3" s="138"/>
    </row>
    <row r="4" spans="1:20" ht="27.75" customHeight="1">
      <c r="A4" s="852" t="s">
        <v>126</v>
      </c>
      <c r="B4" s="852"/>
      <c r="C4" s="852"/>
      <c r="D4" s="852"/>
      <c r="E4" s="852"/>
      <c r="F4" s="852"/>
      <c r="G4" s="852"/>
      <c r="H4" s="852"/>
      <c r="I4" s="852"/>
    </row>
    <row r="5" spans="1:20">
      <c r="A5" s="841" t="str">
        <f>"Nơi mở tài khoản giao dịch:  "&amp;IF($M$9="ACB"," Ngân Hàng ACB"," Ngân Hàng Eximbank - Chi Nhánh Chợ Lớn")</f>
        <v>Nơi mở tài khoản giao dịch:   Ngân Hàng ACB</v>
      </c>
      <c r="B5" s="841"/>
      <c r="C5" s="841"/>
      <c r="D5" s="841"/>
      <c r="E5" s="841"/>
      <c r="F5" s="841"/>
      <c r="G5" s="841"/>
      <c r="H5" s="841"/>
      <c r="I5" s="841"/>
    </row>
    <row r="6" spans="1:20">
      <c r="A6" s="105"/>
      <c r="B6" s="105"/>
      <c r="C6" s="105"/>
      <c r="D6" s="146" t="s">
        <v>146</v>
      </c>
      <c r="E6" s="841" t="str">
        <f>IF($M$9="ACB","100983119","1004 148 5104 6511")</f>
        <v>100983119</v>
      </c>
      <c r="F6" s="841"/>
      <c r="G6" s="841"/>
      <c r="H6" s="236" t="s">
        <v>97</v>
      </c>
      <c r="I6" s="147" t="str">
        <f>IF(H6="VNĐ","1121",IF(H6="USD","1122",""))</f>
        <v>1121</v>
      </c>
      <c r="N6" s="834" t="s">
        <v>306</v>
      </c>
      <c r="O6" s="834"/>
      <c r="Q6" s="850" t="s">
        <v>248</v>
      </c>
      <c r="R6" s="850" t="s">
        <v>307</v>
      </c>
      <c r="S6" s="850" t="s">
        <v>308</v>
      </c>
    </row>
    <row r="7" spans="1:20" ht="8.25" customHeight="1" thickBot="1">
      <c r="A7" s="108"/>
      <c r="C7" s="108"/>
      <c r="D7" s="382"/>
      <c r="E7" s="382"/>
      <c r="F7" s="382"/>
      <c r="G7" s="382"/>
      <c r="H7" s="237"/>
      <c r="I7" s="382"/>
      <c r="Q7" s="851"/>
      <c r="R7" s="851"/>
      <c r="S7" s="851"/>
    </row>
    <row r="8" spans="1:20" s="452" customFormat="1" ht="22.5" customHeight="1" thickBot="1">
      <c r="A8" s="842" t="s">
        <v>127</v>
      </c>
      <c r="B8" s="844" t="s">
        <v>1</v>
      </c>
      <c r="C8" s="845"/>
      <c r="D8" s="839" t="s">
        <v>0</v>
      </c>
      <c r="E8" s="846" t="s">
        <v>14</v>
      </c>
      <c r="F8" s="848" t="s">
        <v>128</v>
      </c>
      <c r="G8" s="848"/>
      <c r="H8" s="845"/>
      <c r="I8" s="839" t="s">
        <v>116</v>
      </c>
      <c r="K8" s="380"/>
      <c r="L8" s="105"/>
      <c r="N8" s="453">
        <f>IF(K9="Quý I",1,IF(K9="Quý II",4,IF(K9="Quý III",7,IF(K9="Quý IV",10,""))))</f>
        <v>4</v>
      </c>
      <c r="O8" s="454">
        <f>IF(K9="Quý I",3,IF(K9="Quý II",6,IF(K9="Quý III",9,IF(K9="Quý IV",12,""))))</f>
        <v>6</v>
      </c>
      <c r="Q8" s="455" t="s">
        <v>249</v>
      </c>
      <c r="R8" s="456"/>
      <c r="S8" s="456"/>
      <c r="T8" s="457">
        <f>SUM(R8:S8)</f>
        <v>0</v>
      </c>
    </row>
    <row r="9" spans="1:20" s="452" customFormat="1" ht="22.5" customHeight="1" thickBot="1">
      <c r="A9" s="843"/>
      <c r="B9" s="458" t="s">
        <v>15</v>
      </c>
      <c r="C9" s="459" t="s">
        <v>129</v>
      </c>
      <c r="D9" s="840"/>
      <c r="E9" s="847"/>
      <c r="F9" s="458" t="s">
        <v>130</v>
      </c>
      <c r="G9" s="460" t="s">
        <v>131</v>
      </c>
      <c r="H9" s="461" t="s">
        <v>132</v>
      </c>
      <c r="I9" s="840"/>
      <c r="K9" s="298" t="s">
        <v>342</v>
      </c>
      <c r="L9" s="105"/>
      <c r="M9" s="462" t="s">
        <v>307</v>
      </c>
      <c r="Q9" s="105"/>
      <c r="R9" s="105"/>
      <c r="S9" s="105"/>
      <c r="T9" s="105"/>
    </row>
    <row r="10" spans="1:20">
      <c r="A10" s="463" t="s">
        <v>2</v>
      </c>
      <c r="B10" s="464" t="s">
        <v>3</v>
      </c>
      <c r="C10" s="463" t="s">
        <v>4</v>
      </c>
      <c r="D10" s="464" t="s">
        <v>5</v>
      </c>
      <c r="E10" s="464" t="s">
        <v>6</v>
      </c>
      <c r="F10" s="464">
        <v>1</v>
      </c>
      <c r="G10" s="464">
        <v>2</v>
      </c>
      <c r="H10" s="464">
        <v>3</v>
      </c>
      <c r="I10" s="464" t="s">
        <v>119</v>
      </c>
    </row>
    <row r="11" spans="1:20" ht="18.75" customHeight="1">
      <c r="A11" s="465"/>
      <c r="B11" s="464"/>
      <c r="C11" s="465"/>
      <c r="D11" s="466" t="s">
        <v>7</v>
      </c>
      <c r="E11" s="466"/>
      <c r="F11" s="467"/>
      <c r="G11" s="467"/>
      <c r="H11" s="467">
        <f>IF($M$9="ACB",$R$8,$S$8)+SUMIF(_N112,"x",TH)-SUMIF(_C112,"x",TH)</f>
        <v>0</v>
      </c>
      <c r="I11" s="468"/>
      <c r="Q11" s="452"/>
      <c r="R11" s="452"/>
      <c r="S11" s="452"/>
      <c r="T11" s="452"/>
    </row>
    <row r="12" spans="1:20" s="452" customFormat="1" ht="18.75" customHeight="1">
      <c r="A12" s="469">
        <f ca="1">IF(ROWS($1:1)&gt;COUNT(Dong2),"",OFFSET(TH!C$1,SMALL(Dong2,ROWS($1:1)),))</f>
        <v>40640</v>
      </c>
      <c r="B12" s="469" t="str">
        <f ca="1">IF(ROWS($1:1)&gt;COUNT(Dong2),"",OFFSET(TH!D$1,SMALL(Dong2,ROWS($1:1)),))</f>
        <v>C09</v>
      </c>
      <c r="C12" s="469">
        <f ca="1">IF(ROWS($1:1)&gt;COUNT(Dong2),"",OFFSET(TH!E$1,SMALL(Dong2,ROWS($1:1)),))</f>
        <v>40640</v>
      </c>
      <c r="D12" s="470" t="str">
        <f ca="1">IF(ROWS($1:1)&gt;COUNT(Dong2),"",OFFSET(TH!F$1,SMALL(Dong2,ROWS($1:1)),))</f>
        <v>Nộp tiền mặt vào tài khoản</v>
      </c>
      <c r="E12" s="469" t="str">
        <f ca="1">IF(ROWS($1:1)&gt;COUNT(Dong2),"",IF(OFFSET(TH!M$1,SMALL(Dong2,ROWS($1:1)),)=$I$6,OFFSET(TH!L$1,SMALL(Dong2,ROWS($1:1)),),OFFSET(TH!M$1,SMALL(Dong2,ROWS($1:1)),)))</f>
        <v>1111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72">
        <f ca="1">IF(A12&lt;&gt;"",H11+F12-G12,0)</f>
        <v>200000000</v>
      </c>
      <c r="I12" s="473"/>
      <c r="L12" s="105"/>
    </row>
    <row r="13" spans="1:20" s="452" customFormat="1" ht="18.75" customHeight="1">
      <c r="A13" s="469">
        <f ca="1">IF(ROWS($1:2)&gt;COUNT(Dong2),"",OFFSET(TH!C$1,SMALL(Dong2,ROWS($1:2)),))</f>
        <v>40646</v>
      </c>
      <c r="B13" s="469" t="str">
        <f ca="1">IF(ROWS($1:2)&gt;COUNT(Dong2),"",OFFSET(TH!D$1,SMALL(Dong2,ROWS($1:2)),))</f>
        <v>T04</v>
      </c>
      <c r="C13" s="469">
        <f ca="1">IF(ROWS($1:2)&gt;COUNT(Dong2),"",OFFSET(TH!E$1,SMALL(Dong2,ROWS($1:2)),))</f>
        <v>40646</v>
      </c>
      <c r="D13" s="470" t="str">
        <f ca="1">IF(ROWS($1:2)&gt;COUNT(Dong2),"",OFFSET(TH!F$1,SMALL(Dong2,ROWS($1:2)),))</f>
        <v>Rút tiền nhập quỹ tiền mặt</v>
      </c>
      <c r="E13" s="469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72">
        <f t="shared" ref="H13:H40" ca="1" si="0">IF(A13&lt;&gt;"",H12+F13-G13,0)</f>
        <v>150000000</v>
      </c>
      <c r="I13" s="473"/>
      <c r="L13" s="105"/>
    </row>
    <row r="14" spans="1:20" s="452" customFormat="1" ht="18.75" customHeight="1">
      <c r="A14" s="469">
        <f ca="1">IF(ROWS($1:3)&gt;COUNT(Dong2),"",OFFSET(TH!C$1,SMALL(Dong2,ROWS($1:3)),))</f>
        <v>40655</v>
      </c>
      <c r="B14" s="469" t="str">
        <f ca="1">IF(ROWS($1:3)&gt;COUNT(Dong2),"",OFFSET(TH!D$1,SMALL(Dong2,ROWS($1:3)),))</f>
        <v>GBC</v>
      </c>
      <c r="C14" s="469">
        <f ca="1">IF(ROWS($1:3)&gt;COUNT(Dong2),"",OFFSET(TH!E$1,SMALL(Dong2,ROWS($1:3)),))</f>
        <v>40655</v>
      </c>
      <c r="D14" s="470" t="str">
        <f ca="1">IF(ROWS($1:3)&gt;COUNT(Dong2),"",OFFSET(TH!F$1,SMALL(Dong2,ROWS($1:3)),))</f>
        <v>Thu tiền hàng</v>
      </c>
      <c r="E14" s="469" t="str">
        <f ca="1">IF(ROWS($1:3)&gt;COUNT(Dong2),"",IF(OFFSET(TH!M$1,SMALL(Dong2,ROWS($1:3)),)=$I$6,OFFSET(TH!L$1,SMALL(Dong2,ROWS($1:3)),),OFFSET(TH!M$1,SMALL(Dong2,ROWS($1:3)),)))</f>
        <v>131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72">
        <f t="shared" ca="1" si="0"/>
        <v>178175740</v>
      </c>
      <c r="I14" s="473"/>
      <c r="L14" s="105"/>
    </row>
    <row r="15" spans="1:20" s="452" customFormat="1" ht="18.75" customHeight="1">
      <c r="A15" s="469">
        <f ca="1">IF(ROWS($1:4)&gt;COUNT(Dong2),"",OFFSET(TH!C$1,SMALL(Dong2,ROWS($1:4)),))</f>
        <v>40658</v>
      </c>
      <c r="B15" s="469" t="str">
        <f ca="1">IF(ROWS($1:4)&gt;COUNT(Dong2),"",OFFSET(TH!D$1,SMALL(Dong2,ROWS($1:4)),))</f>
        <v>GBC</v>
      </c>
      <c r="C15" s="469">
        <f ca="1">IF(ROWS($1:4)&gt;COUNT(Dong2),"",OFFSET(TH!E$1,SMALL(Dong2,ROWS($1:4)),))</f>
        <v>40658</v>
      </c>
      <c r="D15" s="470" t="str">
        <f ca="1">IF(ROWS($1:4)&gt;COUNT(Dong2),"",OFFSET(TH!F$1,SMALL(Dong2,ROWS($1:4)),))</f>
        <v>Lãi tiền gửi</v>
      </c>
      <c r="E15" s="469" t="str">
        <f ca="1">IF(ROWS($1:4)&gt;COUNT(Dong2),"",IF(OFFSET(TH!M$1,SMALL(Dong2,ROWS($1:4)),)=$I$6,OFFSET(TH!L$1,SMALL(Dong2,ROWS($1:4)),),OFFSET(TH!M$1,SMALL(Dong2,ROWS($1:4)),)))</f>
        <v>515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72">
        <f t="shared" ca="1" si="0"/>
        <v>178447632</v>
      </c>
      <c r="I15" s="473"/>
      <c r="L15" s="105"/>
    </row>
    <row r="16" spans="1:20" s="452" customFormat="1" ht="18.75" customHeight="1">
      <c r="A16" s="469">
        <f ca="1">IF(ROWS($1:5)&gt;COUNT(Dong2),"",OFFSET(TH!C$1,SMALL(Dong2,ROWS($1:5)),))</f>
        <v>40669</v>
      </c>
      <c r="B16" s="469" t="str">
        <f ca="1">IF(ROWS($1:5)&gt;COUNT(Dong2),"",OFFSET(TH!D$1,SMALL(Dong2,ROWS($1:5)),))</f>
        <v>GBN</v>
      </c>
      <c r="C16" s="469">
        <f ca="1">IF(ROWS($1:5)&gt;COUNT(Dong2),"",OFFSET(TH!E$1,SMALL(Dong2,ROWS($1:5)),))</f>
        <v>40669</v>
      </c>
      <c r="D16" s="470" t="str">
        <f ca="1">IF(ROWS($1:5)&gt;COUNT(Dong2),"",OFFSET(TH!F$1,SMALL(Dong2,ROWS($1:5)),))</f>
        <v>Chuyển trả tiền do chuyển sai</v>
      </c>
      <c r="E16" s="469" t="str">
        <f ca="1">IF(ROWS($1:5)&gt;COUNT(Dong2),"",IF(OFFSET(TH!M$1,SMALL(Dong2,ROWS($1:5)),)=$I$6,OFFSET(TH!L$1,SMALL(Dong2,ROWS($1:5)),),OFFSET(TH!M$1,SMALL(Dong2,ROWS($1:5)),)))</f>
        <v>131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72">
        <f t="shared" ca="1" si="0"/>
        <v>150271892</v>
      </c>
      <c r="I16" s="473"/>
      <c r="L16" s="105"/>
    </row>
    <row r="17" spans="1:17" s="452" customFormat="1" ht="18.75" customHeight="1">
      <c r="A17" s="469">
        <f ca="1">IF(ROWS($1:6)&gt;COUNT(Dong2),"",OFFSET(TH!C$1,SMALL(Dong2,ROWS($1:6)),))</f>
        <v>40669</v>
      </c>
      <c r="B17" s="469" t="str">
        <f ca="1">IF(ROWS($1:6)&gt;COUNT(Dong2),"",OFFSET(TH!D$1,SMALL(Dong2,ROWS($1:6)),))</f>
        <v>T05</v>
      </c>
      <c r="C17" s="469">
        <f ca="1">IF(ROWS($1:6)&gt;COUNT(Dong2),"",OFFSET(TH!E$1,SMALL(Dong2,ROWS($1:6)),))</f>
        <v>40669</v>
      </c>
      <c r="D17" s="470" t="str">
        <f ca="1">IF(ROWS($1:6)&gt;COUNT(Dong2),"",OFFSET(TH!F$1,SMALL(Dong2,ROWS($1:6)),))</f>
        <v>Rút tiền nhập quỹ tiền mặt</v>
      </c>
      <c r="E17" s="469" t="str">
        <f ca="1">IF(ROWS($1:6)&gt;COUNT(Dong2),"",IF(OFFSET(TH!M$1,SMALL(Dong2,ROWS($1:6)),)=$I$6,OFFSET(TH!L$1,SMALL(Dong2,ROWS($1:6)),),OFFSET(TH!M$1,SMALL(Dong2,ROWS($1:6)),)))</f>
        <v>1111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72">
        <f t="shared" ca="1" si="0"/>
        <v>140271892</v>
      </c>
      <c r="I17" s="473"/>
      <c r="L17" s="105"/>
    </row>
    <row r="18" spans="1:17" s="452" customFormat="1" ht="18.75" customHeight="1">
      <c r="A18" s="469">
        <f ca="1">IF(ROWS($1:7)&gt;COUNT(Dong2),"",OFFSET(TH!C$1,SMALL(Dong2,ROWS($1:7)),))</f>
        <v>40673</v>
      </c>
      <c r="B18" s="469" t="str">
        <f ca="1">IF(ROWS($1:7)&gt;COUNT(Dong2),"",OFFSET(TH!D$1,SMALL(Dong2,ROWS($1:7)),))</f>
        <v>GBN</v>
      </c>
      <c r="C18" s="469">
        <f ca="1">IF(ROWS($1:7)&gt;COUNT(Dong2),"",OFFSET(TH!E$1,SMALL(Dong2,ROWS($1:7)),))</f>
        <v>40673</v>
      </c>
      <c r="D18" s="470" t="str">
        <f ca="1">IF(ROWS($1:7)&gt;COUNT(Dong2),"",OFFSET(TH!F$1,SMALL(Dong2,ROWS($1:7)),))</f>
        <v>Thanh toán tiền hàng</v>
      </c>
      <c r="E18" s="469" t="str">
        <f ca="1">IF(ROWS($1:7)&gt;COUNT(Dong2),"",IF(OFFSET(TH!M$1,SMALL(Dong2,ROWS($1:7)),)=$I$6,OFFSET(TH!L$1,SMALL(Dong2,ROWS($1:7)),),OFFSET(TH!M$1,SMALL(Dong2,ROWS($1:7)),)))</f>
        <v>331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72">
        <f t="shared" ca="1" si="0"/>
        <v>90271892</v>
      </c>
      <c r="I18" s="473"/>
      <c r="L18" s="105"/>
    </row>
    <row r="19" spans="1:17" s="452" customFormat="1" ht="18.75" customHeight="1">
      <c r="A19" s="469">
        <f ca="1">IF(ROWS($1:8)&gt;COUNT(Dong2),"",OFFSET(TH!C$1,SMALL(Dong2,ROWS($1:8)),))</f>
        <v>40673</v>
      </c>
      <c r="B19" s="469" t="str">
        <f ca="1">IF(ROWS($1:8)&gt;COUNT(Dong2),"",OFFSET(TH!D$1,SMALL(Dong2,ROWS($1:8)),))</f>
        <v>GBN</v>
      </c>
      <c r="C19" s="469">
        <f ca="1">IF(ROWS($1:8)&gt;COUNT(Dong2),"",OFFSET(TH!E$1,SMALL(Dong2,ROWS($1:8)),))</f>
        <v>40673</v>
      </c>
      <c r="D19" s="470" t="str">
        <f ca="1">IF(ROWS($1:8)&gt;COUNT(Dong2),"",OFFSET(TH!F$1,SMALL(Dong2,ROWS($1:8)),))</f>
        <v>Phí chuyển tiền</v>
      </c>
      <c r="E19" s="469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72">
        <f t="shared" ca="1" si="0"/>
        <v>90261892</v>
      </c>
      <c r="I19" s="473"/>
      <c r="L19" s="105"/>
    </row>
    <row r="20" spans="1:17" s="452" customFormat="1" ht="18.75" customHeight="1">
      <c r="A20" s="469">
        <f ca="1">IF(ROWS($1:9)&gt;COUNT(Dong2),"",OFFSET(TH!C$1,SMALL(Dong2,ROWS($1:9)),))</f>
        <v>40680</v>
      </c>
      <c r="B20" s="469" t="str">
        <f ca="1">IF(ROWS($1:9)&gt;COUNT(Dong2),"",OFFSET(TH!D$1,SMALL(Dong2,ROWS($1:9)),))</f>
        <v>GBN</v>
      </c>
      <c r="C20" s="469">
        <f ca="1">IF(ROWS($1:9)&gt;COUNT(Dong2),"",OFFSET(TH!E$1,SMALL(Dong2,ROWS($1:9)),))</f>
        <v>40680</v>
      </c>
      <c r="D20" s="470" t="str">
        <f ca="1">IF(ROWS($1:9)&gt;COUNT(Dong2),"",OFFSET(TH!F$1,SMALL(Dong2,ROWS($1:9)),))</f>
        <v>Thanh toán tiền hàng</v>
      </c>
      <c r="E20" s="469" t="str">
        <f ca="1">IF(ROWS($1:9)&gt;COUNT(Dong2),"",IF(OFFSET(TH!M$1,SMALL(Dong2,ROWS($1:9)),)=$I$6,OFFSET(TH!L$1,SMALL(Dong2,ROWS($1:9)),),OFFSET(TH!M$1,SMALL(Dong2,ROWS($1:9)),)))</f>
        <v>331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72">
        <f t="shared" ca="1" si="0"/>
        <v>40261892</v>
      </c>
      <c r="I20" s="473"/>
      <c r="L20" s="105"/>
    </row>
    <row r="21" spans="1:17" s="452" customFormat="1" ht="18.75" customHeight="1">
      <c r="A21" s="469">
        <f ca="1">IF(ROWS($1:10)&gt;COUNT(Dong2),"",OFFSET(TH!C$1,SMALL(Dong2,ROWS($1:10)),))</f>
        <v>40680</v>
      </c>
      <c r="B21" s="469" t="str">
        <f ca="1">IF(ROWS($1:10)&gt;COUNT(Dong2),"",OFFSET(TH!D$1,SMALL(Dong2,ROWS($1:10)),))</f>
        <v>GBN</v>
      </c>
      <c r="C21" s="469">
        <f ca="1">IF(ROWS($1:10)&gt;COUNT(Dong2),"",OFFSET(TH!E$1,SMALL(Dong2,ROWS($1:10)),))</f>
        <v>40680</v>
      </c>
      <c r="D21" s="470" t="str">
        <f ca="1">IF(ROWS($1:10)&gt;COUNT(Dong2),"",OFFSET(TH!F$1,SMALL(Dong2,ROWS($1:10)),))</f>
        <v>Phí chuyển tiền</v>
      </c>
      <c r="E21" s="469" t="str">
        <f ca="1">IF(ROWS($1:10)&gt;COUNT(Dong2),"",IF(OFFSET(TH!M$1,SMALL(Dong2,ROWS($1:10)),)=$I$6,OFFSET(TH!L$1,SMALL(Dong2,ROWS($1:10)),),OFFSET(TH!M$1,SMALL(Dong2,ROWS($1:10)),)))</f>
        <v>642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72">
        <f t="shared" ca="1" si="0"/>
        <v>40251892</v>
      </c>
      <c r="I21" s="473"/>
      <c r="L21" s="105"/>
      <c r="Q21" s="457"/>
    </row>
    <row r="22" spans="1:17" s="452" customFormat="1" ht="18.75" customHeight="1">
      <c r="A22" s="469">
        <f ca="1">IF(ROWS($1:11)&gt;COUNT(Dong2),"",OFFSET(TH!C$1,SMALL(Dong2,ROWS($1:11)),))</f>
        <v>40688</v>
      </c>
      <c r="B22" s="469" t="str">
        <f ca="1">IF(ROWS($1:11)&gt;COUNT(Dong2),"",OFFSET(TH!D$1,SMALL(Dong2,ROWS($1:11)),))</f>
        <v>GBC</v>
      </c>
      <c r="C22" s="469">
        <f ca="1">IF(ROWS($1:11)&gt;COUNT(Dong2),"",OFFSET(TH!E$1,SMALL(Dong2,ROWS($1:11)),))</f>
        <v>40688</v>
      </c>
      <c r="D22" s="470" t="str">
        <f ca="1">IF(ROWS($1:11)&gt;COUNT(Dong2),"",OFFSET(TH!F$1,SMALL(Dong2,ROWS($1:11)),))</f>
        <v>Lãi tiền gửi</v>
      </c>
      <c r="E22" s="469" t="str">
        <f ca="1">IF(ROWS($1:11)&gt;COUNT(Dong2),"",IF(OFFSET(TH!M$1,SMALL(Dong2,ROWS($1:11)),)=$I$6,OFFSET(TH!L$1,SMALL(Dong2,ROWS($1:11)),),OFFSET(TH!M$1,SMALL(Dong2,ROWS($1:11)),)))</f>
        <v>515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72">
        <f t="shared" ca="1" si="0"/>
        <v>40530197</v>
      </c>
      <c r="I22" s="473"/>
      <c r="L22" s="105"/>
    </row>
    <row r="23" spans="1:17" s="452" customFormat="1" ht="18.75" customHeight="1">
      <c r="A23" s="469">
        <f ca="1">IF(ROWS($1:12)&gt;COUNT(Dong2),"",OFFSET(TH!C$1,SMALL(Dong2,ROWS($1:12)),))</f>
        <v>40689</v>
      </c>
      <c r="B23" s="469" t="str">
        <f ca="1">IF(ROWS($1:12)&gt;COUNT(Dong2),"",OFFSET(TH!D$1,SMALL(Dong2,ROWS($1:12)),))</f>
        <v>C31</v>
      </c>
      <c r="C23" s="469">
        <f ca="1">IF(ROWS($1:12)&gt;COUNT(Dong2),"",OFFSET(TH!E$1,SMALL(Dong2,ROWS($1:12)),))</f>
        <v>40689</v>
      </c>
      <c r="D23" s="470" t="str">
        <f ca="1">IF(ROWS($1:12)&gt;COUNT(Dong2),"",OFFSET(TH!F$1,SMALL(Dong2,ROWS($1:12)),))</f>
        <v>Nộp tiền mặt vào tài khoản</v>
      </c>
      <c r="E23" s="469" t="str">
        <f ca="1">IF(ROWS($1:12)&gt;COUNT(Dong2),"",IF(OFFSET(TH!M$1,SMALL(Dong2,ROWS($1:12)),)=$I$6,OFFSET(TH!L$1,SMALL(Dong2,ROWS($1:12)),),OFFSET(TH!M$1,SMALL(Dong2,ROWS($1:12)),)))</f>
        <v>1111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72">
        <f t="shared" ca="1" si="0"/>
        <v>45530197</v>
      </c>
      <c r="I23" s="473"/>
      <c r="L23" s="105"/>
      <c r="Q23" s="474"/>
    </row>
    <row r="24" spans="1:17" s="452" customFormat="1" ht="18.75" customHeight="1">
      <c r="A24" s="469">
        <f ca="1">IF(ROWS($1:13)&gt;COUNT(Dong2),"",OFFSET(TH!C$1,SMALL(Dong2,ROWS($1:13)),))</f>
        <v>40690</v>
      </c>
      <c r="B24" s="469" t="str">
        <f ca="1">IF(ROWS($1:13)&gt;COUNT(Dong2),"",OFFSET(TH!D$1,SMALL(Dong2,ROWS($1:13)),))</f>
        <v>GBN</v>
      </c>
      <c r="C24" s="469">
        <f ca="1">IF(ROWS($1:13)&gt;COUNT(Dong2),"",OFFSET(TH!E$1,SMALL(Dong2,ROWS($1:13)),))</f>
        <v>40690</v>
      </c>
      <c r="D24" s="470" t="str">
        <f ca="1">IF(ROWS($1:13)&gt;COUNT(Dong2),"",OFFSET(TH!F$1,SMALL(Dong2,ROWS($1:13)),))</f>
        <v>Thanh toán tiền hàng</v>
      </c>
      <c r="E24" s="469" t="str">
        <f ca="1">IF(ROWS($1:13)&gt;COUNT(Dong2),"",IF(OFFSET(TH!M$1,SMALL(Dong2,ROWS($1:13)),)=$I$6,OFFSET(TH!L$1,SMALL(Dong2,ROWS($1:13)),),OFFSET(TH!M$1,SMALL(Dong2,ROWS($1:13)),)))</f>
        <v>331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72">
        <f t="shared" ca="1" si="0"/>
        <v>3817801</v>
      </c>
      <c r="I24" s="473"/>
      <c r="L24" s="105"/>
    </row>
    <row r="25" spans="1:17" s="452" customFormat="1" ht="18.75" customHeight="1">
      <c r="A25" s="469">
        <f ca="1">IF(ROWS($1:14)&gt;COUNT(Dong2),"",OFFSET(TH!C$1,SMALL(Dong2,ROWS($1:14)),))</f>
        <v>40690</v>
      </c>
      <c r="B25" s="469" t="str">
        <f ca="1">IF(ROWS($1:14)&gt;COUNT(Dong2),"",OFFSET(TH!D$1,SMALL(Dong2,ROWS($1:14)),))</f>
        <v>GBN</v>
      </c>
      <c r="C25" s="469">
        <f ca="1">IF(ROWS($1:14)&gt;COUNT(Dong2),"",OFFSET(TH!E$1,SMALL(Dong2,ROWS($1:14)),))</f>
        <v>40690</v>
      </c>
      <c r="D25" s="470" t="str">
        <f ca="1">IF(ROWS($1:14)&gt;COUNT(Dong2),"",OFFSET(TH!F$1,SMALL(Dong2,ROWS($1:14)),))</f>
        <v>Phí chuyển tiền</v>
      </c>
      <c r="E25" s="469" t="str">
        <f ca="1">IF(ROWS($1:14)&gt;COUNT(Dong2),"",IF(OFFSET(TH!M$1,SMALL(Dong2,ROWS($1:14)),)=$I$6,OFFSET(TH!L$1,SMALL(Dong2,ROWS($1:14)),),OFFSET(TH!M$1,SMALL(Dong2,ROWS($1:14)),)))</f>
        <v>642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72">
        <f t="shared" ca="1" si="0"/>
        <v>3807801</v>
      </c>
      <c r="I25" s="473"/>
      <c r="L25" s="105"/>
    </row>
    <row r="26" spans="1:17" s="452" customFormat="1" ht="18.75" customHeight="1">
      <c r="A26" s="469">
        <f ca="1">IF(ROWS($1:15)&gt;COUNT(Dong2),"",OFFSET(TH!C$1,SMALL(Dong2,ROWS($1:15)),))</f>
        <v>40690</v>
      </c>
      <c r="B26" s="469" t="str">
        <f ca="1">IF(ROWS($1:15)&gt;COUNT(Dong2),"",OFFSET(TH!D$1,SMALL(Dong2,ROWS($1:15)),))</f>
        <v>GBN</v>
      </c>
      <c r="C26" s="469">
        <f ca="1">IF(ROWS($1:15)&gt;COUNT(Dong2),"",OFFSET(TH!E$1,SMALL(Dong2,ROWS($1:15)),))</f>
        <v>40690</v>
      </c>
      <c r="D26" s="470" t="str">
        <f ca="1">IF(ROWS($1:15)&gt;COUNT(Dong2),"",OFFSET(TH!F$1,SMALL(Dong2,ROWS($1:15)),))</f>
        <v>Phí chuyển tiền</v>
      </c>
      <c r="E26" s="469" t="str">
        <f ca="1">IF(ROWS($1:15)&gt;COUNT(Dong2),"",IF(OFFSET(TH!M$1,SMALL(Dong2,ROWS($1:15)),)=$I$6,OFFSET(TH!L$1,SMALL(Dong2,ROWS($1:15)),),OFFSET(TH!M$1,SMALL(Dong2,ROWS($1:15)),)))</f>
        <v>642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72">
        <f t="shared" ca="1" si="0"/>
        <v>3797801</v>
      </c>
      <c r="I26" s="473"/>
      <c r="L26" s="105"/>
    </row>
    <row r="27" spans="1:17" s="452" customFormat="1" ht="18.75" customHeight="1">
      <c r="A27" s="469">
        <f ca="1">IF(ROWS($1:16)&gt;COUNT(Dong2),"",OFFSET(TH!C$1,SMALL(Dong2,ROWS($1:16)),))</f>
        <v>40697</v>
      </c>
      <c r="B27" s="469" t="str">
        <f ca="1">IF(ROWS($1:16)&gt;COUNT(Dong2),"",OFFSET(TH!D$1,SMALL(Dong2,ROWS($1:16)),))</f>
        <v>GBC</v>
      </c>
      <c r="C27" s="469">
        <f ca="1">IF(ROWS($1:16)&gt;COUNT(Dong2),"",OFFSET(TH!E$1,SMALL(Dong2,ROWS($1:16)),))</f>
        <v>40697</v>
      </c>
      <c r="D27" s="470" t="str">
        <f ca="1">IF(ROWS($1:16)&gt;COUNT(Dong2),"",OFFSET(TH!F$1,SMALL(Dong2,ROWS($1:16)),))</f>
        <v>Thu tiền hàng</v>
      </c>
      <c r="E27" s="469" t="str">
        <f ca="1">IF(ROWS($1:16)&gt;COUNT(Dong2),"",IF(OFFSET(TH!M$1,SMALL(Dong2,ROWS($1:16)),)=$I$6,OFFSET(TH!L$1,SMALL(Dong2,ROWS($1:16)),),OFFSET(TH!M$1,SMALL(Dong2,ROWS($1:16)),)))</f>
        <v>131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72">
        <f t="shared" ca="1" si="0"/>
        <v>71215889</v>
      </c>
      <c r="I27" s="473"/>
      <c r="L27" s="105"/>
    </row>
    <row r="28" spans="1:17" s="452" customFormat="1" ht="18.75" customHeight="1">
      <c r="A28" s="469">
        <f ca="1">IF(ROWS($1:17)&gt;COUNT(Dong2),"",OFFSET(TH!C$1,SMALL(Dong2,ROWS($1:17)),))</f>
        <v>40700</v>
      </c>
      <c r="B28" s="469" t="str">
        <f ca="1">IF(ROWS($1:17)&gt;COUNT(Dong2),"",OFFSET(TH!D$1,SMALL(Dong2,ROWS($1:17)),))</f>
        <v>C38</v>
      </c>
      <c r="C28" s="469">
        <f ca="1">IF(ROWS($1:17)&gt;COUNT(Dong2),"",OFFSET(TH!E$1,SMALL(Dong2,ROWS($1:17)),))</f>
        <v>40700</v>
      </c>
      <c r="D28" s="470" t="str">
        <f ca="1">IF(ROWS($1:17)&gt;COUNT(Dong2),"",OFFSET(TH!F$1,SMALL(Dong2,ROWS($1:17)),))</f>
        <v>Nộp tiền mặt vào tài khoản</v>
      </c>
      <c r="E28" s="469" t="str">
        <f ca="1">IF(ROWS($1:17)&gt;COUNT(Dong2),"",IF(OFFSET(TH!M$1,SMALL(Dong2,ROWS($1:17)),)=$I$6,OFFSET(TH!L$1,SMALL(Dong2,ROWS($1:17)),),OFFSET(TH!M$1,SMALL(Dong2,ROWS($1:17)),)))</f>
        <v>1111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72">
        <f t="shared" ca="1" si="0"/>
        <v>101215889</v>
      </c>
      <c r="I28" s="473"/>
      <c r="L28" s="105"/>
    </row>
    <row r="29" spans="1:17" s="452" customFormat="1" ht="18.75" customHeight="1">
      <c r="A29" s="469">
        <f ca="1">IF(ROWS($1:18)&gt;COUNT(Dong2),"",OFFSET(TH!C$1,SMALL(Dong2,ROWS($1:18)),))</f>
        <v>40700</v>
      </c>
      <c r="B29" s="469" t="str">
        <f ca="1">IF(ROWS($1:18)&gt;COUNT(Dong2),"",OFFSET(TH!D$1,SMALL(Dong2,ROWS($1:18)),))</f>
        <v>GBN</v>
      </c>
      <c r="C29" s="469">
        <f ca="1">IF(ROWS($1:18)&gt;COUNT(Dong2),"",OFFSET(TH!E$1,SMALL(Dong2,ROWS($1:18)),))</f>
        <v>40700</v>
      </c>
      <c r="D29" s="470" t="str">
        <f ca="1">IF(ROWS($1:18)&gt;COUNT(Dong2),"",OFFSET(TH!F$1,SMALL(Dong2,ROWS($1:18)),))</f>
        <v>Thanh toán tiền hàng</v>
      </c>
      <c r="E29" s="469" t="str">
        <f ca="1">IF(ROWS($1:18)&gt;COUNT(Dong2),"",IF(OFFSET(TH!M$1,SMALL(Dong2,ROWS($1:18)),)=$I$6,OFFSET(TH!L$1,SMALL(Dong2,ROWS($1:18)),),OFFSET(TH!M$1,SMALL(Dong2,ROWS($1:18)),)))</f>
        <v>331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72">
        <f t="shared" ca="1" si="0"/>
        <v>1215889</v>
      </c>
      <c r="I29" s="473"/>
      <c r="L29" s="105"/>
    </row>
    <row r="30" spans="1:17" s="452" customFormat="1" ht="18.75" customHeight="1">
      <c r="A30" s="469">
        <f ca="1">IF(ROWS($1:19)&gt;COUNT(Dong2),"",OFFSET(TH!C$1,SMALL(Dong2,ROWS($1:19)),))</f>
        <v>40700</v>
      </c>
      <c r="B30" s="469" t="str">
        <f ca="1">IF(ROWS($1:19)&gt;COUNT(Dong2),"",OFFSET(TH!D$1,SMALL(Dong2,ROWS($1:19)),))</f>
        <v>GBN</v>
      </c>
      <c r="C30" s="469">
        <f ca="1">IF(ROWS($1:19)&gt;COUNT(Dong2),"",OFFSET(TH!E$1,SMALL(Dong2,ROWS($1:19)),))</f>
        <v>40700</v>
      </c>
      <c r="D30" s="470" t="str">
        <f ca="1">IF(ROWS($1:19)&gt;COUNT(Dong2),"",OFFSET(TH!F$1,SMALL(Dong2,ROWS($1:19)),))</f>
        <v>Phí chuyển tiền</v>
      </c>
      <c r="E30" s="469" t="str">
        <f ca="1">IF(ROWS($1:19)&gt;COUNT(Dong2),"",IF(OFFSET(TH!M$1,SMALL(Dong2,ROWS($1:19)),)=$I$6,OFFSET(TH!L$1,SMALL(Dong2,ROWS($1:19)),),OFFSET(TH!M$1,SMALL(Dong2,ROWS($1:19)),)))</f>
        <v>642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72">
        <f t="shared" ca="1" si="0"/>
        <v>1205889</v>
      </c>
      <c r="I30" s="473"/>
      <c r="L30" s="105"/>
    </row>
    <row r="31" spans="1:17" s="452" customFormat="1" ht="18.75" customHeight="1">
      <c r="A31" s="469">
        <f ca="1">IF(ROWS($1:20)&gt;COUNT(Dong2),"",OFFSET(TH!C$1,SMALL(Dong2,ROWS($1:20)),))</f>
        <v>40702</v>
      </c>
      <c r="B31" s="469" t="str">
        <f ca="1">IF(ROWS($1:20)&gt;COUNT(Dong2),"",OFFSET(TH!D$1,SMALL(Dong2,ROWS($1:20)),))</f>
        <v>GBC</v>
      </c>
      <c r="C31" s="469">
        <f ca="1">IF(ROWS($1:20)&gt;COUNT(Dong2),"",OFFSET(TH!E$1,SMALL(Dong2,ROWS($1:20)),))</f>
        <v>40702</v>
      </c>
      <c r="D31" s="470" t="str">
        <f ca="1">IF(ROWS($1:20)&gt;COUNT(Dong2),"",OFFSET(TH!F$1,SMALL(Dong2,ROWS($1:20)),))</f>
        <v>Thu tiền hàng</v>
      </c>
      <c r="E31" s="469" t="str">
        <f ca="1">IF(ROWS($1:20)&gt;COUNT(Dong2),"",IF(OFFSET(TH!M$1,SMALL(Dong2,ROWS($1:20)),)=$I$6,OFFSET(TH!L$1,SMALL(Dong2,ROWS($1:20)),),OFFSET(TH!M$1,SMALL(Dong2,ROWS($1:20)),)))</f>
        <v>131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72">
        <f t="shared" ca="1" si="0"/>
        <v>77238800</v>
      </c>
      <c r="I31" s="473"/>
      <c r="L31" s="105"/>
    </row>
    <row r="32" spans="1:17" s="452" customFormat="1" ht="18.75" customHeight="1">
      <c r="A32" s="469">
        <f ca="1">IF(ROWS($1:21)&gt;COUNT(Dong2),"",OFFSET(TH!C$1,SMALL(Dong2,ROWS($1:21)),))</f>
        <v>40709</v>
      </c>
      <c r="B32" s="469" t="str">
        <f ca="1">IF(ROWS($1:21)&gt;COUNT(Dong2),"",OFFSET(TH!D$1,SMALL(Dong2,ROWS($1:21)),))</f>
        <v>C46</v>
      </c>
      <c r="C32" s="469">
        <f ca="1">IF(ROWS($1:21)&gt;COUNT(Dong2),"",OFFSET(TH!E$1,SMALL(Dong2,ROWS($1:21)),))</f>
        <v>40709</v>
      </c>
      <c r="D32" s="470" t="str">
        <f ca="1">IF(ROWS($1:21)&gt;COUNT(Dong2),"",OFFSET(TH!F$1,SMALL(Dong2,ROWS($1:21)),))</f>
        <v>Nộp tiền mặt vào tài khoản</v>
      </c>
      <c r="E32" s="469" t="str">
        <f ca="1">IF(ROWS($1:21)&gt;COUNT(Dong2),"",IF(OFFSET(TH!M$1,SMALL(Dong2,ROWS($1:21)),)=$I$6,OFFSET(TH!L$1,SMALL(Dong2,ROWS($1:21)),),OFFSET(TH!M$1,SMALL(Dong2,ROWS($1:21)),)))</f>
        <v>1111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72">
        <f t="shared" ca="1" si="0"/>
        <v>167238800</v>
      </c>
      <c r="I32" s="473"/>
      <c r="L32" s="105"/>
    </row>
    <row r="33" spans="1:20" s="452" customFormat="1" ht="18.75" customHeight="1">
      <c r="A33" s="469">
        <f ca="1">IF(ROWS($1:22)&gt;COUNT(Dong2),"",OFFSET(TH!C$1,SMALL(Dong2,ROWS($1:22)),))</f>
        <v>40709</v>
      </c>
      <c r="B33" s="469" t="str">
        <f ca="1">IF(ROWS($1:22)&gt;COUNT(Dong2),"",OFFSET(TH!D$1,SMALL(Dong2,ROWS($1:22)),))</f>
        <v>GBN</v>
      </c>
      <c r="C33" s="469">
        <f ca="1">IF(ROWS($1:22)&gt;COUNT(Dong2),"",OFFSET(TH!E$1,SMALL(Dong2,ROWS($1:22)),))</f>
        <v>40709</v>
      </c>
      <c r="D33" s="470" t="str">
        <f ca="1">IF(ROWS($1:22)&gt;COUNT(Dong2),"",OFFSET(TH!F$1,SMALL(Dong2,ROWS($1:22)),))</f>
        <v>Thanh toán tiền máy</v>
      </c>
      <c r="E33" s="469" t="str">
        <f ca="1">IF(ROWS($1:22)&gt;COUNT(Dong2),"",IF(OFFSET(TH!M$1,SMALL(Dong2,ROWS($1:22)),)=$I$6,OFFSET(TH!L$1,SMALL(Dong2,ROWS($1:22)),),OFFSET(TH!M$1,SMALL(Dong2,ROWS($1:22)),)))</f>
        <v>331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72">
        <f t="shared" ca="1" si="0"/>
        <v>20838800</v>
      </c>
      <c r="I33" s="473"/>
      <c r="L33" s="105"/>
    </row>
    <row r="34" spans="1:20" s="452" customFormat="1" ht="18.75" customHeight="1">
      <c r="A34" s="469">
        <f ca="1">IF(ROWS($1:23)&gt;COUNT(Dong2),"",OFFSET(TH!C$1,SMALL(Dong2,ROWS($1:23)),))</f>
        <v>40709</v>
      </c>
      <c r="B34" s="469" t="str">
        <f ca="1">IF(ROWS($1:23)&gt;COUNT(Dong2),"",OFFSET(TH!D$1,SMALL(Dong2,ROWS($1:23)),))</f>
        <v>GBN</v>
      </c>
      <c r="C34" s="469">
        <f ca="1">IF(ROWS($1:23)&gt;COUNT(Dong2),"",OFFSET(TH!E$1,SMALL(Dong2,ROWS($1:23)),))</f>
        <v>40709</v>
      </c>
      <c r="D34" s="470" t="str">
        <f ca="1">IF(ROWS($1:23)&gt;COUNT(Dong2),"",OFFSET(TH!F$1,SMALL(Dong2,ROWS($1:23)),))</f>
        <v>Phí KD</v>
      </c>
      <c r="E34" s="469" t="str">
        <f ca="1">IF(ROWS($1:23)&gt;COUNT(Dong2),"",IF(OFFSET(TH!M$1,SMALL(Dong2,ROWS($1:23)),)=$I$6,OFFSET(TH!L$1,SMALL(Dong2,ROWS($1:23)),),OFFSET(TH!M$1,SMALL(Dong2,ROWS($1:23)),)))</f>
        <v>642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72">
        <f t="shared" ca="1" si="0"/>
        <v>20818052</v>
      </c>
      <c r="I34" s="473"/>
      <c r="L34" s="105"/>
    </row>
    <row r="35" spans="1:20" s="452" customFormat="1" ht="18.75" customHeight="1">
      <c r="A35" s="469">
        <f ca="1">IF(ROWS($1:24)&gt;COUNT(Dong2),"",OFFSET(TH!C$1,SMALL(Dong2,ROWS($1:24)),))</f>
        <v>40710</v>
      </c>
      <c r="B35" s="469" t="str">
        <f ca="1">IF(ROWS($1:24)&gt;COUNT(Dong2),"",OFFSET(TH!D$1,SMALL(Dong2,ROWS($1:24)),))</f>
        <v>C48</v>
      </c>
      <c r="C35" s="469">
        <f ca="1">IF(ROWS($1:24)&gt;COUNT(Dong2),"",OFFSET(TH!E$1,SMALL(Dong2,ROWS($1:24)),))</f>
        <v>40710</v>
      </c>
      <c r="D35" s="470" t="str">
        <f ca="1">IF(ROWS($1:24)&gt;COUNT(Dong2),"",OFFSET(TH!F$1,SMALL(Dong2,ROWS($1:24)),))</f>
        <v>Nộp tiền mặt vào tài khoản</v>
      </c>
      <c r="E35" s="469" t="str">
        <f ca="1">IF(ROWS($1:24)&gt;COUNT(Dong2),"",IF(OFFSET(TH!M$1,SMALL(Dong2,ROWS($1:24)),)=$I$6,OFFSET(TH!L$1,SMALL(Dong2,ROWS($1:24)),),OFFSET(TH!M$1,SMALL(Dong2,ROWS($1:24)),)))</f>
        <v>1111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72">
        <f t="shared" ca="1" si="0"/>
        <v>40818052</v>
      </c>
      <c r="I35" s="473"/>
      <c r="L35" s="105"/>
    </row>
    <row r="36" spans="1:20" s="452" customFormat="1" ht="18.75" customHeight="1">
      <c r="A36" s="469">
        <f ca="1">IF(ROWS($1:25)&gt;COUNT(Dong2),"",OFFSET(TH!C$1,SMALL(Dong2,ROWS($1:25)),))</f>
        <v>40711</v>
      </c>
      <c r="B36" s="469" t="str">
        <f ca="1">IF(ROWS($1:25)&gt;COUNT(Dong2),"",OFFSET(TH!D$1,SMALL(Dong2,ROWS($1:25)),))</f>
        <v>GBC</v>
      </c>
      <c r="C36" s="469">
        <f ca="1">IF(ROWS($1:25)&gt;COUNT(Dong2),"",OFFSET(TH!E$1,SMALL(Dong2,ROWS($1:25)),))</f>
        <v>40711</v>
      </c>
      <c r="D36" s="470" t="str">
        <f ca="1">IF(ROWS($1:25)&gt;COUNT(Dong2),"",OFFSET(TH!F$1,SMALL(Dong2,ROWS($1:25)),))</f>
        <v>Thu tiền hàng</v>
      </c>
      <c r="E36" s="469" t="str">
        <f ca="1">IF(ROWS($1:25)&gt;COUNT(Dong2),"",IF(OFFSET(TH!M$1,SMALL(Dong2,ROWS($1:25)),)=$I$6,OFFSET(TH!L$1,SMALL(Dong2,ROWS($1:25)),),OFFSET(TH!M$1,SMALL(Dong2,ROWS($1:25)),)))</f>
        <v>131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72">
        <f t="shared" ca="1" si="0"/>
        <v>69464714</v>
      </c>
      <c r="I36" s="473"/>
      <c r="L36" s="105"/>
    </row>
    <row r="37" spans="1:20" s="452" customFormat="1" ht="18.75" customHeight="1">
      <c r="A37" s="469">
        <f ca="1">IF(ROWS($1:26)&gt;COUNT(Dong2),"",OFFSET(TH!C$1,SMALL(Dong2,ROWS($1:26)),))</f>
        <v>40711</v>
      </c>
      <c r="B37" s="469" t="str">
        <f ca="1">IF(ROWS($1:26)&gt;COUNT(Dong2),"",OFFSET(TH!D$1,SMALL(Dong2,ROWS($1:26)),))</f>
        <v>GBN</v>
      </c>
      <c r="C37" s="469">
        <f ca="1">IF(ROWS($1:26)&gt;COUNT(Dong2),"",OFFSET(TH!E$1,SMALL(Dong2,ROWS($1:26)),))</f>
        <v>40711</v>
      </c>
      <c r="D37" s="470" t="str">
        <f ca="1">IF(ROWS($1:26)&gt;COUNT(Dong2),"",OFFSET(TH!F$1,SMALL(Dong2,ROWS($1:26)),))</f>
        <v>Thanh toán tiền hàng</v>
      </c>
      <c r="E37" s="469" t="str">
        <f ca="1">IF(ROWS($1:26)&gt;COUNT(Dong2),"",IF(OFFSET(TH!M$1,SMALL(Dong2,ROWS($1:26)),)=$I$6,OFFSET(TH!L$1,SMALL(Dong2,ROWS($1:26)),),OFFSET(TH!M$1,SMALL(Dong2,ROWS($1:26)),)))</f>
        <v>331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72">
        <f t="shared" ca="1" si="0"/>
        <v>29464714</v>
      </c>
      <c r="I37" s="473"/>
      <c r="L37" s="105"/>
    </row>
    <row r="38" spans="1:20" s="452" customFormat="1" ht="18.75" customHeight="1">
      <c r="A38" s="469">
        <f ca="1">IF(ROWS($1:27)&gt;COUNT(Dong2),"",OFFSET(TH!C$1,SMALL(Dong2,ROWS($1:27)),))</f>
        <v>40711</v>
      </c>
      <c r="B38" s="469" t="str">
        <f ca="1">IF(ROWS($1:27)&gt;COUNT(Dong2),"",OFFSET(TH!D$1,SMALL(Dong2,ROWS($1:27)),))</f>
        <v>GBN</v>
      </c>
      <c r="C38" s="469">
        <f ca="1">IF(ROWS($1:27)&gt;COUNT(Dong2),"",OFFSET(TH!E$1,SMALL(Dong2,ROWS($1:27)),))</f>
        <v>40711</v>
      </c>
      <c r="D38" s="470" t="str">
        <f ca="1">IF(ROWS($1:27)&gt;COUNT(Dong2),"",OFFSET(TH!F$1,SMALL(Dong2,ROWS($1:27)),))</f>
        <v>Phí chuyển tiền</v>
      </c>
      <c r="E38" s="469" t="str">
        <f ca="1">IF(ROWS($1:27)&gt;COUNT(Dong2),"",IF(OFFSET(TH!M$1,SMALL(Dong2,ROWS($1:27)),)=$I$6,OFFSET(TH!L$1,SMALL(Dong2,ROWS($1:27)),),OFFSET(TH!M$1,SMALL(Dong2,ROWS($1:27)),)))</f>
        <v>642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72">
        <f t="shared" ca="1" si="0"/>
        <v>29454714</v>
      </c>
      <c r="I38" s="473"/>
      <c r="L38" s="105"/>
    </row>
    <row r="39" spans="1:20" s="452" customFormat="1" ht="18.75" customHeight="1">
      <c r="A39" s="469">
        <f ca="1">IF(ROWS($1:28)&gt;COUNT(Dong2),"",OFFSET(TH!C$1,SMALL(Dong2,ROWS($1:28)),))</f>
        <v>40711</v>
      </c>
      <c r="B39" s="469" t="str">
        <f ca="1">IF(ROWS($1:28)&gt;COUNT(Dong2),"",OFFSET(TH!D$1,SMALL(Dong2,ROWS($1:28)),))</f>
        <v>GBN</v>
      </c>
      <c r="C39" s="469">
        <f ca="1">IF(ROWS($1:28)&gt;COUNT(Dong2),"",OFFSET(TH!E$1,SMALL(Dong2,ROWS($1:28)),))</f>
        <v>40711</v>
      </c>
      <c r="D39" s="470" t="str">
        <f ca="1">IF(ROWS($1:28)&gt;COUNT(Dong2),"",OFFSET(TH!F$1,SMALL(Dong2,ROWS($1:28)),))</f>
        <v>Phí chuyển tiền</v>
      </c>
      <c r="E39" s="469" t="str">
        <f ca="1">IF(ROWS($1:28)&gt;COUNT(Dong2),"",IF(OFFSET(TH!M$1,SMALL(Dong2,ROWS($1:28)),)=$I$6,OFFSET(TH!L$1,SMALL(Dong2,ROWS($1:28)),),OFFSET(TH!M$1,SMALL(Dong2,ROWS($1:28)),)))</f>
        <v>642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72">
        <f t="shared" ca="1" si="0"/>
        <v>29444714</v>
      </c>
      <c r="I39" s="473"/>
      <c r="L39" s="105"/>
    </row>
    <row r="40" spans="1:20" s="452" customFormat="1" ht="18.75" customHeight="1">
      <c r="A40" s="469">
        <f ca="1">IF(ROWS($1:29)&gt;COUNT(Dong2),"",OFFSET(TH!C$1,SMALL(Dong2,ROWS($1:29)),))</f>
        <v>40714</v>
      </c>
      <c r="B40" s="469" t="str">
        <f ca="1">IF(ROWS($1:29)&gt;COUNT(Dong2),"",OFFSET(TH!D$1,SMALL(Dong2,ROWS($1:29)),))</f>
        <v>C50</v>
      </c>
      <c r="C40" s="469">
        <f ca="1">IF(ROWS($1:29)&gt;COUNT(Dong2),"",OFFSET(TH!E$1,SMALL(Dong2,ROWS($1:29)),))</f>
        <v>40714</v>
      </c>
      <c r="D40" s="470" t="str">
        <f ca="1">IF(ROWS($1:29)&gt;COUNT(Dong2),"",OFFSET(TH!F$1,SMALL(Dong2,ROWS($1:29)),))</f>
        <v>Nộp tiền mặt vào tài khoản</v>
      </c>
      <c r="E40" s="469" t="str">
        <f ca="1">IF(ROWS($1:29)&gt;COUNT(Dong2),"",IF(OFFSET(TH!M$1,SMALL(Dong2,ROWS($1:29)),)=$I$6,OFFSET(TH!L$1,SMALL(Dong2,ROWS($1:29)),),OFFSET(TH!M$1,SMALL(Dong2,ROWS($1:29)),)))</f>
        <v>1111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72">
        <f t="shared" ca="1" si="0"/>
        <v>32444714</v>
      </c>
      <c r="I40" s="473"/>
    </row>
    <row r="41" spans="1:20" s="452" customFormat="1" ht="18.75" customHeight="1">
      <c r="A41" s="469">
        <f ca="1">IF(ROWS($1:30)&gt;COUNT(Dong2),"",OFFSET(TH!C$1,SMALL(Dong2,ROWS($1:30)),))</f>
        <v>40714</v>
      </c>
      <c r="B41" s="469" t="str">
        <f ca="1">IF(ROWS($1:30)&gt;COUNT(Dong2),"",OFFSET(TH!D$1,SMALL(Dong2,ROWS($1:30)),))</f>
        <v>GBN</v>
      </c>
      <c r="C41" s="469">
        <f ca="1">IF(ROWS($1:30)&gt;COUNT(Dong2),"",OFFSET(TH!E$1,SMALL(Dong2,ROWS($1:30)),))</f>
        <v>40714</v>
      </c>
      <c r="D41" s="470" t="str">
        <f ca="1">IF(ROWS($1:30)&gt;COUNT(Dong2),"",OFFSET(TH!F$1,SMALL(Dong2,ROWS($1:30)),))</f>
        <v>Thanh toán tiền hàng</v>
      </c>
      <c r="E41" s="469" t="str">
        <f ca="1">IF(ROWS($1:30)&gt;COUNT(Dong2),"",IF(OFFSET(TH!M$1,SMALL(Dong2,ROWS($1:30)),)=$I$6,OFFSET(TH!L$1,SMALL(Dong2,ROWS($1:30)),),OFFSET(TH!M$1,SMALL(Dong2,ROWS($1:30)),)))</f>
        <v>331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72">
        <f t="shared" ref="H41:H43" ca="1" si="1">IF(A41&lt;&gt;"",H40+F41-G41,0)</f>
        <v>1564714</v>
      </c>
      <c r="I41" s="473"/>
    </row>
    <row r="42" spans="1:20" s="452" customFormat="1" ht="18.75" customHeight="1">
      <c r="A42" s="469">
        <f ca="1">IF(ROWS($1:31)&gt;COUNT(Dong2),"",OFFSET(TH!C$1,SMALL(Dong2,ROWS($1:31)),))</f>
        <v>40715</v>
      </c>
      <c r="B42" s="469" t="str">
        <f ca="1">IF(ROWS($1:31)&gt;COUNT(Dong2),"",OFFSET(TH!D$1,SMALL(Dong2,ROWS($1:31)),))</f>
        <v>GBN</v>
      </c>
      <c r="C42" s="469">
        <f ca="1">IF(ROWS($1:31)&gt;COUNT(Dong2),"",OFFSET(TH!E$1,SMALL(Dong2,ROWS($1:31)),))</f>
        <v>40715</v>
      </c>
      <c r="D42" s="470" t="str">
        <f ca="1">IF(ROWS($1:31)&gt;COUNT(Dong2),"",OFFSET(TH!F$1,SMALL(Dong2,ROWS($1:31)),))</f>
        <v>Phí chuyển tiền</v>
      </c>
      <c r="E42" s="469" t="str">
        <f ca="1">IF(ROWS($1:31)&gt;COUNT(Dong2),"",IF(OFFSET(TH!M$1,SMALL(Dong2,ROWS($1:31)),)=$I$6,OFFSET(TH!L$1,SMALL(Dong2,ROWS($1:31)),),OFFSET(TH!M$1,SMALL(Dong2,ROWS($1:31)),)))</f>
        <v>642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72">
        <f t="shared" ca="1" si="1"/>
        <v>1554714</v>
      </c>
      <c r="I42" s="473"/>
    </row>
    <row r="43" spans="1:20" s="452" customFormat="1" ht="18.75" customHeight="1">
      <c r="A43" s="469">
        <f ca="1">IF(ROWS($1:32)&gt;COUNT(Dong2),"",OFFSET(TH!C$1,SMALL(Dong2,ROWS($1:32)),))</f>
        <v>40719</v>
      </c>
      <c r="B43" s="469" t="str">
        <f ca="1">IF(ROWS($1:32)&gt;COUNT(Dong2),"",OFFSET(TH!D$1,SMALL(Dong2,ROWS($1:32)),))</f>
        <v>GBC</v>
      </c>
      <c r="C43" s="469">
        <f ca="1">IF(ROWS($1:32)&gt;COUNT(Dong2),"",OFFSET(TH!E$1,SMALL(Dong2,ROWS($1:32)),))</f>
        <v>40719</v>
      </c>
      <c r="D43" s="470" t="str">
        <f ca="1">IF(ROWS($1:32)&gt;COUNT(Dong2),"",OFFSET(TH!F$1,SMALL(Dong2,ROWS($1:32)),))</f>
        <v>Lãi tiền gửi</v>
      </c>
      <c r="E43" s="469" t="str">
        <f ca="1">IF(ROWS($1:32)&gt;COUNT(Dong2),"",IF(OFFSET(TH!M$1,SMALL(Dong2,ROWS($1:32)),)=$I$6,OFFSET(TH!L$1,SMALL(Dong2,ROWS($1:32)),),OFFSET(TH!M$1,SMALL(Dong2,ROWS($1:32)),)))</f>
        <v>515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72">
        <f t="shared" ca="1" si="1"/>
        <v>1637060</v>
      </c>
      <c r="I43" s="473"/>
    </row>
    <row r="44" spans="1:20" s="452" customFormat="1" ht="18.75" customHeight="1">
      <c r="A44" s="469" t="str">
        <f ca="1">IF(ROWS($1:33)&gt;COUNT(Dong2),"",OFFSET(TH!C$1,SMALL(Dong2,ROWS($1:33)),))</f>
        <v/>
      </c>
      <c r="B44" s="469" t="str">
        <f ca="1">IF(ROWS($1:33)&gt;COUNT(Dong2),"",OFFSET(TH!D$1,SMALL(Dong2,ROWS($1:33)),))</f>
        <v/>
      </c>
      <c r="C44" s="469" t="str">
        <f ca="1">IF(ROWS($1:33)&gt;COUNT(Dong2),"",OFFSET(TH!E$1,SMALL(Dong2,ROWS($1:33)),))</f>
        <v/>
      </c>
      <c r="D44" s="470" t="str">
        <f ca="1">IF(ROWS($1:33)&gt;COUNT(Dong2),"",OFFSET(TH!F$1,SMALL(Dong2,ROWS($1:33)),))</f>
        <v/>
      </c>
      <c r="E44" s="469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72">
        <f t="shared" ref="H44" ca="1" si="2">IF(A44&lt;&gt;"",H43+F44-G44,0)</f>
        <v>0</v>
      </c>
      <c r="I44" s="473"/>
    </row>
    <row r="45" spans="1:20" s="452" customFormat="1" ht="18.75" customHeight="1">
      <c r="A45" s="469"/>
      <c r="B45" s="469"/>
      <c r="C45" s="469"/>
      <c r="D45" s="470"/>
      <c r="E45" s="469"/>
      <c r="F45" s="471"/>
      <c r="G45" s="471"/>
      <c r="H45" s="472"/>
      <c r="I45" s="473"/>
      <c r="Q45" s="105"/>
      <c r="R45" s="105"/>
      <c r="S45" s="105"/>
      <c r="T45" s="105"/>
    </row>
    <row r="46" spans="1:20" ht="18.75" customHeight="1">
      <c r="A46" s="475"/>
      <c r="B46" s="476"/>
      <c r="C46" s="475"/>
      <c r="D46" s="466" t="s">
        <v>122</v>
      </c>
      <c r="E46" s="477"/>
      <c r="F46" s="467">
        <f ca="1">SUM(F12:F45)</f>
        <v>548905944</v>
      </c>
      <c r="G46" s="467">
        <f ca="1">SUM(G12:G45)</f>
        <v>547268884</v>
      </c>
      <c r="H46" s="467">
        <f ca="1">H11+F46-G46</f>
        <v>1637060</v>
      </c>
      <c r="I46" s="478"/>
    </row>
    <row r="47" spans="1:20" ht="18.75" customHeight="1">
      <c r="A47" s="475"/>
      <c r="B47" s="476"/>
      <c r="C47" s="475"/>
      <c r="D47" s="466" t="s">
        <v>10</v>
      </c>
      <c r="E47" s="477"/>
      <c r="F47" s="479"/>
      <c r="G47" s="479"/>
      <c r="H47" s="467">
        <f ca="1">H46</f>
        <v>1637060</v>
      </c>
      <c r="I47" s="477"/>
    </row>
    <row r="48" spans="1:20" ht="22.5" customHeight="1">
      <c r="A48" s="100" t="s">
        <v>143</v>
      </c>
      <c r="B48" s="480"/>
      <c r="C48" s="105"/>
      <c r="F48" s="397"/>
      <c r="I48" s="113"/>
    </row>
    <row r="49" spans="1:12">
      <c r="A49" s="447" t="str">
        <f ca="1">"- Ngày mở sổ: "&amp;DAY($A$12)&amp;"/"&amp;MONTH($A$12)&amp;"/ " &amp;YEAR($A$12)</f>
        <v>- Ngày mở sổ: 7/4/ 2011</v>
      </c>
      <c r="C49" s="105"/>
      <c r="F49" s="397"/>
      <c r="I49" s="113"/>
    </row>
    <row r="50" spans="1:12">
      <c r="A50" s="109"/>
      <c r="B50" s="106"/>
      <c r="C50" s="481"/>
      <c r="F50" s="397"/>
      <c r="G50" s="102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5"/>
      <c r="B51" s="482" t="s">
        <v>11</v>
      </c>
      <c r="C51" s="105"/>
      <c r="D51" s="482" t="s">
        <v>12</v>
      </c>
      <c r="F51" s="483"/>
      <c r="G51" s="484" t="s">
        <v>98</v>
      </c>
      <c r="H51" s="485"/>
      <c r="I51" s="486"/>
      <c r="J51" s="487"/>
      <c r="K51" s="109"/>
      <c r="L51" s="109"/>
    </row>
    <row r="52" spans="1:12">
      <c r="A52" s="105"/>
      <c r="B52" s="488" t="s">
        <v>13</v>
      </c>
      <c r="C52" s="105"/>
      <c r="D52" s="488" t="s">
        <v>13</v>
      </c>
      <c r="F52" s="489"/>
      <c r="G52" s="382" t="s">
        <v>125</v>
      </c>
      <c r="K52" s="490"/>
      <c r="L52" s="490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91" customWidth="1"/>
    <col min="2" max="2" width="34.85546875" style="491" customWidth="1"/>
    <col min="3" max="4" width="13.85546875" style="491" customWidth="1"/>
    <col min="5" max="8" width="14.42578125" style="491" customWidth="1"/>
  </cols>
  <sheetData>
    <row r="1" spans="1:8">
      <c r="A1" s="232" t="str">
        <f>TH!$A$1</f>
        <v>Đơn vị: CÔNG TY TNHH SX TM KIM DUNG PHÁT</v>
      </c>
    </row>
    <row r="2" spans="1:8">
      <c r="A2" s="245" t="str">
        <f>TH!$A$2</f>
        <v>Địa chỉ: 1A227/1 Ấp 1, Phạm Văn Hai, Bình Chánh, TPHCM</v>
      </c>
    </row>
    <row r="3" spans="1:8" ht="27" customHeight="1">
      <c r="A3" s="854" t="s">
        <v>321</v>
      </c>
      <c r="B3" s="854"/>
      <c r="C3" s="854"/>
      <c r="D3" s="854"/>
      <c r="E3" s="854"/>
      <c r="F3" s="854"/>
      <c r="G3" s="854"/>
      <c r="H3" s="854"/>
    </row>
    <row r="4" spans="1:8" ht="21" customHeight="1">
      <c r="A4" s="855" t="s">
        <v>32</v>
      </c>
      <c r="B4" s="857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21" customHeight="1">
      <c r="A5" s="856"/>
      <c r="B5" s="858"/>
      <c r="C5" s="492" t="s">
        <v>39</v>
      </c>
      <c r="D5" s="492" t="s">
        <v>40</v>
      </c>
      <c r="E5" s="492" t="s">
        <v>39</v>
      </c>
      <c r="F5" s="492" t="s">
        <v>40</v>
      </c>
      <c r="G5" s="492" t="s">
        <v>39</v>
      </c>
      <c r="H5" s="492" t="s">
        <v>40</v>
      </c>
    </row>
    <row r="6" spans="1:8" ht="21" customHeight="1">
      <c r="A6" s="493">
        <f>IF(B6&lt;&gt;"",ROW()-5,"")</f>
        <v>1</v>
      </c>
      <c r="B6" s="494" t="s">
        <v>708</v>
      </c>
      <c r="C6" s="495"/>
      <c r="D6" s="495"/>
      <c r="E6" s="495">
        <f t="array" ref="E6">SUM(IF("131"&amp;B6=KHN&amp;KH,TH))</f>
        <v>28175740</v>
      </c>
      <c r="F6" s="495">
        <f t="array" ref="F6">SUM(IF("131"&amp;B6=KHC&amp;KH,TH))</f>
        <v>28175740</v>
      </c>
      <c r="G6" s="496">
        <f t="shared" ref="G6:G12" si="0">ROUND(MAX(C6+E6-D6-F6,0),2)</f>
        <v>0</v>
      </c>
      <c r="H6" s="496">
        <f t="shared" ref="H6:H12" si="1">ROUND(MAX(D6+F6-C6-E6,0),2)</f>
        <v>0</v>
      </c>
    </row>
    <row r="7" spans="1:8" ht="21" customHeight="1">
      <c r="A7" s="493">
        <f>IF(B7&lt;&gt;"",ROW()-5,"")</f>
        <v>2</v>
      </c>
      <c r="B7" s="494" t="s">
        <v>709</v>
      </c>
      <c r="C7" s="495"/>
      <c r="D7" s="495"/>
      <c r="E7" s="495">
        <f t="array" ref="E7">SUM(IF("131"&amp;B7=KHN&amp;KH,TH))</f>
        <v>940845731</v>
      </c>
      <c r="F7" s="495">
        <f t="array" ref="F7">SUM(IF("131"&amp;B7=KHC&amp;KH,TH))</f>
        <v>823151544</v>
      </c>
      <c r="G7" s="496">
        <f t="shared" si="0"/>
        <v>117694187</v>
      </c>
      <c r="H7" s="496">
        <f t="shared" si="1"/>
        <v>0</v>
      </c>
    </row>
    <row r="8" spans="1:8" ht="21" customHeight="1">
      <c r="A8" s="493">
        <f t="shared" ref="A8:A20" si="2">IF(B8&lt;&gt;"",ROW()-5,"")</f>
        <v>3</v>
      </c>
      <c r="B8" s="494" t="s">
        <v>710</v>
      </c>
      <c r="C8" s="495"/>
      <c r="D8" s="495"/>
      <c r="E8" s="495">
        <f t="array" ref="E8">SUM(IF("131"&amp;B8=KHN&amp;KH,TH))</f>
        <v>56849914</v>
      </c>
      <c r="F8" s="495">
        <f t="array" ref="F8">SUM(IF("131"&amp;B8=KHC&amp;KH,TH))</f>
        <v>56849914</v>
      </c>
      <c r="G8" s="496">
        <f t="shared" si="0"/>
        <v>0</v>
      </c>
      <c r="H8" s="496">
        <f t="shared" si="1"/>
        <v>0</v>
      </c>
    </row>
    <row r="9" spans="1:8" ht="21" customHeight="1">
      <c r="A9" s="493">
        <f t="shared" si="2"/>
        <v>4</v>
      </c>
      <c r="B9" s="494" t="s">
        <v>711</v>
      </c>
      <c r="C9" s="495"/>
      <c r="D9" s="495"/>
      <c r="E9" s="495">
        <f t="array" ref="E9">SUM(IF("131"&amp;B9=KHN&amp;KH,TH))</f>
        <v>50903229</v>
      </c>
      <c r="F9" s="495">
        <f t="array" ref="F9">SUM(IF("131"&amp;B9=KHC&amp;KH,TH))</f>
        <v>36922000</v>
      </c>
      <c r="G9" s="496">
        <f t="shared" si="0"/>
        <v>13981229</v>
      </c>
      <c r="H9" s="496">
        <f t="shared" si="1"/>
        <v>0</v>
      </c>
    </row>
    <row r="10" spans="1:8" ht="21" customHeight="1">
      <c r="A10" s="493">
        <f t="shared" si="2"/>
        <v>5</v>
      </c>
      <c r="B10" s="494" t="s">
        <v>741</v>
      </c>
      <c r="C10" s="495"/>
      <c r="D10" s="495"/>
      <c r="E10" s="495">
        <f t="array" ref="E10">SUM(IF("131"&amp;B10=KHN&amp;KH,TH))</f>
        <v>23893917</v>
      </c>
      <c r="F10" s="495">
        <f t="array" ref="F10">SUM(IF("131"&amp;B10=KHC&amp;KH,TH))</f>
        <v>18616664</v>
      </c>
      <c r="G10" s="496">
        <f t="shared" si="0"/>
        <v>5277253</v>
      </c>
      <c r="H10" s="496">
        <f t="shared" si="1"/>
        <v>0</v>
      </c>
    </row>
    <row r="11" spans="1:8" ht="21" customHeight="1">
      <c r="A11" s="493">
        <f t="shared" si="2"/>
        <v>6</v>
      </c>
      <c r="B11" s="497" t="s">
        <v>742</v>
      </c>
      <c r="C11" s="495"/>
      <c r="D11" s="495"/>
      <c r="E11" s="495">
        <f t="array" ref="E11">SUM(IF("131"&amp;B11=KHN&amp;KH,TH))</f>
        <v>47789997</v>
      </c>
      <c r="F11" s="495">
        <f t="array" ref="F11">SUM(IF("131"&amp;B11=KHC&amp;KH,TH))</f>
        <v>47789997</v>
      </c>
      <c r="G11" s="496">
        <f t="shared" si="0"/>
        <v>0</v>
      </c>
      <c r="H11" s="496">
        <f t="shared" si="1"/>
        <v>0</v>
      </c>
    </row>
    <row r="12" spans="1:8" ht="21" customHeight="1">
      <c r="A12" s="493">
        <f t="shared" si="2"/>
        <v>7</v>
      </c>
      <c r="B12" s="494" t="s">
        <v>743</v>
      </c>
      <c r="C12" s="495"/>
      <c r="D12" s="495"/>
      <c r="E12" s="495">
        <f t="array" ref="E12">SUM(IF("131"&amp;B12=KHN&amp;KH,TH))</f>
        <v>54530300</v>
      </c>
      <c r="F12" s="495">
        <f t="array" ref="F12">SUM(IF("131"&amp;B12=KHC&amp;KH,TH))</f>
        <v>0</v>
      </c>
      <c r="G12" s="496">
        <f t="shared" si="0"/>
        <v>54530300</v>
      </c>
      <c r="H12" s="496">
        <f t="shared" si="1"/>
        <v>0</v>
      </c>
    </row>
    <row r="13" spans="1:8" ht="21" customHeight="1">
      <c r="A13" s="493">
        <f t="shared" si="2"/>
        <v>8</v>
      </c>
      <c r="B13" s="498" t="s">
        <v>854</v>
      </c>
      <c r="C13" s="495"/>
      <c r="D13" s="495"/>
      <c r="E13" s="495">
        <f t="array" ref="E13">SUM(IF("131"&amp;B13=KHN&amp;KH,TH))</f>
        <v>31795473</v>
      </c>
      <c r="F13" s="495">
        <f t="array" ref="F13">SUM(IF("131"&amp;B13=KHC&amp;KH,TH))</f>
        <v>31795473</v>
      </c>
      <c r="G13" s="496">
        <f t="shared" ref="G13:G16" si="3">ROUND(MAX(C13+E13-D13-F13,0),2)</f>
        <v>0</v>
      </c>
      <c r="H13" s="496">
        <f t="shared" ref="H13:H16" si="4">ROUND(MAX(D13+F13-C13-E13,0),2)</f>
        <v>0</v>
      </c>
    </row>
    <row r="14" spans="1:8" ht="21" customHeight="1">
      <c r="A14" s="493">
        <f t="shared" si="2"/>
        <v>9</v>
      </c>
      <c r="B14" s="494" t="s">
        <v>858</v>
      </c>
      <c r="C14" s="495"/>
      <c r="D14" s="495"/>
      <c r="E14" s="495">
        <f t="array" ref="E14">SUM(IF("131"&amp;B14=KHN&amp;KH,TH))</f>
        <v>481008</v>
      </c>
      <c r="F14" s="495">
        <f t="array" ref="F14">SUM(IF("131"&amp;B14=KHC&amp;KH,TH))</f>
        <v>481008</v>
      </c>
      <c r="G14" s="496">
        <f t="shared" si="3"/>
        <v>0</v>
      </c>
      <c r="H14" s="496">
        <f t="shared" si="4"/>
        <v>0</v>
      </c>
    </row>
    <row r="15" spans="1:8" ht="21" customHeight="1">
      <c r="A15" s="493">
        <f t="shared" si="2"/>
        <v>10</v>
      </c>
      <c r="B15" s="499" t="s">
        <v>714</v>
      </c>
      <c r="C15" s="495"/>
      <c r="D15" s="495"/>
      <c r="E15" s="495">
        <f t="array" ref="E15">SUM(IF("131"&amp;B15=KHN&amp;KH,TH))</f>
        <v>10474619</v>
      </c>
      <c r="F15" s="495">
        <f t="array" ref="F15">SUM(IF("131"&amp;B15=KHC&amp;KH,TH))</f>
        <v>10474619</v>
      </c>
      <c r="G15" s="496">
        <f t="shared" si="3"/>
        <v>0</v>
      </c>
      <c r="H15" s="496">
        <f t="shared" si="4"/>
        <v>0</v>
      </c>
    </row>
    <row r="16" spans="1:8" ht="21" customHeight="1">
      <c r="A16" s="493">
        <f t="shared" si="2"/>
        <v>11</v>
      </c>
      <c r="B16" s="499" t="s">
        <v>736</v>
      </c>
      <c r="C16" s="495"/>
      <c r="D16" s="495"/>
      <c r="E16" s="495">
        <f t="array" ref="E16">SUM(IF("131"&amp;B16=KHN&amp;KH,TH))</f>
        <v>40888100</v>
      </c>
      <c r="F16" s="495">
        <f t="array" ref="F16">SUM(IF("131"&amp;B16=KHC&amp;KH,TH))</f>
        <v>40888100</v>
      </c>
      <c r="G16" s="496">
        <f t="shared" si="3"/>
        <v>0</v>
      </c>
      <c r="H16" s="496">
        <f t="shared" si="4"/>
        <v>0</v>
      </c>
    </row>
    <row r="17" spans="1:8" ht="21" customHeight="1">
      <c r="A17" s="493">
        <f t="shared" si="2"/>
        <v>12</v>
      </c>
      <c r="B17" s="498" t="s">
        <v>737</v>
      </c>
      <c r="C17" s="495"/>
      <c r="D17" s="495"/>
      <c r="E17" s="495">
        <f t="array" ref="E17">SUM(IF("131"&amp;B17=KHN&amp;KH,TH))</f>
        <v>1610294</v>
      </c>
      <c r="F17" s="495">
        <f t="array" ref="F17">SUM(IF("131"&amp;B17=KHC&amp;KH,TH))</f>
        <v>1610294</v>
      </c>
      <c r="G17" s="496">
        <f t="shared" ref="G17:G18" si="5">ROUND(MAX(C17+E17-D17-F17,0),2)</f>
        <v>0</v>
      </c>
      <c r="H17" s="496">
        <f t="shared" ref="H17:H18" si="6">ROUND(MAX(D17+F17-C17-E17,0),2)</f>
        <v>0</v>
      </c>
    </row>
    <row r="18" spans="1:8" ht="21" customHeight="1">
      <c r="A18" s="493">
        <f t="shared" si="2"/>
        <v>13</v>
      </c>
      <c r="B18" s="498" t="s">
        <v>738</v>
      </c>
      <c r="C18" s="495"/>
      <c r="D18" s="495"/>
      <c r="E18" s="495">
        <f t="array" ref="E18">SUM(IF("131"&amp;B18=KHN&amp;KH,TH))</f>
        <v>5078546</v>
      </c>
      <c r="F18" s="495">
        <f t="array" ref="F18">SUM(IF("131"&amp;B18=KHC&amp;KH,TH))</f>
        <v>5078546</v>
      </c>
      <c r="G18" s="496">
        <f t="shared" si="5"/>
        <v>0</v>
      </c>
      <c r="H18" s="496">
        <f t="shared" si="6"/>
        <v>0</v>
      </c>
    </row>
    <row r="19" spans="1:8" ht="21" customHeight="1">
      <c r="A19" s="493">
        <f t="shared" si="2"/>
        <v>14</v>
      </c>
      <c r="B19" s="499" t="s">
        <v>740</v>
      </c>
      <c r="C19" s="495"/>
      <c r="D19" s="495"/>
      <c r="E19" s="495">
        <f t="array" ref="E19">SUM(IF("131"&amp;B19=KHN&amp;KH,TH))</f>
        <v>5088161</v>
      </c>
      <c r="F19" s="495">
        <f t="array" ref="F19">SUM(IF("131"&amp;B19=KHC&amp;KH,TH))</f>
        <v>5088161</v>
      </c>
      <c r="G19" s="496">
        <f t="shared" ref="G19:G20" si="7">ROUND(MAX(C19+E19-D19-F19,0),2)</f>
        <v>0</v>
      </c>
      <c r="H19" s="496">
        <f t="shared" ref="H19:H20" si="8">ROUND(MAX(D19+F19-C19-E19,0),2)</f>
        <v>0</v>
      </c>
    </row>
    <row r="20" spans="1:8" ht="21" customHeight="1">
      <c r="A20" s="493">
        <f t="shared" si="2"/>
        <v>15</v>
      </c>
      <c r="B20" s="498" t="s">
        <v>739</v>
      </c>
      <c r="C20" s="495"/>
      <c r="D20" s="495"/>
      <c r="E20" s="495">
        <f t="array" ref="E20">SUM(IF("131"&amp;B20=KHN&amp;KH,TH))</f>
        <v>1364001</v>
      </c>
      <c r="F20" s="495">
        <f t="array" ref="F20">SUM(IF("131"&amp;B20=KHC&amp;KH,TH))</f>
        <v>1364001</v>
      </c>
      <c r="G20" s="496">
        <f t="shared" si="7"/>
        <v>0</v>
      </c>
      <c r="H20" s="496">
        <f t="shared" si="8"/>
        <v>0</v>
      </c>
    </row>
    <row r="21" spans="1:8" ht="21" customHeight="1">
      <c r="A21" s="493" t="str">
        <f t="shared" ref="A21" si="9">IF(B21&lt;&gt;"",ROW()-3,"")</f>
        <v/>
      </c>
      <c r="B21" s="500"/>
      <c r="C21" s="495"/>
      <c r="D21" s="495"/>
      <c r="E21" s="495"/>
      <c r="F21" s="495"/>
      <c r="G21" s="496"/>
      <c r="H21" s="496"/>
    </row>
    <row r="22" spans="1:8" ht="21" customHeight="1">
      <c r="A22" s="501"/>
      <c r="B22" s="502" t="s">
        <v>36</v>
      </c>
      <c r="C22" s="503">
        <f t="shared" ref="C22:H22" si="10">SUM(C6:C21)</f>
        <v>0</v>
      </c>
      <c r="D22" s="503">
        <f t="shared" si="10"/>
        <v>0</v>
      </c>
      <c r="E22" s="503">
        <f t="shared" si="10"/>
        <v>1299769030</v>
      </c>
      <c r="F22" s="503">
        <f t="shared" si="10"/>
        <v>1108286061</v>
      </c>
      <c r="G22" s="503">
        <f t="shared" si="10"/>
        <v>191482969</v>
      </c>
      <c r="H22" s="503">
        <f t="shared" si="10"/>
        <v>0</v>
      </c>
    </row>
    <row r="24" spans="1:8">
      <c r="E24" s="504"/>
      <c r="F24" s="853" t="str">
        <f>"Ngày  31  tháng   12  năm   "&amp;YEAR(TH!$C$10)</f>
        <v>Ngày  31  tháng   12  năm   2011</v>
      </c>
      <c r="G24" s="853"/>
      <c r="H24" s="853"/>
    </row>
    <row r="25" spans="1:8">
      <c r="F25" s="853" t="s">
        <v>98</v>
      </c>
      <c r="G25" s="853"/>
      <c r="H25" s="853"/>
    </row>
    <row r="26" spans="1:8">
      <c r="E26" s="505"/>
      <c r="F26" s="853" t="s">
        <v>125</v>
      </c>
      <c r="G26" s="853"/>
      <c r="H26" s="853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48" t="str">
        <f>TH!A1</f>
        <v>Đơn vị: CÔNG TY TNHH SX TM KIM DUNG PHÁT</v>
      </c>
      <c r="B1" s="377"/>
      <c r="C1" s="377"/>
      <c r="D1" s="218"/>
      <c r="E1" s="218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377"/>
      <c r="C2" s="377"/>
      <c r="D2" s="218"/>
      <c r="E2" s="218"/>
      <c r="F2" s="5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241"/>
      <c r="B3" s="377"/>
      <c r="C3" s="377"/>
      <c r="D3" s="218"/>
      <c r="E3" s="218"/>
      <c r="F3" s="5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37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9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11" t="s">
        <v>42</v>
      </c>
      <c r="E7" s="861" t="s">
        <v>709</v>
      </c>
      <c r="F7" s="861"/>
      <c r="G7" s="861"/>
      <c r="H7" s="861"/>
      <c r="I7" s="3"/>
    </row>
    <row r="8" spans="1:9" ht="14.25" customHeight="1">
      <c r="A8" s="3"/>
      <c r="B8" s="3"/>
      <c r="C8" s="3"/>
      <c r="D8" s="3"/>
      <c r="E8" s="379" t="s">
        <v>28</v>
      </c>
      <c r="F8" s="3"/>
      <c r="G8" s="3"/>
      <c r="H8" s="3"/>
      <c r="I8" s="3"/>
    </row>
    <row r="9" spans="1:9" ht="6.75" customHeight="1">
      <c r="A9" s="3"/>
      <c r="B9" s="379"/>
      <c r="C9" s="830"/>
      <c r="D9" s="830"/>
      <c r="E9" s="830"/>
      <c r="F9" s="830"/>
      <c r="G9" s="830"/>
      <c r="H9" s="830"/>
      <c r="I9" s="830"/>
    </row>
    <row r="10" spans="1:9" ht="14.25" customHeight="1">
      <c r="A10" s="831" t="s">
        <v>19</v>
      </c>
      <c r="B10" s="862" t="s">
        <v>1</v>
      </c>
      <c r="C10" s="862"/>
      <c r="D10" s="831" t="s">
        <v>0</v>
      </c>
      <c r="E10" s="831" t="s">
        <v>14</v>
      </c>
      <c r="F10" s="863" t="s">
        <v>20</v>
      </c>
      <c r="G10" s="864"/>
      <c r="H10" s="863" t="s">
        <v>29</v>
      </c>
      <c r="I10" s="864"/>
    </row>
    <row r="11" spans="1:9" ht="24.75" customHeight="1">
      <c r="A11" s="831"/>
      <c r="B11" s="506" t="s">
        <v>15</v>
      </c>
      <c r="C11" s="506" t="s">
        <v>30</v>
      </c>
      <c r="D11" s="831"/>
      <c r="E11" s="831"/>
      <c r="F11" s="506" t="s">
        <v>21</v>
      </c>
      <c r="G11" s="506" t="s">
        <v>22</v>
      </c>
      <c r="H11" s="506" t="s">
        <v>21</v>
      </c>
      <c r="I11" s="506" t="s">
        <v>22</v>
      </c>
    </row>
    <row r="12" spans="1:9" ht="11.25" customHeight="1">
      <c r="A12" s="429" t="s">
        <v>2</v>
      </c>
      <c r="B12" s="430" t="s">
        <v>3</v>
      </c>
      <c r="C12" s="429" t="s">
        <v>4</v>
      </c>
      <c r="D12" s="429" t="s">
        <v>5</v>
      </c>
      <c r="E12" s="429" t="s">
        <v>6</v>
      </c>
      <c r="F12" s="429">
        <v>2</v>
      </c>
      <c r="G12" s="429">
        <v>3</v>
      </c>
      <c r="H12" s="429">
        <v>4</v>
      </c>
      <c r="I12" s="429">
        <v>5</v>
      </c>
    </row>
    <row r="13" spans="1:9" ht="18" customHeight="1">
      <c r="A13" s="429"/>
      <c r="B13" s="429"/>
      <c r="C13" s="429"/>
      <c r="D13" s="507" t="s">
        <v>7</v>
      </c>
      <c r="E13" s="429"/>
      <c r="F13" s="508"/>
      <c r="G13" s="508"/>
      <c r="H13" s="373">
        <f>VLOOKUP($E$7,'131'!$B$6:$H$21,2,0)</f>
        <v>0</v>
      </c>
      <c r="I13" s="373">
        <f>VLOOKUP($E$7,'131'!$B$6:$H$21,3,0)</f>
        <v>0</v>
      </c>
    </row>
    <row r="14" spans="1:9" ht="18" customHeight="1">
      <c r="A14" s="509">
        <f ca="1">IF(ROWS($1:1)&gt;COUNT(Dong14),"",OFFSET(TH!C$1,SMALL(Dong14,ROWS($1:1)),))</f>
        <v>40690</v>
      </c>
      <c r="B14" s="509" t="str">
        <f ca="1">IF(ROWS($1:1)&gt;COUNT(Dong14),"",OFFSET(TH!D$1,SMALL(Dong14,ROWS($1:1)),))</f>
        <v>TP/X03</v>
      </c>
      <c r="C14" s="509">
        <f ca="1">IF(ROWS($1:1)&gt;COUNT(Dong14),"",OFFSET(TH!E$1,SMALL(Dong14,ROWS($1:1)),))</f>
        <v>40690</v>
      </c>
      <c r="D14" s="510" t="str">
        <f ca="1">IF(ROWS($1:1)&gt;COUNT(Dong14),"",OFFSET(TH!F$1,SMALL(Dong14,ROWS($1:1)),))</f>
        <v>Thùng 5 lớp không in (55x32x30)</v>
      </c>
      <c r="E14" s="511" t="str">
        <f ca="1">IF(ROWS($1:1)&gt;COUNT(Dong14),"",IF(OFFSET(TH!L$1,SMALL(Dong14,ROWS($1:1)),)="331",OFFSET(TH!M$1,SMALL(Dong14,ROWS($1:1)),),OFFSET(TH!L$1,SMALL(Dong14,ROWS($1:1)),)))</f>
        <v>131</v>
      </c>
      <c r="F14" s="512">
        <f ca="1">IF(ROWS($1:1)&gt;COUNT(Dong14),"",IF(OFFSET(TH!L$1,SMALL(Dong14,ROWS($1:1)),)="131",OFFSET(TH!K$1,SMALL(Dong14,ROWS($1:1)),),0))</f>
        <v>691600</v>
      </c>
      <c r="G14" s="512">
        <f ca="1">IF(ROWS($1:1)&gt;COUNT(Dong14),"",IF(OFFSET(TH!M$1,SMALL(Dong14,ROWS($1:1)),)="131",OFFSET(TH!K$1,SMALL(Dong14,ROWS($1:1)),),0))</f>
        <v>0</v>
      </c>
      <c r="H14" s="513">
        <f t="shared" ref="H14:H30" ca="1" si="0">IF(D14&lt;&gt;"",MAX(H13+F14-G14-I13,0),0)</f>
        <v>691600</v>
      </c>
      <c r="I14" s="513">
        <f t="shared" ref="I14:I30" ca="1" si="1">IF(D14&lt;&gt;"",MAX(I13+G14-H13-F14,0),0)</f>
        <v>0</v>
      </c>
    </row>
    <row r="15" spans="1:9" ht="18" customHeight="1">
      <c r="A15" s="509">
        <f ca="1">IF(ROWS($1:2)&gt;COUNT(Dong14),"",OFFSET(TH!C$1,SMALL(Dong14,ROWS($1:2)),))</f>
        <v>40690</v>
      </c>
      <c r="B15" s="509" t="str">
        <f ca="1">IF(ROWS($1:2)&gt;COUNT(Dong14),"",OFFSET(TH!D$1,SMALL(Dong14,ROWS($1:2)),))</f>
        <v>TP/X03</v>
      </c>
      <c r="C15" s="509">
        <f ca="1">IF(ROWS($1:2)&gt;COUNT(Dong14),"",OFFSET(TH!E$1,SMALL(Dong14,ROWS($1:2)),))</f>
        <v>40690</v>
      </c>
      <c r="D15" s="510" t="str">
        <f ca="1">IF(ROWS($1:2)&gt;COUNT(Dong14),"",OFFSET(TH!F$1,SMALL(Dong14,ROWS($1:2)),))</f>
        <v>Bộ vĩ</v>
      </c>
      <c r="E15" s="511" t="str">
        <f ca="1">IF(ROWS($1:2)&gt;COUNT(Dong14),"",IF(OFFSET(TH!L$1,SMALL(Dong14,ROWS($1:2)),)="331",OFFSET(TH!M$1,SMALL(Dong14,ROWS($1:2)),),OFFSET(TH!L$1,SMALL(Dong14,ROWS($1:2)),)))</f>
        <v>131</v>
      </c>
      <c r="F15" s="512">
        <f ca="1">IF(ROWS($1:2)&gt;COUNT(Dong14),"",IF(OFFSET(TH!L$1,SMALL(Dong14,ROWS($1:2)),)="131",OFFSET(TH!K$1,SMALL(Dong14,ROWS($1:2)),),0))</f>
        <v>1050000</v>
      </c>
      <c r="G15" s="512">
        <f ca="1">IF(ROWS($1:2)&gt;COUNT(Dong14),"",IF(OFFSET(TH!M$1,SMALL(Dong14,ROWS($1:2)),)="131",OFFSET(TH!K$1,SMALL(Dong14,ROWS($1:2)),),0))</f>
        <v>0</v>
      </c>
      <c r="H15" s="513">
        <f t="shared" ca="1" si="0"/>
        <v>1741600</v>
      </c>
      <c r="I15" s="513">
        <f t="shared" ca="1" si="1"/>
        <v>0</v>
      </c>
    </row>
    <row r="16" spans="1:9" ht="18" customHeight="1">
      <c r="A16" s="509">
        <f ca="1">IF(ROWS($1:3)&gt;COUNT(Dong14),"",OFFSET(TH!C$1,SMALL(Dong14,ROWS($1:3)),))</f>
        <v>40690</v>
      </c>
      <c r="B16" s="509" t="str">
        <f ca="1">IF(ROWS($1:3)&gt;COUNT(Dong14),"",OFFSET(TH!D$1,SMALL(Dong14,ROWS($1:3)),))</f>
        <v>TP/X03</v>
      </c>
      <c r="C16" s="509">
        <f ca="1">IF(ROWS($1:3)&gt;COUNT(Dong14),"",OFFSET(TH!E$1,SMALL(Dong14,ROWS($1:3)),))</f>
        <v>40690</v>
      </c>
      <c r="D16" s="510" t="str">
        <f ca="1">IF(ROWS($1:3)&gt;COUNT(Dong14),"",OFFSET(TH!F$1,SMALL(Dong14,ROWS($1:3)),))</f>
        <v>Thùng 5 lớp không in (69x41x30)</v>
      </c>
      <c r="E16" s="511" t="str">
        <f ca="1">IF(ROWS($1:3)&gt;COUNT(Dong14),"",IF(OFFSET(TH!L$1,SMALL(Dong14,ROWS($1:3)),)="331",OFFSET(TH!M$1,SMALL(Dong14,ROWS($1:3)),),OFFSET(TH!L$1,SMALL(Dong14,ROWS($1:3)),)))</f>
        <v>131</v>
      </c>
      <c r="F16" s="512">
        <f ca="1">IF(ROWS($1:3)&gt;COUNT(Dong14),"",IF(OFFSET(TH!L$1,SMALL(Dong14,ROWS($1:3)),)="131",OFFSET(TH!K$1,SMALL(Dong14,ROWS($1:3)),),0))</f>
        <v>139356</v>
      </c>
      <c r="G16" s="512">
        <f ca="1">IF(ROWS($1:3)&gt;COUNT(Dong14),"",IF(OFFSET(TH!M$1,SMALL(Dong14,ROWS($1:3)),)="131",OFFSET(TH!K$1,SMALL(Dong14,ROWS($1:3)),),0))</f>
        <v>0</v>
      </c>
      <c r="H16" s="513">
        <f t="shared" ca="1" si="0"/>
        <v>1880956</v>
      </c>
      <c r="I16" s="513">
        <f t="shared" ca="1" si="1"/>
        <v>0</v>
      </c>
    </row>
    <row r="17" spans="1:9" ht="18" customHeight="1">
      <c r="A17" s="509">
        <f ca="1">IF(ROWS($1:4)&gt;COUNT(Dong14),"",OFFSET(TH!C$1,SMALL(Dong14,ROWS($1:4)),))</f>
        <v>40690</v>
      </c>
      <c r="B17" s="509" t="str">
        <f ca="1">IF(ROWS($1:4)&gt;COUNT(Dong14),"",OFFSET(TH!D$1,SMALL(Dong14,ROWS($1:4)),))</f>
        <v>TP/X03</v>
      </c>
      <c r="C17" s="509">
        <f ca="1">IF(ROWS($1:4)&gt;COUNT(Dong14),"",OFFSET(TH!E$1,SMALL(Dong14,ROWS($1:4)),))</f>
        <v>40690</v>
      </c>
      <c r="D17" s="510" t="str">
        <f ca="1">IF(ROWS($1:4)&gt;COUNT(Dong14),"",OFFSET(TH!F$1,SMALL(Dong14,ROWS($1:4)),))</f>
        <v>Thùng 5 lớp không in (69x39x33)</v>
      </c>
      <c r="E17" s="511" t="str">
        <f ca="1">IF(ROWS($1:4)&gt;COUNT(Dong14),"",IF(OFFSET(TH!L$1,SMALL(Dong14,ROWS($1:4)),)="331",OFFSET(TH!M$1,SMALL(Dong14,ROWS($1:4)),),OFFSET(TH!L$1,SMALL(Dong14,ROWS($1:4)),)))</f>
        <v>131</v>
      </c>
      <c r="F17" s="512">
        <f ca="1">IF(ROWS($1:4)&gt;COUNT(Dong14),"",IF(OFFSET(TH!L$1,SMALL(Dong14,ROWS($1:4)),)="131",OFFSET(TH!K$1,SMALL(Dong14,ROWS($1:4)),),0))</f>
        <v>134995</v>
      </c>
      <c r="G17" s="512">
        <f ca="1">IF(ROWS($1:4)&gt;COUNT(Dong14),"",IF(OFFSET(TH!M$1,SMALL(Dong14,ROWS($1:4)),)="131",OFFSET(TH!K$1,SMALL(Dong14,ROWS($1:4)),),0))</f>
        <v>0</v>
      </c>
      <c r="H17" s="513">
        <f t="shared" ca="1" si="0"/>
        <v>2015951</v>
      </c>
      <c r="I17" s="513">
        <f t="shared" ca="1" si="1"/>
        <v>0</v>
      </c>
    </row>
    <row r="18" spans="1:9" ht="18" customHeight="1">
      <c r="A18" s="509">
        <f ca="1">IF(ROWS($1:5)&gt;COUNT(Dong14),"",OFFSET(TH!C$1,SMALL(Dong14,ROWS($1:5)),))</f>
        <v>40690</v>
      </c>
      <c r="B18" s="509" t="str">
        <f ca="1">IF(ROWS($1:5)&gt;COUNT(Dong14),"",OFFSET(TH!D$1,SMALL(Dong14,ROWS($1:5)),))</f>
        <v>TP/X03</v>
      </c>
      <c r="C18" s="509">
        <f ca="1">IF(ROWS($1:5)&gt;COUNT(Dong14),"",OFFSET(TH!E$1,SMALL(Dong14,ROWS($1:5)),))</f>
        <v>40690</v>
      </c>
      <c r="D18" s="510" t="str">
        <f ca="1">IF(ROWS($1:5)&gt;COUNT(Dong14),"",OFFSET(TH!F$1,SMALL(Dong14,ROWS($1:5)),))</f>
        <v>Thùng 5 lớp không in (55x32x30)</v>
      </c>
      <c r="E18" s="511" t="str">
        <f ca="1">IF(ROWS($1:5)&gt;COUNT(Dong14),"",IF(OFFSET(TH!L$1,SMALL(Dong14,ROWS($1:5)),)="331",OFFSET(TH!M$1,SMALL(Dong14,ROWS($1:5)),),OFFSET(TH!L$1,SMALL(Dong14,ROWS($1:5)),)))</f>
        <v>131</v>
      </c>
      <c r="F18" s="512">
        <f ca="1">IF(ROWS($1:5)&gt;COUNT(Dong14),"",IF(OFFSET(TH!L$1,SMALL(Dong14,ROWS($1:5)),)="131",OFFSET(TH!K$1,SMALL(Dong14,ROWS($1:5)),),0))</f>
        <v>3458000</v>
      </c>
      <c r="G18" s="512">
        <f ca="1">IF(ROWS($1:5)&gt;COUNT(Dong14),"",IF(OFFSET(TH!M$1,SMALL(Dong14,ROWS($1:5)),)="131",OFFSET(TH!K$1,SMALL(Dong14,ROWS($1:5)),),0))</f>
        <v>0</v>
      </c>
      <c r="H18" s="513">
        <f t="shared" ca="1" si="0"/>
        <v>5473951</v>
      </c>
      <c r="I18" s="513">
        <f t="shared" ca="1" si="1"/>
        <v>0</v>
      </c>
    </row>
    <row r="19" spans="1:9" ht="18" customHeight="1">
      <c r="A19" s="509">
        <f ca="1">IF(ROWS($1:6)&gt;COUNT(Dong14),"",OFFSET(TH!C$1,SMALL(Dong14,ROWS($1:6)),))</f>
        <v>40690</v>
      </c>
      <c r="B19" s="509" t="str">
        <f ca="1">IF(ROWS($1:6)&gt;COUNT(Dong14),"",OFFSET(TH!D$1,SMALL(Dong14,ROWS($1:6)),))</f>
        <v>TP/X03</v>
      </c>
      <c r="C19" s="509">
        <f ca="1">IF(ROWS($1:6)&gt;COUNT(Dong14),"",OFFSET(TH!E$1,SMALL(Dong14,ROWS($1:6)),))</f>
        <v>40690</v>
      </c>
      <c r="D19" s="510" t="str">
        <f ca="1">IF(ROWS($1:6)&gt;COUNT(Dong14),"",OFFSET(TH!F$1,SMALL(Dong14,ROWS($1:6)),))</f>
        <v>Thùng 5 lớp không in (59.5x29.5x39.5)</v>
      </c>
      <c r="E19" s="511" t="str">
        <f ca="1">IF(ROWS($1:6)&gt;COUNT(Dong14),"",IF(OFFSET(TH!L$1,SMALL(Dong14,ROWS($1:6)),)="331",OFFSET(TH!M$1,SMALL(Dong14,ROWS($1:6)),),OFFSET(TH!L$1,SMALL(Dong14,ROWS($1:6)),)))</f>
        <v>131</v>
      </c>
      <c r="F19" s="512">
        <f ca="1">IF(ROWS($1:6)&gt;COUNT(Dong14),"",IF(OFFSET(TH!L$1,SMALL(Dong14,ROWS($1:6)),)="131",OFFSET(TH!K$1,SMALL(Dong14,ROWS($1:6)),),0))</f>
        <v>1415160</v>
      </c>
      <c r="G19" s="512">
        <f ca="1">IF(ROWS($1:6)&gt;COUNT(Dong14),"",IF(OFFSET(TH!M$1,SMALL(Dong14,ROWS($1:6)),)="131",OFFSET(TH!K$1,SMALL(Dong14,ROWS($1:6)),),0))</f>
        <v>0</v>
      </c>
      <c r="H19" s="513">
        <f t="shared" ca="1" si="0"/>
        <v>6889111</v>
      </c>
      <c r="I19" s="513">
        <f t="shared" ca="1" si="1"/>
        <v>0</v>
      </c>
    </row>
    <row r="20" spans="1:9" ht="18" customHeight="1">
      <c r="A20" s="509">
        <f ca="1">IF(ROWS($1:7)&gt;COUNT(Dong14),"",OFFSET(TH!C$1,SMALL(Dong14,ROWS($1:7)),))</f>
        <v>40690</v>
      </c>
      <c r="B20" s="509" t="str">
        <f ca="1">IF(ROWS($1:7)&gt;COUNT(Dong14),"",OFFSET(TH!D$1,SMALL(Dong14,ROWS($1:7)),))</f>
        <v>TP/X03</v>
      </c>
      <c r="C20" s="509">
        <f ca="1">IF(ROWS($1:7)&gt;COUNT(Dong14),"",OFFSET(TH!E$1,SMALL(Dong14,ROWS($1:7)),))</f>
        <v>40690</v>
      </c>
      <c r="D20" s="510" t="str">
        <f ca="1">IF(ROWS($1:7)&gt;COUNT(Dong14),"",OFFSET(TH!F$1,SMALL(Dong14,ROWS($1:7)),))</f>
        <v>Bộ vĩ</v>
      </c>
      <c r="E20" s="511" t="str">
        <f ca="1">IF(ROWS($1:7)&gt;COUNT(Dong14),"",IF(OFFSET(TH!L$1,SMALL(Dong14,ROWS($1:7)),)="331",OFFSET(TH!M$1,SMALL(Dong14,ROWS($1:7)),),OFFSET(TH!L$1,SMALL(Dong14,ROWS($1:7)),)))</f>
        <v>131</v>
      </c>
      <c r="F20" s="512">
        <f ca="1">IF(ROWS($1:7)&gt;COUNT(Dong14),"",IF(OFFSET(TH!L$1,SMALL(Dong14,ROWS($1:7)),)="131",OFFSET(TH!K$1,SMALL(Dong14,ROWS($1:7)),),0))</f>
        <v>383850</v>
      </c>
      <c r="G20" s="512">
        <f ca="1">IF(ROWS($1:7)&gt;COUNT(Dong14),"",IF(OFFSET(TH!M$1,SMALL(Dong14,ROWS($1:7)),)="131",OFFSET(TH!K$1,SMALL(Dong14,ROWS($1:7)),),0))</f>
        <v>0</v>
      </c>
      <c r="H20" s="513">
        <f t="shared" ca="1" si="0"/>
        <v>7272961</v>
      </c>
      <c r="I20" s="513">
        <f t="shared" ca="1" si="1"/>
        <v>0</v>
      </c>
    </row>
    <row r="21" spans="1:9" ht="18" customHeight="1">
      <c r="A21" s="509">
        <f ca="1">IF(ROWS($1:8)&gt;COUNT(Dong14),"",OFFSET(TH!C$1,SMALL(Dong14,ROWS($1:8)),))</f>
        <v>40690</v>
      </c>
      <c r="B21" s="509" t="str">
        <f ca="1">IF(ROWS($1:8)&gt;COUNT(Dong14),"",OFFSET(TH!D$1,SMALL(Dong14,ROWS($1:8)),))</f>
        <v>TP/X03</v>
      </c>
      <c r="C21" s="509">
        <f ca="1">IF(ROWS($1:8)&gt;COUNT(Dong14),"",OFFSET(TH!E$1,SMALL(Dong14,ROWS($1:8)),))</f>
        <v>40690</v>
      </c>
      <c r="D21" s="510" t="str">
        <f ca="1">IF(ROWS($1:8)&gt;COUNT(Dong14),"",OFFSET(TH!F$1,SMALL(Dong14,ROWS($1:8)),))</f>
        <v>VAT Thùng 5 lớp</v>
      </c>
      <c r="E21" s="511" t="str">
        <f ca="1">IF(ROWS($1:8)&gt;COUNT(Dong14),"",IF(OFFSET(TH!L$1,SMALL(Dong14,ROWS($1:8)),)="331",OFFSET(TH!M$1,SMALL(Dong14,ROWS($1:8)),),OFFSET(TH!L$1,SMALL(Dong14,ROWS($1:8)),)))</f>
        <v>131</v>
      </c>
      <c r="F21" s="512">
        <f ca="1">IF(ROWS($1:8)&gt;COUNT(Dong14),"",IF(OFFSET(TH!L$1,SMALL(Dong14,ROWS($1:8)),)="131",OFFSET(TH!K$1,SMALL(Dong14,ROWS($1:8)),),0))</f>
        <v>727296</v>
      </c>
      <c r="G21" s="512">
        <f ca="1">IF(ROWS($1:8)&gt;COUNT(Dong14),"",IF(OFFSET(TH!M$1,SMALL(Dong14,ROWS($1:8)),)="131",OFFSET(TH!K$1,SMALL(Dong14,ROWS($1:8)),),0))</f>
        <v>0</v>
      </c>
      <c r="H21" s="513">
        <f t="shared" ca="1" si="0"/>
        <v>8000257</v>
      </c>
      <c r="I21" s="513">
        <f t="shared" ca="1" si="1"/>
        <v>0</v>
      </c>
    </row>
    <row r="22" spans="1:9" ht="18" customHeight="1">
      <c r="A22" s="509">
        <f ca="1">IF(ROWS($1:9)&gt;COUNT(Dong14),"",OFFSET(TH!C$1,SMALL(Dong14,ROWS($1:9)),))</f>
        <v>40690</v>
      </c>
      <c r="B22" s="509" t="str">
        <f ca="1">IF(ROWS($1:9)&gt;COUNT(Dong14),"",OFFSET(TH!D$1,SMALL(Dong14,ROWS($1:9)),))</f>
        <v>TP/X04</v>
      </c>
      <c r="C22" s="509">
        <f ca="1">IF(ROWS($1:9)&gt;COUNT(Dong14),"",OFFSET(TH!E$1,SMALL(Dong14,ROWS($1:9)),))</f>
        <v>40690</v>
      </c>
      <c r="D22" s="510" t="str">
        <f ca="1">IF(ROWS($1:9)&gt;COUNT(Dong14),"",OFFSET(TH!F$1,SMALL(Dong14,ROWS($1:9)),))</f>
        <v>Thùng 3 lớp không in (44x27x34)</v>
      </c>
      <c r="E22" s="511" t="str">
        <f ca="1">IF(ROWS($1:9)&gt;COUNT(Dong14),"",IF(OFFSET(TH!L$1,SMALL(Dong14,ROWS($1:9)),)="331",OFFSET(TH!M$1,SMALL(Dong14,ROWS($1:9)),),OFFSET(TH!L$1,SMALL(Dong14,ROWS($1:9)),)))</f>
        <v>131</v>
      </c>
      <c r="F22" s="512">
        <f ca="1">IF(ROWS($1:9)&gt;COUNT(Dong14),"",IF(OFFSET(TH!L$1,SMALL(Dong14,ROWS($1:9)),)="131",OFFSET(TH!K$1,SMALL(Dong14,ROWS($1:9)),),0))</f>
        <v>17678</v>
      </c>
      <c r="G22" s="512">
        <f ca="1">IF(ROWS($1:9)&gt;COUNT(Dong14),"",IF(OFFSET(TH!M$1,SMALL(Dong14,ROWS($1:9)),)="131",OFFSET(TH!K$1,SMALL(Dong14,ROWS($1:9)),),0))</f>
        <v>0</v>
      </c>
      <c r="H22" s="513">
        <f t="shared" ca="1" si="0"/>
        <v>8017935</v>
      </c>
      <c r="I22" s="513">
        <f t="shared" ca="1" si="1"/>
        <v>0</v>
      </c>
    </row>
    <row r="23" spans="1:9" ht="18" customHeight="1">
      <c r="A23" s="509">
        <f ca="1">IF(ROWS($1:10)&gt;COUNT(Dong14),"",OFFSET(TH!C$1,SMALL(Dong14,ROWS($1:10)),))</f>
        <v>40690</v>
      </c>
      <c r="B23" s="509" t="str">
        <f ca="1">IF(ROWS($1:10)&gt;COUNT(Dong14),"",OFFSET(TH!D$1,SMALL(Dong14,ROWS($1:10)),))</f>
        <v>TP/X04</v>
      </c>
      <c r="C23" s="509">
        <f ca="1">IF(ROWS($1:10)&gt;COUNT(Dong14),"",OFFSET(TH!E$1,SMALL(Dong14,ROWS($1:10)),))</f>
        <v>40690</v>
      </c>
      <c r="D23" s="510" t="str">
        <f ca="1">IF(ROWS($1:10)&gt;COUNT(Dong14),"",OFFSET(TH!F$1,SMALL(Dong14,ROWS($1:10)),))</f>
        <v>Thùng 3 lớp không in (33x27x20.5)</v>
      </c>
      <c r="E23" s="511" t="str">
        <f ca="1">IF(ROWS($1:10)&gt;COUNT(Dong14),"",IF(OFFSET(TH!L$1,SMALL(Dong14,ROWS($1:10)),)="331",OFFSET(TH!M$1,SMALL(Dong14,ROWS($1:10)),),OFFSET(TH!L$1,SMALL(Dong14,ROWS($1:10)),)))</f>
        <v>131</v>
      </c>
      <c r="F23" s="512">
        <f ca="1">IF(ROWS($1:10)&gt;COUNT(Dong14),"",IF(OFFSET(TH!L$1,SMALL(Dong14,ROWS($1:10)),)="131",OFFSET(TH!K$1,SMALL(Dong14,ROWS($1:10)),),0))</f>
        <v>11714</v>
      </c>
      <c r="G23" s="512">
        <f ca="1">IF(ROWS($1:10)&gt;COUNT(Dong14),"",IF(OFFSET(TH!M$1,SMALL(Dong14,ROWS($1:10)),)="131",OFFSET(TH!K$1,SMALL(Dong14,ROWS($1:10)),),0))</f>
        <v>0</v>
      </c>
      <c r="H23" s="513">
        <f t="shared" ca="1" si="0"/>
        <v>8029649</v>
      </c>
      <c r="I23" s="513">
        <f t="shared" ca="1" si="1"/>
        <v>0</v>
      </c>
    </row>
    <row r="24" spans="1:9" ht="18" customHeight="1">
      <c r="A24" s="509">
        <f ca="1">IF(ROWS($1:11)&gt;COUNT(Dong14),"",OFFSET(TH!C$1,SMALL(Dong14,ROWS($1:11)),))</f>
        <v>40690</v>
      </c>
      <c r="B24" s="509" t="str">
        <f ca="1">IF(ROWS($1:11)&gt;COUNT(Dong14),"",OFFSET(TH!D$1,SMALL(Dong14,ROWS($1:11)),))</f>
        <v>TP/X04</v>
      </c>
      <c r="C24" s="509">
        <f ca="1">IF(ROWS($1:11)&gt;COUNT(Dong14),"",OFFSET(TH!E$1,SMALL(Dong14,ROWS($1:11)),))</f>
        <v>40690</v>
      </c>
      <c r="D24" s="510" t="str">
        <f ca="1">IF(ROWS($1:11)&gt;COUNT(Dong14),"",OFFSET(TH!F$1,SMALL(Dong14,ROWS($1:11)),))</f>
        <v>Thùng 3 lớp không in (45.5x34x20.5)</v>
      </c>
      <c r="E24" s="511" t="str">
        <f ca="1">IF(ROWS($1:11)&gt;COUNT(Dong14),"",IF(OFFSET(TH!L$1,SMALL(Dong14,ROWS($1:11)),)="331",OFFSET(TH!M$1,SMALL(Dong14,ROWS($1:11)),),OFFSET(TH!L$1,SMALL(Dong14,ROWS($1:11)),)))</f>
        <v>131</v>
      </c>
      <c r="F24" s="512">
        <f ca="1">IF(ROWS($1:11)&gt;COUNT(Dong14),"",IF(OFFSET(TH!L$1,SMALL(Dong14,ROWS($1:11)),)="131",OFFSET(TH!K$1,SMALL(Dong14,ROWS($1:11)),),0))</f>
        <v>1720680</v>
      </c>
      <c r="G24" s="512">
        <f ca="1">IF(ROWS($1:11)&gt;COUNT(Dong14),"",IF(OFFSET(TH!M$1,SMALL(Dong14,ROWS($1:11)),)="131",OFFSET(TH!K$1,SMALL(Dong14,ROWS($1:11)),),0))</f>
        <v>0</v>
      </c>
      <c r="H24" s="513">
        <f t="shared" ca="1" si="0"/>
        <v>9750329</v>
      </c>
      <c r="I24" s="513">
        <f t="shared" ca="1" si="1"/>
        <v>0</v>
      </c>
    </row>
    <row r="25" spans="1:9" ht="18" customHeight="1">
      <c r="A25" s="509">
        <f ca="1">IF(ROWS($1:12)&gt;COUNT(Dong14),"",OFFSET(TH!C$1,SMALL(Dong14,ROWS($1:12)),))</f>
        <v>40690</v>
      </c>
      <c r="B25" s="509" t="str">
        <f ca="1">IF(ROWS($1:12)&gt;COUNT(Dong14),"",OFFSET(TH!D$1,SMALL(Dong14,ROWS($1:12)),))</f>
        <v>TP/X04</v>
      </c>
      <c r="C25" s="509">
        <f ca="1">IF(ROWS($1:12)&gt;COUNT(Dong14),"",OFFSET(TH!E$1,SMALL(Dong14,ROWS($1:12)),))</f>
        <v>40690</v>
      </c>
      <c r="D25" s="510" t="str">
        <f ca="1">IF(ROWS($1:12)&gt;COUNT(Dong14),"",OFFSET(TH!F$1,SMALL(Dong14,ROWS($1:12)),))</f>
        <v>Thùng 3 lớp không in (43x41x33)</v>
      </c>
      <c r="E25" s="511" t="str">
        <f ca="1">IF(ROWS($1:12)&gt;COUNT(Dong14),"",IF(OFFSET(TH!L$1,SMALL(Dong14,ROWS($1:12)),)="331",OFFSET(TH!M$1,SMALL(Dong14,ROWS($1:12)),),OFFSET(TH!L$1,SMALL(Dong14,ROWS($1:12)),)))</f>
        <v>131</v>
      </c>
      <c r="F25" s="512">
        <f ca="1">IF(ROWS($1:12)&gt;COUNT(Dong14),"",IF(OFFSET(TH!L$1,SMALL(Dong14,ROWS($1:12)),)="131",OFFSET(TH!K$1,SMALL(Dong14,ROWS($1:12)),),0))</f>
        <v>320460</v>
      </c>
      <c r="G25" s="512">
        <f ca="1">IF(ROWS($1:12)&gt;COUNT(Dong14),"",IF(OFFSET(TH!M$1,SMALL(Dong14,ROWS($1:12)),)="131",OFFSET(TH!K$1,SMALL(Dong14,ROWS($1:12)),),0))</f>
        <v>0</v>
      </c>
      <c r="H25" s="513">
        <f t="shared" ca="1" si="0"/>
        <v>10070789</v>
      </c>
      <c r="I25" s="513">
        <f t="shared" ca="1" si="1"/>
        <v>0</v>
      </c>
    </row>
    <row r="26" spans="1:9" ht="18" customHeight="1">
      <c r="A26" s="509">
        <f ca="1">IF(ROWS($1:13)&gt;COUNT(Dong14),"",OFFSET(TH!C$1,SMALL(Dong14,ROWS($1:13)),))</f>
        <v>40690</v>
      </c>
      <c r="B26" s="509" t="str">
        <f ca="1">IF(ROWS($1:13)&gt;COUNT(Dong14),"",OFFSET(TH!D$1,SMALL(Dong14,ROWS($1:13)),))</f>
        <v>TP/X04</v>
      </c>
      <c r="C26" s="509">
        <f ca="1">IF(ROWS($1:13)&gt;COUNT(Dong14),"",OFFSET(TH!E$1,SMALL(Dong14,ROWS($1:13)),))</f>
        <v>40690</v>
      </c>
      <c r="D26" s="510" t="str">
        <f ca="1">IF(ROWS($1:13)&gt;COUNT(Dong14),"",OFFSET(TH!F$1,SMALL(Dong14,ROWS($1:13)),))</f>
        <v>Thùng 3 lớp không in (39x24x33)</v>
      </c>
      <c r="E26" s="511" t="str">
        <f ca="1">IF(ROWS($1:13)&gt;COUNT(Dong14),"",IF(OFFSET(TH!L$1,SMALL(Dong14,ROWS($1:13)),)="331",OFFSET(TH!M$1,SMALL(Dong14,ROWS($1:13)),),OFFSET(TH!L$1,SMALL(Dong14,ROWS($1:13)),)))</f>
        <v>131</v>
      </c>
      <c r="F26" s="512">
        <f ca="1">IF(ROWS($1:13)&gt;COUNT(Dong14),"",IF(OFFSET(TH!L$1,SMALL(Dong14,ROWS($1:13)),)="131",OFFSET(TH!K$1,SMALL(Dong14,ROWS($1:13)),),0))</f>
        <v>7358</v>
      </c>
      <c r="G26" s="512">
        <f ca="1">IF(ROWS($1:13)&gt;COUNT(Dong14),"",IF(OFFSET(TH!M$1,SMALL(Dong14,ROWS($1:13)),)="131",OFFSET(TH!K$1,SMALL(Dong14,ROWS($1:13)),),0))</f>
        <v>0</v>
      </c>
      <c r="H26" s="513">
        <f t="shared" ca="1" si="0"/>
        <v>10078147</v>
      </c>
      <c r="I26" s="513">
        <f t="shared" ca="1" si="1"/>
        <v>0</v>
      </c>
    </row>
    <row r="27" spans="1:9" ht="18" customHeight="1">
      <c r="A27" s="509">
        <f ca="1">IF(ROWS($1:14)&gt;COUNT(Dong14),"",OFFSET(TH!C$1,SMALL(Dong14,ROWS($1:14)),))</f>
        <v>40690</v>
      </c>
      <c r="B27" s="509" t="str">
        <f ca="1">IF(ROWS($1:14)&gt;COUNT(Dong14),"",OFFSET(TH!D$1,SMALL(Dong14,ROWS($1:14)),))</f>
        <v>TP/X04</v>
      </c>
      <c r="C27" s="509">
        <f ca="1">IF(ROWS($1:14)&gt;COUNT(Dong14),"",OFFSET(TH!E$1,SMALL(Dong14,ROWS($1:14)),))</f>
        <v>40690</v>
      </c>
      <c r="D27" s="510" t="str">
        <f ca="1">IF(ROWS($1:14)&gt;COUNT(Dong14),"",OFFSET(TH!F$1,SMALL(Dong14,ROWS($1:14)),))</f>
        <v>Thùng 3 lớp không in (41x25x30)</v>
      </c>
      <c r="E27" s="511" t="str">
        <f ca="1">IF(ROWS($1:14)&gt;COUNT(Dong14),"",IF(OFFSET(TH!L$1,SMALL(Dong14,ROWS($1:14)),)="331",OFFSET(TH!M$1,SMALL(Dong14,ROWS($1:14)),),OFFSET(TH!L$1,SMALL(Dong14,ROWS($1:14)),)))</f>
        <v>131</v>
      </c>
      <c r="F27" s="512">
        <f ca="1">IF(ROWS($1:14)&gt;COUNT(Dong14),"",IF(OFFSET(TH!L$1,SMALL(Dong14,ROWS($1:14)),)="131",OFFSET(TH!K$1,SMALL(Dong14,ROWS($1:14)),),0))</f>
        <v>29716</v>
      </c>
      <c r="G27" s="512">
        <f ca="1">IF(ROWS($1:14)&gt;COUNT(Dong14),"",IF(OFFSET(TH!M$1,SMALL(Dong14,ROWS($1:14)),)="131",OFFSET(TH!K$1,SMALL(Dong14,ROWS($1:14)),),0))</f>
        <v>0</v>
      </c>
      <c r="H27" s="513">
        <f t="shared" ca="1" si="0"/>
        <v>10107863</v>
      </c>
      <c r="I27" s="513">
        <f t="shared" ca="1" si="1"/>
        <v>0</v>
      </c>
    </row>
    <row r="28" spans="1:9" ht="18" customHeight="1">
      <c r="A28" s="509">
        <f ca="1">IF(ROWS($1:15)&gt;COUNT(Dong14),"",OFFSET(TH!C$1,SMALL(Dong14,ROWS($1:15)),))</f>
        <v>40690</v>
      </c>
      <c r="B28" s="509" t="str">
        <f ca="1">IF(ROWS($1:15)&gt;COUNT(Dong14),"",OFFSET(TH!D$1,SMALL(Dong14,ROWS($1:15)),))</f>
        <v>TP/X04</v>
      </c>
      <c r="C28" s="509">
        <f ca="1">IF(ROWS($1:15)&gt;COUNT(Dong14),"",OFFSET(TH!E$1,SMALL(Dong14,ROWS($1:15)),))</f>
        <v>40690</v>
      </c>
      <c r="D28" s="510" t="str">
        <f ca="1">IF(ROWS($1:15)&gt;COUNT(Dong14),"",OFFSET(TH!F$1,SMALL(Dong14,ROWS($1:15)),))</f>
        <v>Thùng 3 lớp không in (35x20x22.5)</v>
      </c>
      <c r="E28" s="511" t="str">
        <f ca="1">IF(ROWS($1:15)&gt;COUNT(Dong14),"",IF(OFFSET(TH!L$1,SMALL(Dong14,ROWS($1:15)),)="331",OFFSET(TH!M$1,SMALL(Dong14,ROWS($1:15)),),OFFSET(TH!L$1,SMALL(Dong14,ROWS($1:15)),)))</f>
        <v>131</v>
      </c>
      <c r="F28" s="512">
        <f ca="1">IF(ROWS($1:15)&gt;COUNT(Dong14),"",IF(OFFSET(TH!L$1,SMALL(Dong14,ROWS($1:15)),)="131",OFFSET(TH!K$1,SMALL(Dong14,ROWS($1:15)),),0))</f>
        <v>9646</v>
      </c>
      <c r="G28" s="512">
        <f ca="1">IF(ROWS($1:15)&gt;COUNT(Dong14),"",IF(OFFSET(TH!M$1,SMALL(Dong14,ROWS($1:15)),)="131",OFFSET(TH!K$1,SMALL(Dong14,ROWS($1:15)),),0))</f>
        <v>0</v>
      </c>
      <c r="H28" s="513">
        <f t="shared" ca="1" si="0"/>
        <v>10117509</v>
      </c>
      <c r="I28" s="513">
        <f t="shared" ca="1" si="1"/>
        <v>0</v>
      </c>
    </row>
    <row r="29" spans="1:9" ht="18" customHeight="1">
      <c r="A29" s="509">
        <f ca="1">IF(ROWS($1:16)&gt;COUNT(Dong14),"",OFFSET(TH!C$1,SMALL(Dong14,ROWS($1:16)),))</f>
        <v>40690</v>
      </c>
      <c r="B29" s="509" t="str">
        <f ca="1">IF(ROWS($1:16)&gt;COUNT(Dong14),"",OFFSET(TH!D$1,SMALL(Dong14,ROWS($1:16)),))</f>
        <v>TP/X04</v>
      </c>
      <c r="C29" s="509">
        <f ca="1">IF(ROWS($1:16)&gt;COUNT(Dong14),"",OFFSET(TH!E$1,SMALL(Dong14,ROWS($1:16)),))</f>
        <v>40690</v>
      </c>
      <c r="D29" s="510" t="str">
        <f ca="1">IF(ROWS($1:16)&gt;COUNT(Dong14),"",OFFSET(TH!F$1,SMALL(Dong14,ROWS($1:16)),))</f>
        <v>Thùng 3 lớp không in (51x33x20.5)</v>
      </c>
      <c r="E29" s="511" t="str">
        <f ca="1">IF(ROWS($1:16)&gt;COUNT(Dong14),"",IF(OFFSET(TH!L$1,SMALL(Dong14,ROWS($1:16)),)="331",OFFSET(TH!M$1,SMALL(Dong14,ROWS($1:16)),),OFFSET(TH!L$1,SMALL(Dong14,ROWS($1:16)),)))</f>
        <v>131</v>
      </c>
      <c r="F29" s="512">
        <f ca="1">IF(ROWS($1:16)&gt;COUNT(Dong14),"",IF(OFFSET(TH!L$1,SMALL(Dong14,ROWS($1:16)),)="131",OFFSET(TH!K$1,SMALL(Dong14,ROWS($1:16)),),0))</f>
        <v>18282</v>
      </c>
      <c r="G29" s="512">
        <f ca="1">IF(ROWS($1:16)&gt;COUNT(Dong14),"",IF(OFFSET(TH!M$1,SMALL(Dong14,ROWS($1:16)),)="131",OFFSET(TH!K$1,SMALL(Dong14,ROWS($1:16)),),0))</f>
        <v>0</v>
      </c>
      <c r="H29" s="513">
        <f t="shared" ca="1" si="0"/>
        <v>10135791</v>
      </c>
      <c r="I29" s="513">
        <f t="shared" ca="1" si="1"/>
        <v>0</v>
      </c>
    </row>
    <row r="30" spans="1:9" ht="18" customHeight="1">
      <c r="A30" s="509">
        <f ca="1">IF(ROWS($1:17)&gt;COUNT(Dong14),"",OFFSET(TH!C$1,SMALL(Dong14,ROWS($1:17)),))</f>
        <v>40690</v>
      </c>
      <c r="B30" s="509" t="str">
        <f ca="1">IF(ROWS($1:17)&gt;COUNT(Dong14),"",OFFSET(TH!D$1,SMALL(Dong14,ROWS($1:17)),))</f>
        <v>TP/X04</v>
      </c>
      <c r="C30" s="509">
        <f ca="1">IF(ROWS($1:17)&gt;COUNT(Dong14),"",OFFSET(TH!E$1,SMALL(Dong14,ROWS($1:17)),))</f>
        <v>40690</v>
      </c>
      <c r="D30" s="510" t="str">
        <f ca="1">IF(ROWS($1:17)&gt;COUNT(Dong14),"",OFFSET(TH!F$1,SMALL(Dong14,ROWS($1:17)),))</f>
        <v>VAT Thùng 3 lớp</v>
      </c>
      <c r="E30" s="511" t="str">
        <f ca="1">IF(ROWS($1:17)&gt;COUNT(Dong14),"",IF(OFFSET(TH!L$1,SMALL(Dong14,ROWS($1:17)),)="331",OFFSET(TH!M$1,SMALL(Dong14,ROWS($1:17)),),OFFSET(TH!L$1,SMALL(Dong14,ROWS($1:17)),)))</f>
        <v>131</v>
      </c>
      <c r="F30" s="512">
        <f ca="1">IF(ROWS($1:17)&gt;COUNT(Dong14),"",IF(OFFSET(TH!L$1,SMALL(Dong14,ROWS($1:17)),)="131",OFFSET(TH!K$1,SMALL(Dong14,ROWS($1:17)),),0))</f>
        <v>213555</v>
      </c>
      <c r="G30" s="512">
        <f ca="1">IF(ROWS($1:17)&gt;COUNT(Dong14),"",IF(OFFSET(TH!M$1,SMALL(Dong14,ROWS($1:17)),)="131",OFFSET(TH!K$1,SMALL(Dong14,ROWS($1:17)),),0))</f>
        <v>0</v>
      </c>
      <c r="H30" s="513">
        <f t="shared" ca="1" si="0"/>
        <v>10349346</v>
      </c>
      <c r="I30" s="513">
        <f t="shared" ca="1" si="1"/>
        <v>0</v>
      </c>
    </row>
    <row r="31" spans="1:9" ht="18" customHeight="1">
      <c r="A31" s="514"/>
      <c r="B31" s="514"/>
      <c r="C31" s="514"/>
      <c r="D31" s="515"/>
      <c r="E31" s="516"/>
      <c r="F31" s="517"/>
      <c r="G31" s="517"/>
      <c r="H31" s="518"/>
      <c r="I31" s="518"/>
    </row>
    <row r="32" spans="1:9" ht="18" customHeight="1">
      <c r="A32" s="508"/>
      <c r="B32" s="429"/>
      <c r="C32" s="519"/>
      <c r="D32" s="507" t="s">
        <v>31</v>
      </c>
      <c r="E32" s="429" t="s">
        <v>18</v>
      </c>
      <c r="F32" s="520">
        <f ca="1">SUM(F14:F30)</f>
        <v>10349346</v>
      </c>
      <c r="G32" s="520">
        <f ca="1">SUM(G14:G30)</f>
        <v>0</v>
      </c>
      <c r="H32" s="520" t="s">
        <v>18</v>
      </c>
      <c r="I32" s="520" t="s">
        <v>18</v>
      </c>
    </row>
    <row r="33" spans="1:9" ht="18" customHeight="1">
      <c r="A33" s="508"/>
      <c r="B33" s="429"/>
      <c r="C33" s="429"/>
      <c r="D33" s="507" t="s">
        <v>10</v>
      </c>
      <c r="E33" s="429" t="s">
        <v>18</v>
      </c>
      <c r="F33" s="520" t="s">
        <v>18</v>
      </c>
      <c r="G33" s="520" t="s">
        <v>18</v>
      </c>
      <c r="H33" s="520">
        <f ca="1">MAX(H13+F32-G32-I13,0)</f>
        <v>10349346</v>
      </c>
      <c r="I33" s="520">
        <f ca="1">MAX(I13+G32-F32-H13,0)</f>
        <v>0</v>
      </c>
    </row>
    <row r="34" spans="1:9" ht="6" customHeight="1">
      <c r="A34" s="3"/>
      <c r="B34" s="379"/>
      <c r="C34" s="379"/>
      <c r="D34" s="3"/>
      <c r="E34" s="379"/>
      <c r="F34" s="3"/>
      <c r="G34" s="3"/>
      <c r="H34" s="3"/>
      <c r="I34" s="3"/>
    </row>
    <row r="35" spans="1:9" ht="14.25" customHeight="1">
      <c r="A35" s="521" t="s">
        <v>140</v>
      </c>
      <c r="B35" s="379"/>
      <c r="C35" s="379"/>
      <c r="D35" s="3"/>
      <c r="E35" s="379"/>
      <c r="F35" s="3"/>
      <c r="G35" s="3"/>
      <c r="H35" s="3"/>
      <c r="I35" s="3"/>
    </row>
    <row r="36" spans="1:9" ht="14.25" customHeight="1">
      <c r="A36" s="521" t="str">
        <f ca="1">"- Ngày mở sổ: "&amp;DAY($A$14)&amp;"/"&amp;MONTH($A$14)&amp;"/ " &amp;YEAR($A$14)</f>
        <v>- Ngày mở sổ: 27/5/ 2011</v>
      </c>
      <c r="B36" s="379"/>
      <c r="C36" s="379"/>
      <c r="D36" s="3"/>
      <c r="E36" s="379"/>
      <c r="F36" s="3"/>
      <c r="G36" s="3"/>
      <c r="H36" s="3"/>
      <c r="I36" s="3"/>
    </row>
    <row r="37" spans="1:9" ht="14.25" customHeight="1">
      <c r="A37" s="3"/>
      <c r="B37" s="379"/>
      <c r="C37" s="379"/>
      <c r="D37" s="3"/>
      <c r="E37" s="827" t="str">
        <f ca="1">"Ngày 31 tháng  12  năm  "&amp;YEAR($A$14)</f>
        <v>Ngày 31 tháng  12  năm  2011</v>
      </c>
      <c r="F37" s="827"/>
      <c r="G37" s="827"/>
      <c r="H37" s="827"/>
      <c r="I37" s="827"/>
    </row>
    <row r="38" spans="1:9" ht="14.25" customHeight="1">
      <c r="A38" s="3"/>
      <c r="B38" s="3"/>
      <c r="C38" s="379" t="s">
        <v>11</v>
      </c>
      <c r="D38" s="3"/>
      <c r="E38" s="827" t="s">
        <v>12</v>
      </c>
      <c r="F38" s="827"/>
      <c r="G38" s="827"/>
      <c r="H38" s="827"/>
      <c r="I38" s="827"/>
    </row>
    <row r="39" spans="1:9" ht="14.25" customHeight="1">
      <c r="A39" s="3"/>
      <c r="B39" s="3"/>
      <c r="C39" s="379" t="s">
        <v>13</v>
      </c>
      <c r="D39" s="3"/>
      <c r="E39" s="827" t="s">
        <v>13</v>
      </c>
      <c r="F39" s="827"/>
      <c r="G39" s="827"/>
      <c r="H39" s="827"/>
      <c r="I39" s="827"/>
    </row>
  </sheetData>
  <autoFilter ref="A12:I25"/>
  <mergeCells count="14"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91" customWidth="1"/>
    <col min="2" max="2" width="42.42578125" style="491" customWidth="1"/>
    <col min="3" max="4" width="11.85546875" style="491" customWidth="1"/>
    <col min="5" max="8" width="13.5703125" style="491" customWidth="1"/>
  </cols>
  <sheetData>
    <row r="1" spans="1:8">
      <c r="A1" s="232" t="str">
        <f>TH!$A$1</f>
        <v>Đơn vị: CÔNG TY TNHH SX TM KIM DUNG PHÁT</v>
      </c>
    </row>
    <row r="2" spans="1:8">
      <c r="A2" s="245" t="str">
        <f>TH!$A$2</f>
        <v>Địa chỉ: 1A227/1 Ấp 1, Phạm Văn Hai, Bình Chánh, TPHCM</v>
      </c>
    </row>
    <row r="3" spans="1:8" ht="27" customHeight="1">
      <c r="A3" s="854" t="s">
        <v>92</v>
      </c>
      <c r="B3" s="854"/>
      <c r="C3" s="854"/>
      <c r="D3" s="854"/>
      <c r="E3" s="854"/>
      <c r="F3" s="854"/>
      <c r="G3" s="854"/>
      <c r="H3" s="854"/>
    </row>
    <row r="4" spans="1:8" ht="22.5" customHeight="1">
      <c r="A4" s="865" t="s">
        <v>32</v>
      </c>
      <c r="B4" s="866" t="s">
        <v>33</v>
      </c>
      <c r="C4" s="859" t="s">
        <v>34</v>
      </c>
      <c r="D4" s="860"/>
      <c r="E4" s="859" t="s">
        <v>35</v>
      </c>
      <c r="F4" s="860"/>
      <c r="G4" s="859" t="s">
        <v>38</v>
      </c>
      <c r="H4" s="860"/>
    </row>
    <row r="5" spans="1:8" ht="22.5" customHeight="1">
      <c r="A5" s="865"/>
      <c r="B5" s="866"/>
      <c r="C5" s="492" t="s">
        <v>39</v>
      </c>
      <c r="D5" s="492" t="s">
        <v>40</v>
      </c>
      <c r="E5" s="492" t="s">
        <v>39</v>
      </c>
      <c r="F5" s="492" t="s">
        <v>40</v>
      </c>
      <c r="G5" s="492" t="s">
        <v>39</v>
      </c>
      <c r="H5" s="492" t="s">
        <v>40</v>
      </c>
    </row>
    <row r="6" spans="1:8" ht="22.5" customHeight="1">
      <c r="A6" s="524">
        <f>IF(B6&lt;&gt;"",ROW()-5,"")</f>
        <v>1</v>
      </c>
      <c r="B6" s="525" t="s">
        <v>476</v>
      </c>
      <c r="C6" s="495"/>
      <c r="D6" s="495"/>
      <c r="E6" s="495">
        <f t="array" ref="E6">SUM(IF("331"&amp;B6=KHN&amp;KH,TH))</f>
        <v>360875032</v>
      </c>
      <c r="F6" s="495">
        <f t="array" ref="F6">SUM(IF("331"&amp;B6=KHC&amp;KH,TH))</f>
        <v>360875032</v>
      </c>
      <c r="G6" s="496">
        <f t="shared" ref="G6:G9" si="0">ROUND(MAX(C6+E6-D6-F6,0),2)</f>
        <v>0</v>
      </c>
      <c r="H6" s="496">
        <f t="shared" ref="H6:H9" si="1">ROUND(MAX(D6+F6-C6-E6,0),2)</f>
        <v>0</v>
      </c>
    </row>
    <row r="7" spans="1:8" ht="22.5" customHeight="1">
      <c r="A7" s="493">
        <f t="shared" ref="A7:A14" si="2">IF(B7&lt;&gt;"",ROW()-5,"")</f>
        <v>2</v>
      </c>
      <c r="B7" s="494" t="s">
        <v>368</v>
      </c>
      <c r="C7" s="495"/>
      <c r="D7" s="495"/>
      <c r="E7" s="495">
        <f t="array" ref="E7">SUM(IF("331"&amp;B7=KHN&amp;KH,TH))</f>
        <v>8030000</v>
      </c>
      <c r="F7" s="495">
        <f t="array" ref="F7">SUM(IF("331"&amp;B7=KHC&amp;KH,TH))</f>
        <v>8030000</v>
      </c>
      <c r="G7" s="496">
        <f t="shared" si="0"/>
        <v>0</v>
      </c>
      <c r="H7" s="496">
        <f t="shared" si="1"/>
        <v>0</v>
      </c>
    </row>
    <row r="8" spans="1:8" ht="22.5" customHeight="1">
      <c r="A8" s="493">
        <f t="shared" si="2"/>
        <v>3</v>
      </c>
      <c r="B8" s="494" t="s">
        <v>369</v>
      </c>
      <c r="C8" s="495"/>
      <c r="D8" s="495"/>
      <c r="E8" s="495">
        <f t="array" ref="E8">SUM(IF("331"&amp;B8=KHN&amp;KH,TH))</f>
        <v>4435200</v>
      </c>
      <c r="F8" s="495">
        <f t="array" ref="F8">SUM(IF("331"&amp;B8=KHC&amp;KH,TH))</f>
        <v>4435200</v>
      </c>
      <c r="G8" s="496">
        <f t="shared" si="0"/>
        <v>0</v>
      </c>
      <c r="H8" s="496">
        <f t="shared" si="1"/>
        <v>0</v>
      </c>
    </row>
    <row r="9" spans="1:8" ht="22.5" customHeight="1">
      <c r="A9" s="493">
        <f t="shared" si="2"/>
        <v>4</v>
      </c>
      <c r="B9" s="500" t="s">
        <v>508</v>
      </c>
      <c r="C9" s="495"/>
      <c r="D9" s="495"/>
      <c r="E9" s="495">
        <f t="array" ref="E9">SUM(IF("331"&amp;B9=KHN&amp;KH,TH))</f>
        <v>352000000</v>
      </c>
      <c r="F9" s="495">
        <f t="array" ref="F9">SUM(IF("331"&amp;B9=KHC&amp;KH,TH))</f>
        <v>352000000</v>
      </c>
      <c r="G9" s="496">
        <f t="shared" si="0"/>
        <v>0</v>
      </c>
      <c r="H9" s="496">
        <f t="shared" si="1"/>
        <v>0</v>
      </c>
    </row>
    <row r="10" spans="1:8" ht="22.5" customHeight="1">
      <c r="A10" s="493">
        <f t="shared" si="2"/>
        <v>5</v>
      </c>
      <c r="B10" s="494" t="s">
        <v>525</v>
      </c>
      <c r="C10" s="495"/>
      <c r="D10" s="495"/>
      <c r="E10" s="495">
        <f t="array" ref="E10">SUM(IF("331"&amp;B10=KHN&amp;KH,TH))</f>
        <v>95593438</v>
      </c>
      <c r="F10" s="495">
        <f t="array" ref="F10">SUM(IF("331"&amp;B10=KHC&amp;KH,TH))</f>
        <v>95593438</v>
      </c>
      <c r="G10" s="496">
        <f t="shared" ref="G10:G12" si="3">ROUND(MAX(C10+E10-D10-F10,0),2)</f>
        <v>0</v>
      </c>
      <c r="H10" s="496">
        <f t="shared" ref="H10:H12" si="4">ROUND(MAX(D10+F10-C10-E10,0),2)</f>
        <v>0</v>
      </c>
    </row>
    <row r="11" spans="1:8" ht="22.5" customHeight="1">
      <c r="A11" s="493">
        <f t="shared" si="2"/>
        <v>6</v>
      </c>
      <c r="B11" s="500" t="s">
        <v>536</v>
      </c>
      <c r="C11" s="495"/>
      <c r="D11" s="495"/>
      <c r="E11" s="495">
        <f t="array" ref="E11">SUM(IF("331"&amp;B11=KHN&amp;KH,TH))</f>
        <v>288672684</v>
      </c>
      <c r="F11" s="495">
        <f t="array" ref="F11">SUM(IF("331"&amp;B11=KHC&amp;KH,TH))</f>
        <v>288672684</v>
      </c>
      <c r="G11" s="496">
        <f t="shared" si="3"/>
        <v>0</v>
      </c>
      <c r="H11" s="496">
        <f t="shared" si="4"/>
        <v>0</v>
      </c>
    </row>
    <row r="12" spans="1:8" ht="22.5" customHeight="1">
      <c r="A12" s="493">
        <f t="shared" si="2"/>
        <v>7</v>
      </c>
      <c r="B12" s="500" t="s">
        <v>624</v>
      </c>
      <c r="C12" s="495"/>
      <c r="D12" s="495"/>
      <c r="E12" s="495">
        <f t="array" ref="E12">SUM(IF("331"&amp;B12=KHN&amp;KH,TH))</f>
        <v>0</v>
      </c>
      <c r="F12" s="495">
        <f t="array" ref="F12">SUM(IF("331"&amp;B12=KHC&amp;KH,TH))</f>
        <v>140518821</v>
      </c>
      <c r="G12" s="496">
        <f t="shared" si="3"/>
        <v>0</v>
      </c>
      <c r="H12" s="496">
        <f t="shared" si="4"/>
        <v>140518821</v>
      </c>
    </row>
    <row r="13" spans="1:8" ht="22.5" customHeight="1">
      <c r="A13" s="493">
        <f t="shared" si="2"/>
        <v>8</v>
      </c>
      <c r="B13" s="500" t="s">
        <v>451</v>
      </c>
      <c r="C13" s="495"/>
      <c r="D13" s="495"/>
      <c r="E13" s="495">
        <f t="array" ref="E13">SUM(IF("331"&amp;B13=KHN&amp;KH,TH))</f>
        <v>2762067</v>
      </c>
      <c r="F13" s="495">
        <f t="array" ref="F13">SUM(IF("331"&amp;B13=KHC&amp;KH,TH))</f>
        <v>2762067</v>
      </c>
      <c r="G13" s="496">
        <f t="shared" ref="G13:G14" si="5">ROUND(MAX(C13+E13-D13-F13,0),2)</f>
        <v>0</v>
      </c>
      <c r="H13" s="496">
        <f t="shared" ref="H13:H14" si="6">ROUND(MAX(D13+F13-C13-E13,0),2)</f>
        <v>0</v>
      </c>
    </row>
    <row r="14" spans="1:8" ht="22.5" customHeight="1">
      <c r="A14" s="493">
        <f t="shared" si="2"/>
        <v>9</v>
      </c>
      <c r="B14" s="500" t="s">
        <v>487</v>
      </c>
      <c r="C14" s="495"/>
      <c r="D14" s="495"/>
      <c r="E14" s="495">
        <f t="array" ref="E14">SUM(IF("331"&amp;B14=KHN&amp;KH,TH))</f>
        <v>1430000</v>
      </c>
      <c r="F14" s="495">
        <f t="array" ref="F14">SUM(IF("331"&amp;B14=KHC&amp;KH,TH))</f>
        <v>1430000</v>
      </c>
      <c r="G14" s="496">
        <f t="shared" si="5"/>
        <v>0</v>
      </c>
      <c r="H14" s="496">
        <f t="shared" si="6"/>
        <v>0</v>
      </c>
    </row>
    <row r="15" spans="1:8" ht="22.5" customHeight="1">
      <c r="A15" s="493" t="str">
        <f>IF(B15&lt;&gt;"",ROW()-3,"")</f>
        <v/>
      </c>
      <c r="B15" s="500"/>
      <c r="C15" s="495"/>
      <c r="D15" s="495"/>
      <c r="E15" s="522"/>
      <c r="F15" s="522"/>
      <c r="G15" s="523"/>
      <c r="H15" s="523"/>
    </row>
    <row r="16" spans="1:8" ht="22.5" customHeight="1">
      <c r="A16" s="501"/>
      <c r="B16" s="502" t="s">
        <v>36</v>
      </c>
      <c r="C16" s="503">
        <f t="shared" ref="C16:H16" si="7">SUM(C6:C15)</f>
        <v>0</v>
      </c>
      <c r="D16" s="503">
        <f t="shared" si="7"/>
        <v>0</v>
      </c>
      <c r="E16" s="503">
        <f t="shared" si="7"/>
        <v>1113798421</v>
      </c>
      <c r="F16" s="503">
        <f t="shared" si="7"/>
        <v>1254317242</v>
      </c>
      <c r="G16" s="503">
        <f t="shared" si="7"/>
        <v>0</v>
      </c>
      <c r="H16" s="503">
        <f t="shared" si="7"/>
        <v>140518821</v>
      </c>
    </row>
    <row r="18" spans="5:8">
      <c r="E18" s="504"/>
      <c r="F18" s="853" t="str">
        <f>"Ngày  31  tháng   12  năm   "&amp;YEAR(TH!$C$10)</f>
        <v>Ngày  31  tháng   12  năm   2011</v>
      </c>
      <c r="G18" s="853"/>
      <c r="H18" s="853"/>
    </row>
    <row r="19" spans="5:8">
      <c r="F19" s="853" t="s">
        <v>98</v>
      </c>
      <c r="G19" s="853"/>
      <c r="H19" s="853"/>
    </row>
    <row r="20" spans="5:8">
      <c r="E20" s="505"/>
      <c r="F20" s="853" t="s">
        <v>125</v>
      </c>
      <c r="G20" s="853"/>
      <c r="H20" s="85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83" activePane="bottomLeft" state="frozen"/>
      <selection activeCell="A7" sqref="A7"/>
      <selection pane="bottomLeft" activeCell="D63" sqref="D63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48" t="str">
        <f>TH!A1</f>
        <v>Đơn vị: CÔNG TY TNHH SX TM KIM DUNG PHÁT</v>
      </c>
      <c r="B1" s="377"/>
      <c r="C1" s="377"/>
      <c r="D1" s="218"/>
      <c r="E1" s="218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377"/>
      <c r="C2" s="377"/>
      <c r="D2" s="218"/>
      <c r="E2" s="218"/>
      <c r="F2" s="5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241"/>
      <c r="B3" s="377"/>
      <c r="C3" s="377"/>
      <c r="D3" s="218"/>
      <c r="E3" s="218"/>
      <c r="F3" s="5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37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79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11" t="s">
        <v>42</v>
      </c>
      <c r="E7" s="861" t="s">
        <v>476</v>
      </c>
      <c r="F7" s="861"/>
      <c r="G7" s="861"/>
      <c r="H7" s="861"/>
      <c r="I7" s="861"/>
    </row>
    <row r="8" spans="1:9" ht="14.25" customHeight="1">
      <c r="A8" s="3"/>
      <c r="B8" s="3"/>
      <c r="C8" s="3"/>
      <c r="D8" s="3"/>
      <c r="E8" s="379" t="s">
        <v>28</v>
      </c>
      <c r="F8" s="3"/>
      <c r="G8" s="3"/>
      <c r="H8" s="3"/>
      <c r="I8" s="3"/>
    </row>
    <row r="9" spans="1:9" ht="6.75" customHeight="1">
      <c r="A9" s="3"/>
      <c r="B9" s="379"/>
      <c r="C9" s="830"/>
      <c r="D9" s="830"/>
      <c r="E9" s="830"/>
      <c r="F9" s="830"/>
      <c r="G9" s="830"/>
      <c r="H9" s="830"/>
      <c r="I9" s="830"/>
    </row>
    <row r="10" spans="1:9" ht="14.25" customHeight="1">
      <c r="A10" s="831" t="s">
        <v>19</v>
      </c>
      <c r="B10" s="862" t="s">
        <v>1</v>
      </c>
      <c r="C10" s="862"/>
      <c r="D10" s="831" t="s">
        <v>0</v>
      </c>
      <c r="E10" s="831" t="s">
        <v>14</v>
      </c>
      <c r="F10" s="863" t="s">
        <v>20</v>
      </c>
      <c r="G10" s="864"/>
      <c r="H10" s="863" t="s">
        <v>29</v>
      </c>
      <c r="I10" s="864"/>
    </row>
    <row r="11" spans="1:9" ht="24.75" customHeight="1">
      <c r="A11" s="831"/>
      <c r="B11" s="506" t="s">
        <v>15</v>
      </c>
      <c r="C11" s="506" t="s">
        <v>30</v>
      </c>
      <c r="D11" s="831"/>
      <c r="E11" s="831"/>
      <c r="F11" s="506" t="s">
        <v>21</v>
      </c>
      <c r="G11" s="506" t="s">
        <v>22</v>
      </c>
      <c r="H11" s="506" t="s">
        <v>21</v>
      </c>
      <c r="I11" s="506" t="s">
        <v>22</v>
      </c>
    </row>
    <row r="12" spans="1:9" ht="11.25" customHeight="1">
      <c r="A12" s="429" t="s">
        <v>2</v>
      </c>
      <c r="B12" s="430" t="s">
        <v>3</v>
      </c>
      <c r="C12" s="429" t="s">
        <v>4</v>
      </c>
      <c r="D12" s="429" t="s">
        <v>5</v>
      </c>
      <c r="E12" s="429" t="s">
        <v>6</v>
      </c>
      <c r="F12" s="429">
        <v>2</v>
      </c>
      <c r="G12" s="429">
        <v>3</v>
      </c>
      <c r="H12" s="429">
        <v>4</v>
      </c>
      <c r="I12" s="429">
        <v>5</v>
      </c>
    </row>
    <row r="13" spans="1:9" ht="18" customHeight="1">
      <c r="A13" s="429"/>
      <c r="B13" s="429"/>
      <c r="C13" s="429"/>
      <c r="D13" s="507" t="s">
        <v>7</v>
      </c>
      <c r="E13" s="429"/>
      <c r="F13" s="508"/>
      <c r="G13" s="508"/>
      <c r="H13" s="373">
        <f>VLOOKUP($E$7,'331'!$B$6:$H$15,2,0)</f>
        <v>0</v>
      </c>
      <c r="I13" s="373">
        <f>VLOOKUP($E$7,'331'!$B$6:$H$15,3,0)</f>
        <v>0</v>
      </c>
    </row>
    <row r="14" spans="1:9" ht="18" customHeight="1">
      <c r="A14" s="509">
        <f ca="1">IF(ROWS($1:1)&gt;COUNT(Dong),"",OFFSET(TH!C$1,SMALL(Dong,ROWS($1:1)),))</f>
        <v>40642</v>
      </c>
      <c r="B14" s="509" t="str">
        <f ca="1">IF(ROWS($1:1)&gt;COUNT(Dong),"",OFFSET(TH!D$1,SMALL(Dong,ROWS($1:1)),))</f>
        <v>C10</v>
      </c>
      <c r="C14" s="509">
        <f ca="1">IF(ROWS($1:1)&gt;COUNT(Dong),"",OFFSET(TH!E$1,SMALL(Dong,ROWS($1:1)),))</f>
        <v>40642</v>
      </c>
      <c r="D14" s="510" t="str">
        <f ca="1">IF(ROWS($1:1)&gt;COUNT(Dong),"",OFFSET(TH!F$1,SMALL(Dong,ROWS($1:1)),))</f>
        <v>Thanh toán tiền giấy tấm</v>
      </c>
      <c r="E14" s="511" t="str">
        <f ca="1">IF(ROWS($1:1)&gt;COUNT(Dong),"",IF(OFFSET(TH!L$1,SMALL(Dong,ROWS($1:1)),)="331",OFFSET(TH!M$1,SMALL(Dong,ROWS($1:1)),),OFFSET(TH!L$1,SMALL(Dong,ROWS($1:1)),)))</f>
        <v>1111</v>
      </c>
      <c r="F14" s="512">
        <f ca="1">IF(ROWS($1:1)&gt;COUNT(Dong),"",IF(OFFSET(TH!L$1,SMALL(Dong,ROWS($1:1)),)="331",OFFSET(TH!K$1,SMALL(Dong,ROWS($1:1)),),0))</f>
        <v>5947392</v>
      </c>
      <c r="G14" s="512">
        <f ca="1">IF(ROWS($1:1)&gt;COUNT(Dong),"",IF(OFFSET(TH!M$1,SMALL(Dong,ROWS($1:1)),)="331",OFFSET(TH!K$1,SMALL(Dong,ROWS($1:1)),),0))</f>
        <v>0</v>
      </c>
      <c r="H14" s="513">
        <f t="shared" ref="H14:H45" ca="1" si="0">IF(D14&lt;&gt;"",MAX(H13+F14-G14-I13,0),0)</f>
        <v>5947392</v>
      </c>
      <c r="I14" s="513">
        <f t="shared" ref="I14:I45" ca="1" si="1">IF(D14&lt;&gt;"",MAX(I13+G14-H13-F14,0),0)</f>
        <v>0</v>
      </c>
    </row>
    <row r="15" spans="1:9" ht="18" customHeight="1">
      <c r="A15" s="509">
        <f ca="1">IF(ROWS($1:2)&gt;COUNT(Dong),"",OFFSET(TH!C$1,SMALL(Dong,ROWS($1:2)),))</f>
        <v>40642</v>
      </c>
      <c r="B15" s="509" t="str">
        <f ca="1">IF(ROWS($1:2)&gt;COUNT(Dong),"",OFFSET(TH!D$1,SMALL(Dong,ROWS($1:2)),))</f>
        <v>NL/N01</v>
      </c>
      <c r="C15" s="509">
        <f ca="1">IF(ROWS($1:2)&gt;COUNT(Dong),"",OFFSET(TH!E$1,SMALL(Dong,ROWS($1:2)),))</f>
        <v>40642</v>
      </c>
      <c r="D15" s="510" t="str">
        <f ca="1">IF(ROWS($1:2)&gt;COUNT(Dong),"",OFFSET(TH!F$1,SMALL(Dong,ROWS($1:2)),))</f>
        <v>Giấy tấm 2V+3X ( 1000x1500)</v>
      </c>
      <c r="E15" s="511" t="str">
        <f ca="1">IF(ROWS($1:2)&gt;COUNT(Dong),"",IF(OFFSET(TH!L$1,SMALL(Dong,ROWS($1:2)),)="331",OFFSET(TH!M$1,SMALL(Dong,ROWS($1:2)),),OFFSET(TH!L$1,SMALL(Dong,ROWS($1:2)),)))</f>
        <v>1521</v>
      </c>
      <c r="F15" s="512">
        <f ca="1">IF(ROWS($1:2)&gt;COUNT(Dong),"",IF(OFFSET(TH!L$1,SMALL(Dong,ROWS($1:2)),)="331",OFFSET(TH!K$1,SMALL(Dong,ROWS($1:2)),),0))</f>
        <v>0</v>
      </c>
      <c r="G15" s="512">
        <f ca="1">IF(ROWS($1:2)&gt;COUNT(Dong),"",IF(OFFSET(TH!M$1,SMALL(Dong,ROWS($1:2)),)="331",OFFSET(TH!K$1,SMALL(Dong,ROWS($1:2)),),0))</f>
        <v>799900</v>
      </c>
      <c r="H15" s="513">
        <f t="shared" ca="1" si="0"/>
        <v>5147492</v>
      </c>
      <c r="I15" s="513">
        <f t="shared" ca="1" si="1"/>
        <v>0</v>
      </c>
    </row>
    <row r="16" spans="1:9" ht="18" customHeight="1">
      <c r="A16" s="509">
        <f ca="1">IF(ROWS($1:3)&gt;COUNT(Dong),"",OFFSET(TH!C$1,SMALL(Dong,ROWS($1:3)),))</f>
        <v>40642</v>
      </c>
      <c r="B16" s="509" t="str">
        <f ca="1">IF(ROWS($1:3)&gt;COUNT(Dong),"",OFFSET(TH!D$1,SMALL(Dong,ROWS($1:3)),))</f>
        <v>NL/N01</v>
      </c>
      <c r="C16" s="509">
        <f ca="1">IF(ROWS($1:3)&gt;COUNT(Dong),"",OFFSET(TH!E$1,SMALL(Dong,ROWS($1:3)),))</f>
        <v>40642</v>
      </c>
      <c r="D16" s="510" t="str">
        <f ca="1">IF(ROWS($1:3)&gt;COUNT(Dong),"",OFFSET(TH!F$1,SMALL(Dong,ROWS($1:3)),))</f>
        <v>Giấy tấm 2V+1X ( 1000x1500)</v>
      </c>
      <c r="E16" s="511" t="str">
        <f ca="1">IF(ROWS($1:3)&gt;COUNT(Dong),"",IF(OFFSET(TH!L$1,SMALL(Dong,ROWS($1:3)),)="331",OFFSET(TH!M$1,SMALL(Dong,ROWS($1:3)),),OFFSET(TH!L$1,SMALL(Dong,ROWS($1:3)),)))</f>
        <v>1521</v>
      </c>
      <c r="F16" s="512">
        <f ca="1">IF(ROWS($1:3)&gt;COUNT(Dong),"",IF(OFFSET(TH!L$1,SMALL(Dong,ROWS($1:3)),)="331",OFFSET(TH!K$1,SMALL(Dong,ROWS($1:3)),),0))</f>
        <v>0</v>
      </c>
      <c r="G16" s="512">
        <f ca="1">IF(ROWS($1:3)&gt;COUNT(Dong),"",IF(OFFSET(TH!M$1,SMALL(Dong,ROWS($1:3)),)="331",OFFSET(TH!K$1,SMALL(Dong,ROWS($1:3)),),0))</f>
        <v>541500</v>
      </c>
      <c r="H16" s="513">
        <f t="shared" ca="1" si="0"/>
        <v>4605992</v>
      </c>
      <c r="I16" s="513">
        <f t="shared" ca="1" si="1"/>
        <v>0</v>
      </c>
    </row>
    <row r="17" spans="1:9" ht="18" customHeight="1">
      <c r="A17" s="509">
        <f ca="1">IF(ROWS($1:4)&gt;COUNT(Dong),"",OFFSET(TH!C$1,SMALL(Dong,ROWS($1:4)),))</f>
        <v>40642</v>
      </c>
      <c r="B17" s="509" t="str">
        <f ca="1">IF(ROWS($1:4)&gt;COUNT(Dong),"",OFFSET(TH!D$1,SMALL(Dong,ROWS($1:4)),))</f>
        <v>NL/N01</v>
      </c>
      <c r="C17" s="509">
        <f ca="1">IF(ROWS($1:4)&gt;COUNT(Dong),"",OFFSET(TH!E$1,SMALL(Dong,ROWS($1:4)),))</f>
        <v>40642</v>
      </c>
      <c r="D17" s="510" t="str">
        <f ca="1">IF(ROWS($1:4)&gt;COUNT(Dong),"",OFFSET(TH!F$1,SMALL(Dong,ROWS($1:4)),))</f>
        <v>Giấy tấm 2V+3X ( 2240x1500)</v>
      </c>
      <c r="E17" s="511" t="str">
        <f ca="1">IF(ROWS($1:4)&gt;COUNT(Dong),"",IF(OFFSET(TH!L$1,SMALL(Dong,ROWS($1:4)),)="331",OFFSET(TH!M$1,SMALL(Dong,ROWS($1:4)),),OFFSET(TH!L$1,SMALL(Dong,ROWS($1:4)),)))</f>
        <v>1521</v>
      </c>
      <c r="F17" s="512">
        <f ca="1">IF(ROWS($1:4)&gt;COUNT(Dong),"",IF(OFFSET(TH!L$1,SMALL(Dong,ROWS($1:4)),)="331",OFFSET(TH!K$1,SMALL(Dong,ROWS($1:4)),),0))</f>
        <v>0</v>
      </c>
      <c r="G17" s="512">
        <f ca="1">IF(ROWS($1:4)&gt;COUNT(Dong),"",IF(OFFSET(TH!M$1,SMALL(Dong,ROWS($1:4)),)="331",OFFSET(TH!K$1,SMALL(Dong,ROWS($1:4)),),0))</f>
        <v>367920</v>
      </c>
      <c r="H17" s="513">
        <f t="shared" ca="1" si="0"/>
        <v>4238072</v>
      </c>
      <c r="I17" s="513">
        <f t="shared" ca="1" si="1"/>
        <v>0</v>
      </c>
    </row>
    <row r="18" spans="1:9" ht="18" customHeight="1">
      <c r="A18" s="509">
        <f ca="1">IF(ROWS($1:5)&gt;COUNT(Dong),"",OFFSET(TH!C$1,SMALL(Dong,ROWS($1:5)),))</f>
        <v>40642</v>
      </c>
      <c r="B18" s="509" t="str">
        <f ca="1">IF(ROWS($1:5)&gt;COUNT(Dong),"",OFFSET(TH!D$1,SMALL(Dong,ROWS($1:5)),))</f>
        <v>NL/N01</v>
      </c>
      <c r="C18" s="509">
        <f ca="1">IF(ROWS($1:5)&gt;COUNT(Dong),"",OFFSET(TH!E$1,SMALL(Dong,ROWS($1:5)),))</f>
        <v>40642</v>
      </c>
      <c r="D18" s="510" t="str">
        <f ca="1">IF(ROWS($1:5)&gt;COUNT(Dong),"",OFFSET(TH!F$1,SMALL(Dong,ROWS($1:5)),))</f>
        <v>Giấy tấm 2V+3X ( 1780x1248)</v>
      </c>
      <c r="E18" s="511" t="str">
        <f ca="1">IF(ROWS($1:5)&gt;COUNT(Dong),"",IF(OFFSET(TH!L$1,SMALL(Dong,ROWS($1:5)),)="331",OFFSET(TH!M$1,SMALL(Dong,ROWS($1:5)),),OFFSET(TH!L$1,SMALL(Dong,ROWS($1:5)),)))</f>
        <v>1521</v>
      </c>
      <c r="F18" s="512">
        <f ca="1">IF(ROWS($1:5)&gt;COUNT(Dong),"",IF(OFFSET(TH!L$1,SMALL(Dong,ROWS($1:5)),)="331",OFFSET(TH!K$1,SMALL(Dong,ROWS($1:5)),),0))</f>
        <v>0</v>
      </c>
      <c r="G18" s="512">
        <f ca="1">IF(ROWS($1:5)&gt;COUNT(Dong),"",IF(OFFSET(TH!M$1,SMALL(Dong,ROWS($1:5)),)="331",OFFSET(TH!K$1,SMALL(Dong,ROWS($1:5)),),0))</f>
        <v>3697400</v>
      </c>
      <c r="H18" s="513">
        <f t="shared" ca="1" si="0"/>
        <v>540672</v>
      </c>
      <c r="I18" s="513">
        <f t="shared" ca="1" si="1"/>
        <v>0</v>
      </c>
    </row>
    <row r="19" spans="1:9" ht="18" customHeight="1">
      <c r="A19" s="509">
        <f ca="1">IF(ROWS($1:6)&gt;COUNT(Dong),"",OFFSET(TH!C$1,SMALL(Dong,ROWS($1:6)),))</f>
        <v>40642</v>
      </c>
      <c r="B19" s="509" t="str">
        <f ca="1">IF(ROWS($1:6)&gt;COUNT(Dong),"",OFFSET(TH!D$1,SMALL(Dong,ROWS($1:6)),))</f>
        <v>NL/N01</v>
      </c>
      <c r="C19" s="509">
        <f ca="1">IF(ROWS($1:6)&gt;COUNT(Dong),"",OFFSET(TH!E$1,SMALL(Dong,ROWS($1:6)),))</f>
        <v>40642</v>
      </c>
      <c r="D19" s="510" t="str">
        <f ca="1">IF(ROWS($1:6)&gt;COUNT(Dong),"",OFFSET(TH!F$1,SMALL(Dong,ROWS($1:6)),))</f>
        <v>Vat Giấy tấm</v>
      </c>
      <c r="E19" s="511" t="str">
        <f ca="1">IF(ROWS($1:6)&gt;COUNT(Dong),"",IF(OFFSET(TH!L$1,SMALL(Dong,ROWS($1:6)),)="331",OFFSET(TH!M$1,SMALL(Dong,ROWS($1:6)),),OFFSET(TH!L$1,SMALL(Dong,ROWS($1:6)),)))</f>
        <v>1331</v>
      </c>
      <c r="F19" s="512">
        <f ca="1">IF(ROWS($1:6)&gt;COUNT(Dong),"",IF(OFFSET(TH!L$1,SMALL(Dong,ROWS($1:6)),)="331",OFFSET(TH!K$1,SMALL(Dong,ROWS($1:6)),),0))</f>
        <v>0</v>
      </c>
      <c r="G19" s="512">
        <f ca="1">IF(ROWS($1:6)&gt;COUNT(Dong),"",IF(OFFSET(TH!M$1,SMALL(Dong,ROWS($1:6)),)="331",OFFSET(TH!K$1,SMALL(Dong,ROWS($1:6)),),0))</f>
        <v>540672</v>
      </c>
      <c r="H19" s="513">
        <f t="shared" ca="1" si="0"/>
        <v>0</v>
      </c>
      <c r="I19" s="513">
        <f t="shared" ca="1" si="1"/>
        <v>0</v>
      </c>
    </row>
    <row r="20" spans="1:9" ht="18" customHeight="1">
      <c r="A20" s="509">
        <f ca="1">IF(ROWS($1:7)&gt;COUNT(Dong),"",OFFSET(TH!C$1,SMALL(Dong,ROWS($1:7)),))</f>
        <v>40646</v>
      </c>
      <c r="B20" s="509" t="str">
        <f ca="1">IF(ROWS($1:7)&gt;COUNT(Dong),"",OFFSET(TH!D$1,SMALL(Dong,ROWS($1:7)),))</f>
        <v>C14</v>
      </c>
      <c r="C20" s="509">
        <f ca="1">IF(ROWS($1:7)&gt;COUNT(Dong),"",OFFSET(TH!E$1,SMALL(Dong,ROWS($1:7)),))</f>
        <v>40646</v>
      </c>
      <c r="D20" s="510" t="str">
        <f ca="1">IF(ROWS($1:7)&gt;COUNT(Dong),"",OFFSET(TH!F$1,SMALL(Dong,ROWS($1:7)),))</f>
        <v>Thanh toán tiền giấy tấm</v>
      </c>
      <c r="E20" s="511" t="str">
        <f ca="1">IF(ROWS($1:7)&gt;COUNT(Dong),"",IF(OFFSET(TH!L$1,SMALL(Dong,ROWS($1:7)),)="331",OFFSET(TH!M$1,SMALL(Dong,ROWS($1:7)),),OFFSET(TH!L$1,SMALL(Dong,ROWS($1:7)),)))</f>
        <v>1111</v>
      </c>
      <c r="F20" s="512">
        <f ca="1">IF(ROWS($1:7)&gt;COUNT(Dong),"",IF(OFFSET(TH!L$1,SMALL(Dong,ROWS($1:7)),)="331",OFFSET(TH!K$1,SMALL(Dong,ROWS($1:7)),),0))</f>
        <v>12234750</v>
      </c>
      <c r="G20" s="512">
        <f ca="1">IF(ROWS($1:7)&gt;COUNT(Dong),"",IF(OFFSET(TH!M$1,SMALL(Dong,ROWS($1:7)),)="331",OFFSET(TH!K$1,SMALL(Dong,ROWS($1:7)),),0))</f>
        <v>0</v>
      </c>
      <c r="H20" s="513">
        <f t="shared" ca="1" si="0"/>
        <v>12234750</v>
      </c>
      <c r="I20" s="513">
        <f t="shared" ca="1" si="1"/>
        <v>0</v>
      </c>
    </row>
    <row r="21" spans="1:9" ht="18" customHeight="1">
      <c r="A21" s="509">
        <f ca="1">IF(ROWS($1:8)&gt;COUNT(Dong),"",OFFSET(TH!C$1,SMALL(Dong,ROWS($1:8)),))</f>
        <v>40646</v>
      </c>
      <c r="B21" s="509" t="str">
        <f ca="1">IF(ROWS($1:8)&gt;COUNT(Dong),"",OFFSET(TH!D$1,SMALL(Dong,ROWS($1:8)),))</f>
        <v>NL/N02</v>
      </c>
      <c r="C21" s="509">
        <f ca="1">IF(ROWS($1:8)&gt;COUNT(Dong),"",OFFSET(TH!E$1,SMALL(Dong,ROWS($1:8)),))</f>
        <v>40646</v>
      </c>
      <c r="D21" s="510" t="str">
        <f ca="1">IF(ROWS($1:8)&gt;COUNT(Dong),"",OFFSET(TH!F$1,SMALL(Dong,ROWS($1:8)),))</f>
        <v>Giấy tấm 1V+2X ( 1460x444)</v>
      </c>
      <c r="E21" s="511" t="str">
        <f ca="1">IF(ROWS($1:8)&gt;COUNT(Dong),"",IF(OFFSET(TH!L$1,SMALL(Dong,ROWS($1:8)),)="331",OFFSET(TH!M$1,SMALL(Dong,ROWS($1:8)),),OFFSET(TH!L$1,SMALL(Dong,ROWS($1:8)),)))</f>
        <v>1521</v>
      </c>
      <c r="F21" s="512">
        <f ca="1">IF(ROWS($1:8)&gt;COUNT(Dong),"",IF(OFFSET(TH!L$1,SMALL(Dong,ROWS($1:8)),)="331",OFFSET(TH!K$1,SMALL(Dong,ROWS($1:8)),),0))</f>
        <v>0</v>
      </c>
      <c r="G21" s="512">
        <f ca="1">IF(ROWS($1:8)&gt;COUNT(Dong),"",IF(OFFSET(TH!M$1,SMALL(Dong,ROWS($1:8)),)="331",OFFSET(TH!K$1,SMALL(Dong,ROWS($1:8)),),0))</f>
        <v>11122500</v>
      </c>
      <c r="H21" s="513">
        <f t="shared" ca="1" si="0"/>
        <v>1112250</v>
      </c>
      <c r="I21" s="513">
        <f t="shared" ca="1" si="1"/>
        <v>0</v>
      </c>
    </row>
    <row r="22" spans="1:9" ht="18" customHeight="1">
      <c r="A22" s="509">
        <f ca="1">IF(ROWS($1:9)&gt;COUNT(Dong),"",OFFSET(TH!C$1,SMALL(Dong,ROWS($1:9)),))</f>
        <v>40646</v>
      </c>
      <c r="B22" s="509" t="str">
        <f ca="1">IF(ROWS($1:9)&gt;COUNT(Dong),"",OFFSET(TH!D$1,SMALL(Dong,ROWS($1:9)),))</f>
        <v>NL/N02</v>
      </c>
      <c r="C22" s="509">
        <f ca="1">IF(ROWS($1:9)&gt;COUNT(Dong),"",OFFSET(TH!E$1,SMALL(Dong,ROWS($1:9)),))</f>
        <v>40646</v>
      </c>
      <c r="D22" s="510" t="str">
        <f ca="1">IF(ROWS($1:9)&gt;COUNT(Dong),"",OFFSET(TH!F$1,SMALL(Dong,ROWS($1:9)),))</f>
        <v>Vat Giấy tấm</v>
      </c>
      <c r="E22" s="511" t="str">
        <f ca="1">IF(ROWS($1:9)&gt;COUNT(Dong),"",IF(OFFSET(TH!L$1,SMALL(Dong,ROWS($1:9)),)="331",OFFSET(TH!M$1,SMALL(Dong,ROWS($1:9)),),OFFSET(TH!L$1,SMALL(Dong,ROWS($1:9)),)))</f>
        <v>1331</v>
      </c>
      <c r="F22" s="512">
        <f ca="1">IF(ROWS($1:9)&gt;COUNT(Dong),"",IF(OFFSET(TH!L$1,SMALL(Dong,ROWS($1:9)),)="331",OFFSET(TH!K$1,SMALL(Dong,ROWS($1:9)),),0))</f>
        <v>0</v>
      </c>
      <c r="G22" s="512">
        <f ca="1">IF(ROWS($1:9)&gt;COUNT(Dong),"",IF(OFFSET(TH!M$1,SMALL(Dong,ROWS($1:9)),)="331",OFFSET(TH!K$1,SMALL(Dong,ROWS($1:9)),),0))</f>
        <v>1112250</v>
      </c>
      <c r="H22" s="513">
        <f t="shared" ca="1" si="0"/>
        <v>0</v>
      </c>
      <c r="I22" s="513">
        <f t="shared" ca="1" si="1"/>
        <v>0</v>
      </c>
    </row>
    <row r="23" spans="1:9" ht="18" customHeight="1">
      <c r="A23" s="509">
        <f ca="1">IF(ROWS($1:10)&gt;COUNT(Dong),"",OFFSET(TH!C$1,SMALL(Dong,ROWS($1:10)),))</f>
        <v>40647</v>
      </c>
      <c r="B23" s="509" t="str">
        <f ca="1">IF(ROWS($1:10)&gt;COUNT(Dong),"",OFFSET(TH!D$1,SMALL(Dong,ROWS($1:10)),))</f>
        <v>C15</v>
      </c>
      <c r="C23" s="509">
        <f ca="1">IF(ROWS($1:10)&gt;COUNT(Dong),"",OFFSET(TH!E$1,SMALL(Dong,ROWS($1:10)),))</f>
        <v>40647</v>
      </c>
      <c r="D23" s="510" t="str">
        <f ca="1">IF(ROWS($1:10)&gt;COUNT(Dong),"",OFFSET(TH!F$1,SMALL(Dong,ROWS($1:10)),))</f>
        <v>Thanh toán tiền giấy tấm</v>
      </c>
      <c r="E23" s="511" t="str">
        <f ca="1">IF(ROWS($1:10)&gt;COUNT(Dong),"",IF(OFFSET(TH!L$1,SMALL(Dong,ROWS($1:10)),)="331",OFFSET(TH!M$1,SMALL(Dong,ROWS($1:10)),),OFFSET(TH!L$1,SMALL(Dong,ROWS($1:10)),)))</f>
        <v>1111</v>
      </c>
      <c r="F23" s="512">
        <f ca="1">IF(ROWS($1:10)&gt;COUNT(Dong),"",IF(OFFSET(TH!L$1,SMALL(Dong,ROWS($1:10)),)="331",OFFSET(TH!K$1,SMALL(Dong,ROWS($1:10)),),0))</f>
        <v>16841000</v>
      </c>
      <c r="G23" s="512">
        <f ca="1">IF(ROWS($1:10)&gt;COUNT(Dong),"",IF(OFFSET(TH!M$1,SMALL(Dong,ROWS($1:10)),)="331",OFFSET(TH!K$1,SMALL(Dong,ROWS($1:10)),),0))</f>
        <v>0</v>
      </c>
      <c r="H23" s="513">
        <f t="shared" ca="1" si="0"/>
        <v>16841000</v>
      </c>
      <c r="I23" s="513">
        <f t="shared" ca="1" si="1"/>
        <v>0</v>
      </c>
    </row>
    <row r="24" spans="1:9" ht="18" customHeight="1">
      <c r="A24" s="509">
        <f ca="1">IF(ROWS($1:11)&gt;COUNT(Dong),"",OFFSET(TH!C$1,SMALL(Dong,ROWS($1:11)),))</f>
        <v>40647</v>
      </c>
      <c r="B24" s="509" t="str">
        <f ca="1">IF(ROWS($1:11)&gt;COUNT(Dong),"",OFFSET(TH!D$1,SMALL(Dong,ROWS($1:11)),))</f>
        <v>NL/N03</v>
      </c>
      <c r="C24" s="509">
        <f ca="1">IF(ROWS($1:11)&gt;COUNT(Dong),"",OFFSET(TH!E$1,SMALL(Dong,ROWS($1:11)),))</f>
        <v>40647</v>
      </c>
      <c r="D24" s="510" t="str">
        <f ca="1">IF(ROWS($1:11)&gt;COUNT(Dong),"",OFFSET(TH!F$1,SMALL(Dong,ROWS($1:11)),))</f>
        <v>Giấy tấm 1V+2X ( 1640x544)</v>
      </c>
      <c r="E24" s="511" t="str">
        <f ca="1">IF(ROWS($1:11)&gt;COUNT(Dong),"",IF(OFFSET(TH!L$1,SMALL(Dong,ROWS($1:11)),)="331",OFFSET(TH!M$1,SMALL(Dong,ROWS($1:11)),),OFFSET(TH!L$1,SMALL(Dong,ROWS($1:11)),)))</f>
        <v>1521</v>
      </c>
      <c r="F24" s="512">
        <f ca="1">IF(ROWS($1:11)&gt;COUNT(Dong),"",IF(OFFSET(TH!L$1,SMALL(Dong,ROWS($1:11)),)="331",OFFSET(TH!K$1,SMALL(Dong,ROWS($1:11)),),0))</f>
        <v>0</v>
      </c>
      <c r="G24" s="512">
        <f ca="1">IF(ROWS($1:11)&gt;COUNT(Dong),"",IF(OFFSET(TH!M$1,SMALL(Dong,ROWS($1:11)),)="331",OFFSET(TH!K$1,SMALL(Dong,ROWS($1:11)),),0))</f>
        <v>15310000</v>
      </c>
      <c r="H24" s="513">
        <f t="shared" ca="1" si="0"/>
        <v>1531000</v>
      </c>
      <c r="I24" s="513">
        <f t="shared" ca="1" si="1"/>
        <v>0</v>
      </c>
    </row>
    <row r="25" spans="1:9" ht="18" customHeight="1">
      <c r="A25" s="509">
        <f ca="1">IF(ROWS($1:12)&gt;COUNT(Dong),"",OFFSET(TH!C$1,SMALL(Dong,ROWS($1:12)),))</f>
        <v>40647</v>
      </c>
      <c r="B25" s="509" t="str">
        <f ca="1">IF(ROWS($1:12)&gt;COUNT(Dong),"",OFFSET(TH!D$1,SMALL(Dong,ROWS($1:12)),))</f>
        <v>NL/N03</v>
      </c>
      <c r="C25" s="509">
        <f ca="1">IF(ROWS($1:12)&gt;COUNT(Dong),"",OFFSET(TH!E$1,SMALL(Dong,ROWS($1:12)),))</f>
        <v>40647</v>
      </c>
      <c r="D25" s="510" t="str">
        <f ca="1">IF(ROWS($1:12)&gt;COUNT(Dong),"",OFFSET(TH!F$1,SMALL(Dong,ROWS($1:12)),))</f>
        <v>Vat Giấy tấm</v>
      </c>
      <c r="E25" s="511" t="str">
        <f ca="1">IF(ROWS($1:12)&gt;COUNT(Dong),"",IF(OFFSET(TH!L$1,SMALL(Dong,ROWS($1:12)),)="331",OFFSET(TH!M$1,SMALL(Dong,ROWS($1:12)),),OFFSET(TH!L$1,SMALL(Dong,ROWS($1:12)),)))</f>
        <v>1331</v>
      </c>
      <c r="F25" s="512">
        <f ca="1">IF(ROWS($1:12)&gt;COUNT(Dong),"",IF(OFFSET(TH!L$1,SMALL(Dong,ROWS($1:12)),)="331",OFFSET(TH!K$1,SMALL(Dong,ROWS($1:12)),),0))</f>
        <v>0</v>
      </c>
      <c r="G25" s="512">
        <f ca="1">IF(ROWS($1:12)&gt;COUNT(Dong),"",IF(OFFSET(TH!M$1,SMALL(Dong,ROWS($1:12)),)="331",OFFSET(TH!K$1,SMALL(Dong,ROWS($1:12)),),0))</f>
        <v>1531000</v>
      </c>
      <c r="H25" s="513">
        <f t="shared" ca="1" si="0"/>
        <v>0</v>
      </c>
      <c r="I25" s="513">
        <f t="shared" ca="1" si="1"/>
        <v>0</v>
      </c>
    </row>
    <row r="26" spans="1:9" ht="18" customHeight="1">
      <c r="A26" s="509">
        <f ca="1">IF(ROWS($1:13)&gt;COUNT(Dong),"",OFFSET(TH!C$1,SMALL(Dong,ROWS($1:13)),))</f>
        <v>40648</v>
      </c>
      <c r="B26" s="509" t="str">
        <f ca="1">IF(ROWS($1:13)&gt;COUNT(Dong),"",OFFSET(TH!D$1,SMALL(Dong,ROWS($1:13)),))</f>
        <v>C16</v>
      </c>
      <c r="C26" s="509">
        <f ca="1">IF(ROWS($1:13)&gt;COUNT(Dong),"",OFFSET(TH!E$1,SMALL(Dong,ROWS($1:13)),))</f>
        <v>40648</v>
      </c>
      <c r="D26" s="510" t="str">
        <f ca="1">IF(ROWS($1:13)&gt;COUNT(Dong),"",OFFSET(TH!F$1,SMALL(Dong,ROWS($1:13)),))</f>
        <v>Thanh toán tiền giấy tấm</v>
      </c>
      <c r="E26" s="511" t="str">
        <f ca="1">IF(ROWS($1:13)&gt;COUNT(Dong),"",IF(OFFSET(TH!L$1,SMALL(Dong,ROWS($1:13)),)="331",OFFSET(TH!M$1,SMALL(Dong,ROWS($1:13)),),OFFSET(TH!L$1,SMALL(Dong,ROWS($1:13)),)))</f>
        <v>1111</v>
      </c>
      <c r="F26" s="512">
        <f ca="1">IF(ROWS($1:13)&gt;COUNT(Dong),"",IF(OFFSET(TH!L$1,SMALL(Dong,ROWS($1:13)),)="331",OFFSET(TH!K$1,SMALL(Dong,ROWS($1:13)),),0))</f>
        <v>5945481</v>
      </c>
      <c r="G26" s="512">
        <f ca="1">IF(ROWS($1:13)&gt;COUNT(Dong),"",IF(OFFSET(TH!M$1,SMALL(Dong,ROWS($1:13)),)="331",OFFSET(TH!K$1,SMALL(Dong,ROWS($1:13)),),0))</f>
        <v>0</v>
      </c>
      <c r="H26" s="513">
        <f t="shared" ca="1" si="0"/>
        <v>5945481</v>
      </c>
      <c r="I26" s="513">
        <f t="shared" ca="1" si="1"/>
        <v>0</v>
      </c>
    </row>
    <row r="27" spans="1:9" ht="18" customHeight="1">
      <c r="A27" s="509">
        <f ca="1">IF(ROWS($1:14)&gt;COUNT(Dong),"",OFFSET(TH!C$1,SMALL(Dong,ROWS($1:14)),))</f>
        <v>40648</v>
      </c>
      <c r="B27" s="509" t="str">
        <f ca="1">IF(ROWS($1:14)&gt;COUNT(Dong),"",OFFSET(TH!D$1,SMALL(Dong,ROWS($1:14)),))</f>
        <v>NL/N04</v>
      </c>
      <c r="C27" s="509">
        <f ca="1">IF(ROWS($1:14)&gt;COUNT(Dong),"",OFFSET(TH!E$1,SMALL(Dong,ROWS($1:14)),))</f>
        <v>40648</v>
      </c>
      <c r="D27" s="510" t="str">
        <f ca="1">IF(ROWS($1:14)&gt;COUNT(Dong),"",OFFSET(TH!F$1,SMALL(Dong,ROWS($1:14)),))</f>
        <v>Giấy tấm 2V+3X ( 1780x1250 - Po 4/4)</v>
      </c>
      <c r="E27" s="511" t="str">
        <f ca="1">IF(ROWS($1:14)&gt;COUNT(Dong),"",IF(OFFSET(TH!L$1,SMALL(Dong,ROWS($1:14)),)="331",OFFSET(TH!M$1,SMALL(Dong,ROWS($1:14)),),OFFSET(TH!L$1,SMALL(Dong,ROWS($1:14)),)))</f>
        <v>1521</v>
      </c>
      <c r="F27" s="512">
        <f ca="1">IF(ROWS($1:14)&gt;COUNT(Dong),"",IF(OFFSET(TH!L$1,SMALL(Dong,ROWS($1:14)),)="331",OFFSET(TH!K$1,SMALL(Dong,ROWS($1:14)),),0))</f>
        <v>0</v>
      </c>
      <c r="G27" s="512">
        <f ca="1">IF(ROWS($1:14)&gt;COUNT(Dong),"",IF(OFFSET(TH!M$1,SMALL(Dong,ROWS($1:14)),)="331",OFFSET(TH!K$1,SMALL(Dong,ROWS($1:14)),),0))</f>
        <v>3164980</v>
      </c>
      <c r="H27" s="513">
        <f t="shared" ca="1" si="0"/>
        <v>2780501</v>
      </c>
      <c r="I27" s="513">
        <f t="shared" ca="1" si="1"/>
        <v>0</v>
      </c>
    </row>
    <row r="28" spans="1:9" ht="18" customHeight="1">
      <c r="A28" s="509">
        <f ca="1">IF(ROWS($1:15)&gt;COUNT(Dong),"",OFFSET(TH!C$1,SMALL(Dong,ROWS($1:15)),))</f>
        <v>40648</v>
      </c>
      <c r="B28" s="509" t="str">
        <f ca="1">IF(ROWS($1:15)&gt;COUNT(Dong),"",OFFSET(TH!D$1,SMALL(Dong,ROWS($1:15)),))</f>
        <v>NL/N04</v>
      </c>
      <c r="C28" s="509">
        <f ca="1">IF(ROWS($1:15)&gt;COUNT(Dong),"",OFFSET(TH!E$1,SMALL(Dong,ROWS($1:15)),))</f>
        <v>40648</v>
      </c>
      <c r="D28" s="510" t="str">
        <f ca="1">IF(ROWS($1:15)&gt;COUNT(Dong),"",OFFSET(TH!F$1,SMALL(Dong,ROWS($1:15)),))</f>
        <v>Giấy tấm 2V+1X ( 1300x1500 - Po 4/4)</v>
      </c>
      <c r="E28" s="511" t="str">
        <f ca="1">IF(ROWS($1:15)&gt;COUNT(Dong),"",IF(OFFSET(TH!L$1,SMALL(Dong,ROWS($1:15)),)="331",OFFSET(TH!M$1,SMALL(Dong,ROWS($1:15)),),OFFSET(TH!L$1,SMALL(Dong,ROWS($1:15)),)))</f>
        <v>1521</v>
      </c>
      <c r="F28" s="512">
        <f ca="1">IF(ROWS($1:15)&gt;COUNT(Dong),"",IF(OFFSET(TH!L$1,SMALL(Dong,ROWS($1:15)),)="331",OFFSET(TH!K$1,SMALL(Dong,ROWS($1:15)),),0))</f>
        <v>0</v>
      </c>
      <c r="G28" s="512">
        <f ca="1">IF(ROWS($1:15)&gt;COUNT(Dong),"",IF(OFFSET(TH!M$1,SMALL(Dong,ROWS($1:15)),)="331",OFFSET(TH!K$1,SMALL(Dong,ROWS($1:15)),),0))</f>
        <v>844740</v>
      </c>
      <c r="H28" s="513">
        <f t="shared" ca="1" si="0"/>
        <v>1935761</v>
      </c>
      <c r="I28" s="513">
        <f t="shared" ca="1" si="1"/>
        <v>0</v>
      </c>
    </row>
    <row r="29" spans="1:9" ht="18" customHeight="1">
      <c r="A29" s="509">
        <f ca="1">IF(ROWS($1:16)&gt;COUNT(Dong),"",OFFSET(TH!C$1,SMALL(Dong,ROWS($1:16)),))</f>
        <v>40648</v>
      </c>
      <c r="B29" s="509" t="str">
        <f ca="1">IF(ROWS($1:16)&gt;COUNT(Dong),"",OFFSET(TH!D$1,SMALL(Dong,ROWS($1:16)),))</f>
        <v>NL/N04</v>
      </c>
      <c r="C29" s="509">
        <f ca="1">IF(ROWS($1:16)&gt;COUNT(Dong),"",OFFSET(TH!E$1,SMALL(Dong,ROWS($1:16)),))</f>
        <v>40648</v>
      </c>
      <c r="D29" s="510" t="str">
        <f ca="1">IF(ROWS($1:16)&gt;COUNT(Dong),"",OFFSET(TH!F$1,SMALL(Dong,ROWS($1:16)),))</f>
        <v>Giấy tấm 2V+3X ( 1820x1400 - Po 4/4)</v>
      </c>
      <c r="E29" s="511" t="str">
        <f ca="1">IF(ROWS($1:16)&gt;COUNT(Dong),"",IF(OFFSET(TH!L$1,SMALL(Dong,ROWS($1:16)),)="331",OFFSET(TH!M$1,SMALL(Dong,ROWS($1:16)),),OFFSET(TH!L$1,SMALL(Dong,ROWS($1:16)),)))</f>
        <v>1521</v>
      </c>
      <c r="F29" s="512">
        <f ca="1">IF(ROWS($1:16)&gt;COUNT(Dong),"",IF(OFFSET(TH!L$1,SMALL(Dong,ROWS($1:16)),)="331",OFFSET(TH!K$1,SMALL(Dong,ROWS($1:16)),),0))</f>
        <v>0</v>
      </c>
      <c r="G29" s="512">
        <f ca="1">IF(ROWS($1:16)&gt;COUNT(Dong),"",IF(OFFSET(TH!M$1,SMALL(Dong,ROWS($1:16)),)="331",OFFSET(TH!K$1,SMALL(Dong,ROWS($1:16)),),0))</f>
        <v>1395050</v>
      </c>
      <c r="H29" s="513">
        <f t="shared" ca="1" si="0"/>
        <v>540711</v>
      </c>
      <c r="I29" s="513">
        <f t="shared" ca="1" si="1"/>
        <v>0</v>
      </c>
    </row>
    <row r="30" spans="1:9" ht="18" customHeight="1">
      <c r="A30" s="509">
        <f ca="1">IF(ROWS($1:17)&gt;COUNT(Dong),"",OFFSET(TH!C$1,SMALL(Dong,ROWS($1:17)),))</f>
        <v>40648</v>
      </c>
      <c r="B30" s="509" t="str">
        <f ca="1">IF(ROWS($1:17)&gt;COUNT(Dong),"",OFFSET(TH!D$1,SMALL(Dong,ROWS($1:17)),))</f>
        <v>NL/N04</v>
      </c>
      <c r="C30" s="509">
        <f ca="1">IF(ROWS($1:17)&gt;COUNT(Dong),"",OFFSET(TH!E$1,SMALL(Dong,ROWS($1:17)),))</f>
        <v>40648</v>
      </c>
      <c r="D30" s="510" t="str">
        <f ca="1">IF(ROWS($1:17)&gt;COUNT(Dong),"",OFFSET(TH!F$1,SMALL(Dong,ROWS($1:17)),))</f>
        <v>Vat Giấy tấm</v>
      </c>
      <c r="E30" s="511" t="str">
        <f ca="1">IF(ROWS($1:17)&gt;COUNT(Dong),"",IF(OFFSET(TH!L$1,SMALL(Dong,ROWS($1:17)),)="331",OFFSET(TH!M$1,SMALL(Dong,ROWS($1:17)),),OFFSET(TH!L$1,SMALL(Dong,ROWS($1:17)),)))</f>
        <v>1331</v>
      </c>
      <c r="F30" s="512">
        <f ca="1">IF(ROWS($1:17)&gt;COUNT(Dong),"",IF(OFFSET(TH!L$1,SMALL(Dong,ROWS($1:17)),)="331",OFFSET(TH!K$1,SMALL(Dong,ROWS($1:17)),),0))</f>
        <v>0</v>
      </c>
      <c r="G30" s="512">
        <f ca="1">IF(ROWS($1:17)&gt;COUNT(Dong),"",IF(OFFSET(TH!M$1,SMALL(Dong,ROWS($1:17)),)="331",OFFSET(TH!K$1,SMALL(Dong,ROWS($1:17)),),0))</f>
        <v>540711</v>
      </c>
      <c r="H30" s="513">
        <f t="shared" ca="1" si="0"/>
        <v>0</v>
      </c>
      <c r="I30" s="513">
        <f t="shared" ca="1" si="1"/>
        <v>0</v>
      </c>
    </row>
    <row r="31" spans="1:9" ht="18" customHeight="1">
      <c r="A31" s="509">
        <f ca="1">IF(ROWS($1:18)&gt;COUNT(Dong),"",OFFSET(TH!C$1,SMALL(Dong,ROWS($1:18)),))</f>
        <v>40658</v>
      </c>
      <c r="B31" s="509" t="str">
        <f ca="1">IF(ROWS($1:18)&gt;COUNT(Dong),"",OFFSET(TH!D$1,SMALL(Dong,ROWS($1:18)),))</f>
        <v>NL/N05</v>
      </c>
      <c r="C31" s="509">
        <f ca="1">IF(ROWS($1:18)&gt;COUNT(Dong),"",OFFSET(TH!E$1,SMALL(Dong,ROWS($1:18)),))</f>
        <v>40658</v>
      </c>
      <c r="D31" s="510" t="str">
        <f ca="1">IF(ROWS($1:18)&gt;COUNT(Dong),"",OFFSET(TH!F$1,SMALL(Dong,ROWS($1:18)),))</f>
        <v>Giấy tấm 1V+2X ( 1480x452)</v>
      </c>
      <c r="E31" s="511" t="str">
        <f ca="1">IF(ROWS($1:18)&gt;COUNT(Dong),"",IF(OFFSET(TH!L$1,SMALL(Dong,ROWS($1:18)),)="331",OFFSET(TH!M$1,SMALL(Dong,ROWS($1:18)),),OFFSET(TH!L$1,SMALL(Dong,ROWS($1:18)),)))</f>
        <v>1521</v>
      </c>
      <c r="F31" s="512">
        <f ca="1">IF(ROWS($1:18)&gt;COUNT(Dong),"",IF(OFFSET(TH!L$1,SMALL(Dong,ROWS($1:18)),)="331",OFFSET(TH!K$1,SMALL(Dong,ROWS($1:18)),),0))</f>
        <v>0</v>
      </c>
      <c r="G31" s="512">
        <f ca="1">IF(ROWS($1:18)&gt;COUNT(Dong),"",IF(OFFSET(TH!M$1,SMALL(Dong,ROWS($1:18)),)="331",OFFSET(TH!K$1,SMALL(Dong,ROWS($1:18)),),0))</f>
        <v>13821920</v>
      </c>
      <c r="H31" s="513">
        <f t="shared" ca="1" si="0"/>
        <v>0</v>
      </c>
      <c r="I31" s="513">
        <f t="shared" ca="1" si="1"/>
        <v>13821920</v>
      </c>
    </row>
    <row r="32" spans="1:9" ht="18" customHeight="1">
      <c r="A32" s="509">
        <f ca="1">IF(ROWS($1:19)&gt;COUNT(Dong),"",OFFSET(TH!C$1,SMALL(Dong,ROWS($1:19)),))</f>
        <v>40658</v>
      </c>
      <c r="B32" s="509" t="str">
        <f ca="1">IF(ROWS($1:19)&gt;COUNT(Dong),"",OFFSET(TH!D$1,SMALL(Dong,ROWS($1:19)),))</f>
        <v>NL/N05</v>
      </c>
      <c r="C32" s="509">
        <f ca="1">IF(ROWS($1:19)&gt;COUNT(Dong),"",OFFSET(TH!E$1,SMALL(Dong,ROWS($1:19)),))</f>
        <v>40658</v>
      </c>
      <c r="D32" s="510" t="str">
        <f ca="1">IF(ROWS($1:19)&gt;COUNT(Dong),"",OFFSET(TH!F$1,SMALL(Dong,ROWS($1:19)),))</f>
        <v>Giấy tấm 1V+2X ( 1540x542)</v>
      </c>
      <c r="E32" s="511" t="str">
        <f ca="1">IF(ROWS($1:19)&gt;COUNT(Dong),"",IF(OFFSET(TH!L$1,SMALL(Dong,ROWS($1:19)),)="331",OFFSET(TH!M$1,SMALL(Dong,ROWS($1:19)),),OFFSET(TH!L$1,SMALL(Dong,ROWS($1:19)),)))</f>
        <v>1521</v>
      </c>
      <c r="F32" s="512">
        <f ca="1">IF(ROWS($1:19)&gt;COUNT(Dong),"",IF(OFFSET(TH!L$1,SMALL(Dong,ROWS($1:19)),)="331",OFFSET(TH!K$1,SMALL(Dong,ROWS($1:19)),),0))</f>
        <v>0</v>
      </c>
      <c r="G32" s="512">
        <f ca="1">IF(ROWS($1:19)&gt;COUNT(Dong),"",IF(OFFSET(TH!M$1,SMALL(Dong,ROWS($1:19)),)="331",OFFSET(TH!K$1,SMALL(Dong,ROWS($1:19)),),0))</f>
        <v>18138260</v>
      </c>
      <c r="H32" s="513">
        <f t="shared" ca="1" si="0"/>
        <v>0</v>
      </c>
      <c r="I32" s="513">
        <f t="shared" ca="1" si="1"/>
        <v>31960180</v>
      </c>
    </row>
    <row r="33" spans="1:9" ht="18" customHeight="1">
      <c r="A33" s="509">
        <f ca="1">IF(ROWS($1:20)&gt;COUNT(Dong),"",OFFSET(TH!C$1,SMALL(Dong,ROWS($1:20)),))</f>
        <v>40658</v>
      </c>
      <c r="B33" s="509" t="str">
        <f ca="1">IF(ROWS($1:20)&gt;COUNT(Dong),"",OFFSET(TH!D$1,SMALL(Dong,ROWS($1:20)),))</f>
        <v>NL/N05</v>
      </c>
      <c r="C33" s="509">
        <f ca="1">IF(ROWS($1:20)&gt;COUNT(Dong),"",OFFSET(TH!E$1,SMALL(Dong,ROWS($1:20)),))</f>
        <v>40658</v>
      </c>
      <c r="D33" s="510" t="str">
        <f ca="1">IF(ROWS($1:20)&gt;COUNT(Dong),"",OFFSET(TH!F$1,SMALL(Dong,ROWS($1:20)),))</f>
        <v>Giấy tấm 2V+1X ( 1720x1250)</v>
      </c>
      <c r="E33" s="511" t="str">
        <f ca="1">IF(ROWS($1:20)&gt;COUNT(Dong),"",IF(OFFSET(TH!L$1,SMALL(Dong,ROWS($1:20)),)="331",OFFSET(TH!M$1,SMALL(Dong,ROWS($1:20)),),OFFSET(TH!L$1,SMALL(Dong,ROWS($1:20)),)))</f>
        <v>1521</v>
      </c>
      <c r="F33" s="512">
        <f ca="1">IF(ROWS($1:20)&gt;COUNT(Dong),"",IF(OFFSET(TH!L$1,SMALL(Dong,ROWS($1:20)),)="331",OFFSET(TH!K$1,SMALL(Dong,ROWS($1:20)),),0))</f>
        <v>0</v>
      </c>
      <c r="G33" s="512">
        <f ca="1">IF(ROWS($1:20)&gt;COUNT(Dong),"",IF(OFFSET(TH!M$1,SMALL(Dong,ROWS($1:20)),)="331",OFFSET(TH!K$1,SMALL(Dong,ROWS($1:20)),),0))</f>
        <v>3789375</v>
      </c>
      <c r="H33" s="513">
        <f t="shared" ca="1" si="0"/>
        <v>0</v>
      </c>
      <c r="I33" s="513">
        <f t="shared" ca="1" si="1"/>
        <v>35749555</v>
      </c>
    </row>
    <row r="34" spans="1:9" ht="18" customHeight="1">
      <c r="A34" s="509">
        <f ca="1">IF(ROWS($1:21)&gt;COUNT(Dong),"",OFFSET(TH!C$1,SMALL(Dong,ROWS($1:21)),))</f>
        <v>40658</v>
      </c>
      <c r="B34" s="509" t="str">
        <f ca="1">IF(ROWS($1:21)&gt;COUNT(Dong),"",OFFSET(TH!D$1,SMALL(Dong,ROWS($1:21)),))</f>
        <v>NL/N05</v>
      </c>
      <c r="C34" s="509">
        <f ca="1">IF(ROWS($1:21)&gt;COUNT(Dong),"",OFFSET(TH!E$1,SMALL(Dong,ROWS($1:21)),))</f>
        <v>40658</v>
      </c>
      <c r="D34" s="510" t="str">
        <f ca="1">IF(ROWS($1:21)&gt;COUNT(Dong),"",OFFSET(TH!F$1,SMALL(Dong,ROWS($1:21)),))</f>
        <v>Giấy tấm 2V+1X ( 2240x1500)</v>
      </c>
      <c r="E34" s="511" t="str">
        <f ca="1">IF(ROWS($1:21)&gt;COUNT(Dong),"",IF(OFFSET(TH!L$1,SMALL(Dong,ROWS($1:21)),)="331",OFFSET(TH!M$1,SMALL(Dong,ROWS($1:21)),),OFFSET(TH!L$1,SMALL(Dong,ROWS($1:21)),)))</f>
        <v>1521</v>
      </c>
      <c r="F34" s="512">
        <f ca="1">IF(ROWS($1:21)&gt;COUNT(Dong),"",IF(OFFSET(TH!L$1,SMALL(Dong,ROWS($1:21)),)="331",OFFSET(TH!K$1,SMALL(Dong,ROWS($1:21)),),0))</f>
        <v>0</v>
      </c>
      <c r="G34" s="512">
        <f ca="1">IF(ROWS($1:21)&gt;COUNT(Dong),"",IF(OFFSET(TH!M$1,SMALL(Dong,ROWS($1:21)),)="331",OFFSET(TH!K$1,SMALL(Dong,ROWS($1:21)),),0))</f>
        <v>37800000</v>
      </c>
      <c r="H34" s="513">
        <f t="shared" ca="1" si="0"/>
        <v>0</v>
      </c>
      <c r="I34" s="513">
        <f t="shared" ca="1" si="1"/>
        <v>73549555</v>
      </c>
    </row>
    <row r="35" spans="1:9" ht="18" customHeight="1">
      <c r="A35" s="509">
        <f ca="1">IF(ROWS($1:22)&gt;COUNT(Dong),"",OFFSET(TH!C$1,SMALL(Dong,ROWS($1:22)),))</f>
        <v>40658</v>
      </c>
      <c r="B35" s="509" t="str">
        <f ca="1">IF(ROWS($1:22)&gt;COUNT(Dong),"",OFFSET(TH!D$1,SMALL(Dong,ROWS($1:22)),))</f>
        <v>NL/N05</v>
      </c>
      <c r="C35" s="509">
        <f ca="1">IF(ROWS($1:22)&gt;COUNT(Dong),"",OFFSET(TH!E$1,SMALL(Dong,ROWS($1:22)),))</f>
        <v>40658</v>
      </c>
      <c r="D35" s="510" t="str">
        <f ca="1">IF(ROWS($1:22)&gt;COUNT(Dong),"",OFFSET(TH!F$1,SMALL(Dong,ROWS($1:22)),))</f>
        <v>Giấy tấm 2V+1X ( 2240x1650)</v>
      </c>
      <c r="E35" s="511" t="str">
        <f ca="1">IF(ROWS($1:22)&gt;COUNT(Dong),"",IF(OFFSET(TH!L$1,SMALL(Dong,ROWS($1:22)),)="331",OFFSET(TH!M$1,SMALL(Dong,ROWS($1:22)),),OFFSET(TH!L$1,SMALL(Dong,ROWS($1:22)),)))</f>
        <v>1521</v>
      </c>
      <c r="F35" s="512">
        <f ca="1">IF(ROWS($1:22)&gt;COUNT(Dong),"",IF(OFFSET(TH!L$1,SMALL(Dong,ROWS($1:22)),)="331",OFFSET(TH!K$1,SMALL(Dong,ROWS($1:22)),),0))</f>
        <v>0</v>
      </c>
      <c r="G35" s="512">
        <f ca="1">IF(ROWS($1:22)&gt;COUNT(Dong),"",IF(OFFSET(TH!M$1,SMALL(Dong,ROWS($1:22)),)="331",OFFSET(TH!K$1,SMALL(Dong,ROWS($1:22)),),0))</f>
        <v>12390840</v>
      </c>
      <c r="H35" s="513">
        <f t="shared" ca="1" si="0"/>
        <v>0</v>
      </c>
      <c r="I35" s="513">
        <f t="shared" ca="1" si="1"/>
        <v>85940395</v>
      </c>
    </row>
    <row r="36" spans="1:9" ht="18" customHeight="1">
      <c r="A36" s="509">
        <f ca="1">IF(ROWS($1:23)&gt;COUNT(Dong),"",OFFSET(TH!C$1,SMALL(Dong,ROWS($1:23)),))</f>
        <v>40658</v>
      </c>
      <c r="B36" s="509" t="str">
        <f ca="1">IF(ROWS($1:23)&gt;COUNT(Dong),"",OFFSET(TH!D$1,SMALL(Dong,ROWS($1:23)),))</f>
        <v>NL/N05</v>
      </c>
      <c r="C36" s="509">
        <f ca="1">IF(ROWS($1:23)&gt;COUNT(Dong),"",OFFSET(TH!E$1,SMALL(Dong,ROWS($1:23)),))</f>
        <v>40658</v>
      </c>
      <c r="D36" s="510" t="str">
        <f ca="1">IF(ROWS($1:23)&gt;COUNT(Dong),"",OFFSET(TH!F$1,SMALL(Dong,ROWS($1:23)),))</f>
        <v>Giấy tấm 2V+1X ( 2020x1600)</v>
      </c>
      <c r="E36" s="511" t="str">
        <f ca="1">IF(ROWS($1:23)&gt;COUNT(Dong),"",IF(OFFSET(TH!L$1,SMALL(Dong,ROWS($1:23)),)="331",OFFSET(TH!M$1,SMALL(Dong,ROWS($1:23)),),OFFSET(TH!L$1,SMALL(Dong,ROWS($1:23)),)))</f>
        <v>1521</v>
      </c>
      <c r="F36" s="512">
        <f ca="1">IF(ROWS($1:23)&gt;COUNT(Dong),"",IF(OFFSET(TH!L$1,SMALL(Dong,ROWS($1:23)),)="331",OFFSET(TH!K$1,SMALL(Dong,ROWS($1:23)),),0))</f>
        <v>0</v>
      </c>
      <c r="G36" s="512">
        <f ca="1">IF(ROWS($1:23)&gt;COUNT(Dong),"",IF(OFFSET(TH!M$1,SMALL(Dong,ROWS($1:23)),)="331",OFFSET(TH!K$1,SMALL(Dong,ROWS($1:23)),),0))</f>
        <v>1840280</v>
      </c>
      <c r="H36" s="513">
        <f t="shared" ca="1" si="0"/>
        <v>0</v>
      </c>
      <c r="I36" s="513">
        <f t="shared" ca="1" si="1"/>
        <v>87780675</v>
      </c>
    </row>
    <row r="37" spans="1:9" ht="18" customHeight="1">
      <c r="A37" s="509">
        <f ca="1">IF(ROWS($1:24)&gt;COUNT(Dong),"",OFFSET(TH!C$1,SMALL(Dong,ROWS($1:24)),))</f>
        <v>40658</v>
      </c>
      <c r="B37" s="509" t="str">
        <f ca="1">IF(ROWS($1:24)&gt;COUNT(Dong),"",OFFSET(TH!D$1,SMALL(Dong,ROWS($1:24)),))</f>
        <v>NL/N05</v>
      </c>
      <c r="C37" s="509">
        <f ca="1">IF(ROWS($1:24)&gt;COUNT(Dong),"",OFFSET(TH!E$1,SMALL(Dong,ROWS($1:24)),))</f>
        <v>40658</v>
      </c>
      <c r="D37" s="510" t="str">
        <f ca="1">IF(ROWS($1:24)&gt;COUNT(Dong),"",OFFSET(TH!F$1,SMALL(Dong,ROWS($1:24)),))</f>
        <v>Vat Giấy tấm</v>
      </c>
      <c r="E37" s="511" t="str">
        <f ca="1">IF(ROWS($1:24)&gt;COUNT(Dong),"",IF(OFFSET(TH!L$1,SMALL(Dong,ROWS($1:24)),)="331",OFFSET(TH!M$1,SMALL(Dong,ROWS($1:24)),),OFFSET(TH!L$1,SMALL(Dong,ROWS($1:24)),)))</f>
        <v>1331</v>
      </c>
      <c r="F37" s="512">
        <f ca="1">IF(ROWS($1:24)&gt;COUNT(Dong),"",IF(OFFSET(TH!L$1,SMALL(Dong,ROWS($1:24)),)="331",OFFSET(TH!K$1,SMALL(Dong,ROWS($1:24)),),0))</f>
        <v>0</v>
      </c>
      <c r="G37" s="512">
        <f ca="1">IF(ROWS($1:24)&gt;COUNT(Dong),"",IF(OFFSET(TH!M$1,SMALL(Dong,ROWS($1:24)),)="331",OFFSET(TH!K$1,SMALL(Dong,ROWS($1:24)),),0))</f>
        <v>8778068</v>
      </c>
      <c r="H37" s="513">
        <f t="shared" ca="1" si="0"/>
        <v>0</v>
      </c>
      <c r="I37" s="513">
        <f t="shared" ca="1" si="1"/>
        <v>96558743</v>
      </c>
    </row>
    <row r="38" spans="1:9" ht="18" customHeight="1">
      <c r="A38" s="509">
        <f ca="1">IF(ROWS($1:25)&gt;COUNT(Dong),"",OFFSET(TH!C$1,SMALL(Dong,ROWS($1:25)),))</f>
        <v>40661</v>
      </c>
      <c r="B38" s="509" t="str">
        <f ca="1">IF(ROWS($1:25)&gt;COUNT(Dong),"",OFFSET(TH!D$1,SMALL(Dong,ROWS($1:25)),))</f>
        <v>NL/N06</v>
      </c>
      <c r="C38" s="509">
        <f ca="1">IF(ROWS($1:25)&gt;COUNT(Dong),"",OFFSET(TH!E$1,SMALL(Dong,ROWS($1:25)),))</f>
        <v>40661</v>
      </c>
      <c r="D38" s="510" t="str">
        <f ca="1">IF(ROWS($1:25)&gt;COUNT(Dong),"",OFFSET(TH!F$1,SMALL(Dong,ROWS($1:25)),))</f>
        <v>Giấy tấm 2V+1X ( 1860x1370)</v>
      </c>
      <c r="E38" s="511" t="str">
        <f ca="1">IF(ROWS($1:25)&gt;COUNT(Dong),"",IF(OFFSET(TH!L$1,SMALL(Dong,ROWS($1:25)),)="331",OFFSET(TH!M$1,SMALL(Dong,ROWS($1:25)),),OFFSET(TH!L$1,SMALL(Dong,ROWS($1:25)),)))</f>
        <v>1521</v>
      </c>
      <c r="F38" s="512">
        <f ca="1">IF(ROWS($1:25)&gt;COUNT(Dong),"",IF(OFFSET(TH!L$1,SMALL(Dong,ROWS($1:25)),)="331",OFFSET(TH!K$1,SMALL(Dong,ROWS($1:25)),),0))</f>
        <v>0</v>
      </c>
      <c r="G38" s="512">
        <f ca="1">IF(ROWS($1:25)&gt;COUNT(Dong),"",IF(OFFSET(TH!M$1,SMALL(Dong,ROWS($1:25)),)="331",OFFSET(TH!K$1,SMALL(Dong,ROWS($1:25)),),0))</f>
        <v>4395760</v>
      </c>
      <c r="H38" s="513">
        <f t="shared" ca="1" si="0"/>
        <v>0</v>
      </c>
      <c r="I38" s="513">
        <f t="shared" ca="1" si="1"/>
        <v>100954503</v>
      </c>
    </row>
    <row r="39" spans="1:9" ht="18" customHeight="1">
      <c r="A39" s="509">
        <f ca="1">IF(ROWS($1:26)&gt;COUNT(Dong),"",OFFSET(TH!C$1,SMALL(Dong,ROWS($1:26)),))</f>
        <v>40661</v>
      </c>
      <c r="B39" s="509" t="str">
        <f ca="1">IF(ROWS($1:26)&gt;COUNT(Dong),"",OFFSET(TH!D$1,SMALL(Dong,ROWS($1:26)),))</f>
        <v>NL/N06</v>
      </c>
      <c r="C39" s="509">
        <f ca="1">IF(ROWS($1:26)&gt;COUNT(Dong),"",OFFSET(TH!E$1,SMALL(Dong,ROWS($1:26)),))</f>
        <v>40661</v>
      </c>
      <c r="D39" s="510" t="str">
        <f ca="1">IF(ROWS($1:26)&gt;COUNT(Dong),"",OFFSET(TH!F$1,SMALL(Dong,ROWS($1:26)),))</f>
        <v>Giấy tấm 2V+1X ( 2440x1750)</v>
      </c>
      <c r="E39" s="511" t="str">
        <f ca="1">IF(ROWS($1:26)&gt;COUNT(Dong),"",IF(OFFSET(TH!L$1,SMALL(Dong,ROWS($1:26)),)="331",OFFSET(TH!M$1,SMALL(Dong,ROWS($1:26)),),OFFSET(TH!L$1,SMALL(Dong,ROWS($1:26)),)))</f>
        <v>1521</v>
      </c>
      <c r="F39" s="512">
        <f ca="1">IF(ROWS($1:26)&gt;COUNT(Dong),"",IF(OFFSET(TH!L$1,SMALL(Dong,ROWS($1:26)),)="331",OFFSET(TH!K$1,SMALL(Dong,ROWS($1:26)),),0))</f>
        <v>0</v>
      </c>
      <c r="G39" s="512">
        <f ca="1">IF(ROWS($1:26)&gt;COUNT(Dong),"",IF(OFFSET(TH!M$1,SMALL(Dong,ROWS($1:26)),)="331",OFFSET(TH!K$1,SMALL(Dong,ROWS($1:26)),),0))</f>
        <v>3042375</v>
      </c>
      <c r="H39" s="513">
        <f t="shared" ca="1" si="0"/>
        <v>0</v>
      </c>
      <c r="I39" s="513">
        <f t="shared" ca="1" si="1"/>
        <v>103996878</v>
      </c>
    </row>
    <row r="40" spans="1:9" ht="18" customHeight="1">
      <c r="A40" s="509">
        <f ca="1">IF(ROWS($1:27)&gt;COUNT(Dong),"",OFFSET(TH!C$1,SMALL(Dong,ROWS($1:27)),))</f>
        <v>40661</v>
      </c>
      <c r="B40" s="509" t="str">
        <f ca="1">IF(ROWS($1:27)&gt;COUNT(Dong),"",OFFSET(TH!D$1,SMALL(Dong,ROWS($1:27)),))</f>
        <v>NL/N06</v>
      </c>
      <c r="C40" s="509">
        <f ca="1">IF(ROWS($1:27)&gt;COUNT(Dong),"",OFFSET(TH!E$1,SMALL(Dong,ROWS($1:27)),))</f>
        <v>40661</v>
      </c>
      <c r="D40" s="510" t="str">
        <f ca="1">IF(ROWS($1:27)&gt;COUNT(Dong),"",OFFSET(TH!F$1,SMALL(Dong,ROWS($1:27)),))</f>
        <v>Vat Giấy tấm</v>
      </c>
      <c r="E40" s="511" t="str">
        <f ca="1">IF(ROWS($1:27)&gt;COUNT(Dong),"",IF(OFFSET(TH!L$1,SMALL(Dong,ROWS($1:27)),)="331",OFFSET(TH!M$1,SMALL(Dong,ROWS($1:27)),),OFFSET(TH!L$1,SMALL(Dong,ROWS($1:27)),)))</f>
        <v>1331</v>
      </c>
      <c r="F40" s="512">
        <f ca="1">IF(ROWS($1:27)&gt;COUNT(Dong),"",IF(OFFSET(TH!L$1,SMALL(Dong,ROWS($1:27)),)="331",OFFSET(TH!K$1,SMALL(Dong,ROWS($1:27)),),0))</f>
        <v>0</v>
      </c>
      <c r="G40" s="512">
        <f ca="1">IF(ROWS($1:27)&gt;COUNT(Dong),"",IF(OFFSET(TH!M$1,SMALL(Dong,ROWS($1:27)),)="331",OFFSET(TH!K$1,SMALL(Dong,ROWS($1:27)),),0))</f>
        <v>743814</v>
      </c>
      <c r="H40" s="513">
        <f t="shared" ca="1" si="0"/>
        <v>0</v>
      </c>
      <c r="I40" s="513">
        <f t="shared" ca="1" si="1"/>
        <v>104740692</v>
      </c>
    </row>
    <row r="41" spans="1:9" ht="18" customHeight="1">
      <c r="A41" s="509">
        <f ca="1">IF(ROWS($1:28)&gt;COUNT(Dong),"",OFFSET(TH!C$1,SMALL(Dong,ROWS($1:28)),))</f>
        <v>40661</v>
      </c>
      <c r="B41" s="509" t="str">
        <f ca="1">IF(ROWS($1:28)&gt;COUNT(Dong),"",OFFSET(TH!D$1,SMALL(Dong,ROWS($1:28)),))</f>
        <v>NL/N07</v>
      </c>
      <c r="C41" s="509">
        <f ca="1">IF(ROWS($1:28)&gt;COUNT(Dong),"",OFFSET(TH!E$1,SMALL(Dong,ROWS($1:28)),))</f>
        <v>40661</v>
      </c>
      <c r="D41" s="510" t="str">
        <f ca="1">IF(ROWS($1:28)&gt;COUNT(Dong),"",OFFSET(TH!F$1,SMALL(Dong,ROWS($1:28)),))</f>
        <v>Giấy tấm 2V+1X ( 1600x1400)</v>
      </c>
      <c r="E41" s="511" t="str">
        <f ca="1">IF(ROWS($1:28)&gt;COUNT(Dong),"",IF(OFFSET(TH!L$1,SMALL(Dong,ROWS($1:28)),)="331",OFFSET(TH!M$1,SMALL(Dong,ROWS($1:28)),),OFFSET(TH!L$1,SMALL(Dong,ROWS($1:28)),)))</f>
        <v>1521</v>
      </c>
      <c r="F41" s="512">
        <f ca="1">IF(ROWS($1:28)&gt;COUNT(Dong),"",IF(OFFSET(TH!L$1,SMALL(Dong,ROWS($1:28)),)="331",OFFSET(TH!K$1,SMALL(Dong,ROWS($1:28)),),0))</f>
        <v>0</v>
      </c>
      <c r="G41" s="512">
        <f ca="1">IF(ROWS($1:28)&gt;COUNT(Dong),"",IF(OFFSET(TH!M$1,SMALL(Dong,ROWS($1:28)),)="331",OFFSET(TH!K$1,SMALL(Dong,ROWS($1:28)),),0))</f>
        <v>1455570</v>
      </c>
      <c r="H41" s="513">
        <f t="shared" ca="1" si="0"/>
        <v>0</v>
      </c>
      <c r="I41" s="513">
        <f t="shared" ca="1" si="1"/>
        <v>106196262</v>
      </c>
    </row>
    <row r="42" spans="1:9" ht="18" customHeight="1">
      <c r="A42" s="509">
        <f ca="1">IF(ROWS($1:29)&gt;COUNT(Dong),"",OFFSET(TH!C$1,SMALL(Dong,ROWS($1:29)),))</f>
        <v>40661</v>
      </c>
      <c r="B42" s="509" t="str">
        <f ca="1">IF(ROWS($1:29)&gt;COUNT(Dong),"",OFFSET(TH!D$1,SMALL(Dong,ROWS($1:29)),))</f>
        <v>NL/N07</v>
      </c>
      <c r="C42" s="509">
        <f ca="1">IF(ROWS($1:29)&gt;COUNT(Dong),"",OFFSET(TH!E$1,SMALL(Dong,ROWS($1:29)),))</f>
        <v>40661</v>
      </c>
      <c r="D42" s="510" t="str">
        <f ca="1">IF(ROWS($1:29)&gt;COUNT(Dong),"",OFFSET(TH!F$1,SMALL(Dong,ROWS($1:29)),))</f>
        <v>Giấy tấm 2V+3X ( 2050x754)</v>
      </c>
      <c r="E42" s="511" t="str">
        <f ca="1">IF(ROWS($1:29)&gt;COUNT(Dong),"",IF(OFFSET(TH!L$1,SMALL(Dong,ROWS($1:29)),)="331",OFFSET(TH!M$1,SMALL(Dong,ROWS($1:29)),),OFFSET(TH!L$1,SMALL(Dong,ROWS($1:29)),)))</f>
        <v>1521</v>
      </c>
      <c r="F42" s="512">
        <f ca="1">IF(ROWS($1:29)&gt;COUNT(Dong),"",IF(OFFSET(TH!L$1,SMALL(Dong,ROWS($1:29)),)="331",OFFSET(TH!K$1,SMALL(Dong,ROWS($1:29)),),0))</f>
        <v>0</v>
      </c>
      <c r="G42" s="512">
        <f ca="1">IF(ROWS($1:29)&gt;COUNT(Dong),"",IF(OFFSET(TH!M$1,SMALL(Dong,ROWS($1:29)),)="331",OFFSET(TH!K$1,SMALL(Dong,ROWS($1:29)),),0))</f>
        <v>4654375</v>
      </c>
      <c r="H42" s="513">
        <f t="shared" ca="1" si="0"/>
        <v>0</v>
      </c>
      <c r="I42" s="513">
        <f t="shared" ca="1" si="1"/>
        <v>110850637</v>
      </c>
    </row>
    <row r="43" spans="1:9" ht="18" customHeight="1">
      <c r="A43" s="509">
        <f ca="1">IF(ROWS($1:30)&gt;COUNT(Dong),"",OFFSET(TH!C$1,SMALL(Dong,ROWS($1:30)),))</f>
        <v>40661</v>
      </c>
      <c r="B43" s="509" t="str">
        <f ca="1">IF(ROWS($1:30)&gt;COUNT(Dong),"",OFFSET(TH!D$1,SMALL(Dong,ROWS($1:30)),))</f>
        <v>NL/N07</v>
      </c>
      <c r="C43" s="509">
        <f ca="1">IF(ROWS($1:30)&gt;COUNT(Dong),"",OFFSET(TH!E$1,SMALL(Dong,ROWS($1:30)),))</f>
        <v>40661</v>
      </c>
      <c r="D43" s="510" t="str">
        <f ca="1">IF(ROWS($1:30)&gt;COUNT(Dong),"",OFFSET(TH!F$1,SMALL(Dong,ROWS($1:30)),))</f>
        <v>Giấy tấm 2V+3X ( 2030x784)</v>
      </c>
      <c r="E43" s="511" t="str">
        <f ca="1">IF(ROWS($1:30)&gt;COUNT(Dong),"",IF(OFFSET(TH!L$1,SMALL(Dong,ROWS($1:30)),)="331",OFFSET(TH!M$1,SMALL(Dong,ROWS($1:30)),),OFFSET(TH!L$1,SMALL(Dong,ROWS($1:30)),)))</f>
        <v>1521</v>
      </c>
      <c r="F43" s="512">
        <f ca="1">IF(ROWS($1:30)&gt;COUNT(Dong),"",IF(OFFSET(TH!L$1,SMALL(Dong,ROWS($1:30)),)="331",OFFSET(TH!K$1,SMALL(Dong,ROWS($1:30)),),0))</f>
        <v>0</v>
      </c>
      <c r="G43" s="512">
        <f ca="1">IF(ROWS($1:30)&gt;COUNT(Dong),"",IF(OFFSET(TH!M$1,SMALL(Dong,ROWS($1:30)),)="331",OFFSET(TH!K$1,SMALL(Dong,ROWS($1:30)),),0))</f>
        <v>3223995</v>
      </c>
      <c r="H43" s="513">
        <f t="shared" ca="1" si="0"/>
        <v>0</v>
      </c>
      <c r="I43" s="513">
        <f t="shared" ca="1" si="1"/>
        <v>114074632</v>
      </c>
    </row>
    <row r="44" spans="1:9" ht="18" customHeight="1">
      <c r="A44" s="509">
        <f ca="1">IF(ROWS($1:31)&gt;COUNT(Dong),"",OFFSET(TH!C$1,SMALL(Dong,ROWS($1:31)),))</f>
        <v>40661</v>
      </c>
      <c r="B44" s="509" t="str">
        <f ca="1">IF(ROWS($1:31)&gt;COUNT(Dong),"",OFFSET(TH!D$1,SMALL(Dong,ROWS($1:31)),))</f>
        <v>NL/N07</v>
      </c>
      <c r="C44" s="509">
        <f ca="1">IF(ROWS($1:31)&gt;COUNT(Dong),"",OFFSET(TH!E$1,SMALL(Dong,ROWS($1:31)),))</f>
        <v>40661</v>
      </c>
      <c r="D44" s="510" t="str">
        <f ca="1">IF(ROWS($1:31)&gt;COUNT(Dong),"",OFFSET(TH!F$1,SMALL(Dong,ROWS($1:31)),))</f>
        <v>Giấy tấm 2V+3X ( 2330x884)</v>
      </c>
      <c r="E44" s="511" t="str">
        <f ca="1">IF(ROWS($1:31)&gt;COUNT(Dong),"",IF(OFFSET(TH!L$1,SMALL(Dong,ROWS($1:31)),)="331",OFFSET(TH!M$1,SMALL(Dong,ROWS($1:31)),),OFFSET(TH!L$1,SMALL(Dong,ROWS($1:31)),)))</f>
        <v>1521</v>
      </c>
      <c r="F44" s="512">
        <f ca="1">IF(ROWS($1:31)&gt;COUNT(Dong),"",IF(OFFSET(TH!L$1,SMALL(Dong,ROWS($1:31)),)="331",OFFSET(TH!K$1,SMALL(Dong,ROWS($1:31)),),0))</f>
        <v>0</v>
      </c>
      <c r="G44" s="512">
        <f ca="1">IF(ROWS($1:31)&gt;COUNT(Dong),"",IF(OFFSET(TH!M$1,SMALL(Dong,ROWS($1:31)),)="331",OFFSET(TH!K$1,SMALL(Dong,ROWS($1:31)),),0))</f>
        <v>14434560</v>
      </c>
      <c r="H44" s="513">
        <f t="shared" ca="1" si="0"/>
        <v>0</v>
      </c>
      <c r="I44" s="513">
        <f t="shared" ca="1" si="1"/>
        <v>128509192</v>
      </c>
    </row>
    <row r="45" spans="1:9" ht="18" customHeight="1">
      <c r="A45" s="509">
        <f ca="1">IF(ROWS($1:32)&gt;COUNT(Dong),"",OFFSET(TH!C$1,SMALL(Dong,ROWS($1:32)),))</f>
        <v>40661</v>
      </c>
      <c r="B45" s="509" t="str">
        <f ca="1">IF(ROWS($1:32)&gt;COUNT(Dong),"",OFFSET(TH!D$1,SMALL(Dong,ROWS($1:32)),))</f>
        <v>NL/N07</v>
      </c>
      <c r="C45" s="509">
        <f ca="1">IF(ROWS($1:32)&gt;COUNT(Dong),"",OFFSET(TH!E$1,SMALL(Dong,ROWS($1:32)),))</f>
        <v>40661</v>
      </c>
      <c r="D45" s="510" t="str">
        <f ca="1">IF(ROWS($1:32)&gt;COUNT(Dong),"",OFFSET(TH!F$1,SMALL(Dong,ROWS($1:32)),))</f>
        <v>Giấy tấm 2V+3X ( 2450x884)</v>
      </c>
      <c r="E45" s="511" t="str">
        <f ca="1">IF(ROWS($1:32)&gt;COUNT(Dong),"",IF(OFFSET(TH!L$1,SMALL(Dong,ROWS($1:32)),)="331",OFFSET(TH!M$1,SMALL(Dong,ROWS($1:32)),),OFFSET(TH!L$1,SMALL(Dong,ROWS($1:32)),)))</f>
        <v>1521</v>
      </c>
      <c r="F45" s="512">
        <f ca="1">IF(ROWS($1:32)&gt;COUNT(Dong),"",IF(OFFSET(TH!L$1,SMALL(Dong,ROWS($1:32)),)="331",OFFSET(TH!K$1,SMALL(Dong,ROWS($1:32)),),0))</f>
        <v>0</v>
      </c>
      <c r="G45" s="512">
        <f ca="1">IF(ROWS($1:32)&gt;COUNT(Dong),"",IF(OFFSET(TH!M$1,SMALL(Dong,ROWS($1:32)),)="331",OFFSET(TH!K$1,SMALL(Dong,ROWS($1:32)),),0))</f>
        <v>9842140</v>
      </c>
      <c r="H45" s="513">
        <f t="shared" ca="1" si="0"/>
        <v>0</v>
      </c>
      <c r="I45" s="513">
        <f t="shared" ca="1" si="1"/>
        <v>138351332</v>
      </c>
    </row>
    <row r="46" spans="1:9" ht="18" customHeight="1">
      <c r="A46" s="509">
        <f ca="1">IF(ROWS($1:33)&gt;COUNT(Dong),"",OFFSET(TH!C$1,SMALL(Dong,ROWS($1:33)),))</f>
        <v>40661</v>
      </c>
      <c r="B46" s="509" t="str">
        <f ca="1">IF(ROWS($1:33)&gt;COUNT(Dong),"",OFFSET(TH!D$1,SMALL(Dong,ROWS($1:33)),))</f>
        <v>NL/N07</v>
      </c>
      <c r="C46" s="509">
        <f ca="1">IF(ROWS($1:33)&gt;COUNT(Dong),"",OFFSET(TH!E$1,SMALL(Dong,ROWS($1:33)),))</f>
        <v>40661</v>
      </c>
      <c r="D46" s="510" t="str">
        <f ca="1">IF(ROWS($1:33)&gt;COUNT(Dong),"",OFFSET(TH!F$1,SMALL(Dong,ROWS($1:33)),))</f>
        <v>Vat Giấy tấm</v>
      </c>
      <c r="E46" s="511" t="str">
        <f ca="1">IF(ROWS($1:33)&gt;COUNT(Dong),"",IF(OFFSET(TH!L$1,SMALL(Dong,ROWS($1:33)),)="331",OFFSET(TH!M$1,SMALL(Dong,ROWS($1:33)),),OFFSET(TH!L$1,SMALL(Dong,ROWS($1:33)),)))</f>
        <v>1331</v>
      </c>
      <c r="F46" s="512">
        <f ca="1">IF(ROWS($1:33)&gt;COUNT(Dong),"",IF(OFFSET(TH!L$1,SMALL(Dong,ROWS($1:33)),)="331",OFFSET(TH!K$1,SMALL(Dong,ROWS($1:33)),),0))</f>
        <v>0</v>
      </c>
      <c r="G46" s="512">
        <f ca="1">IF(ROWS($1:33)&gt;COUNT(Dong),"",IF(OFFSET(TH!M$1,SMALL(Dong,ROWS($1:33)),)="331",OFFSET(TH!K$1,SMALL(Dong,ROWS($1:33)),),0))</f>
        <v>3361064</v>
      </c>
      <c r="H46" s="513">
        <f t="shared" ref="H46:H77" ca="1" si="2">IF(D46&lt;&gt;"",MAX(H45+F46-G46-I45,0),0)</f>
        <v>0</v>
      </c>
      <c r="I46" s="513">
        <f t="shared" ref="I46:I77" ca="1" si="3">IF(D46&lt;&gt;"",MAX(I45+G46-H45-F46,0),0)</f>
        <v>141712396</v>
      </c>
    </row>
    <row r="47" spans="1:9" ht="18" customHeight="1">
      <c r="A47" s="509">
        <f ca="1">IF(ROWS($1:34)&gt;COUNT(Dong),"",OFFSET(TH!C$1,SMALL(Dong,ROWS($1:34)),))</f>
        <v>40667</v>
      </c>
      <c r="B47" s="509" t="str">
        <f ca="1">IF(ROWS($1:34)&gt;COUNT(Dong),"",OFFSET(TH!D$1,SMALL(Dong,ROWS($1:34)),))</f>
        <v>NL/N07</v>
      </c>
      <c r="C47" s="509">
        <f ca="1">IF(ROWS($1:34)&gt;COUNT(Dong),"",OFFSET(TH!E$1,SMALL(Dong,ROWS($1:34)),))</f>
        <v>40667</v>
      </c>
      <c r="D47" s="510" t="str">
        <f ca="1">IF(ROWS($1:34)&gt;COUNT(Dong),"",OFFSET(TH!F$1,SMALL(Dong,ROWS($1:34)),))</f>
        <v>Giấy tấm 1ĐL+3X+1V ( 754x2050 - Po 10/4)</v>
      </c>
      <c r="E47" s="511" t="str">
        <f ca="1">IF(ROWS($1:34)&gt;COUNT(Dong),"",IF(OFFSET(TH!L$1,SMALL(Dong,ROWS($1:34)),)="331",OFFSET(TH!M$1,SMALL(Dong,ROWS($1:34)),),OFFSET(TH!L$1,SMALL(Dong,ROWS($1:34)),)))</f>
        <v>1521</v>
      </c>
      <c r="F47" s="512">
        <f ca="1">IF(ROWS($1:34)&gt;COUNT(Dong),"",IF(OFFSET(TH!L$1,SMALL(Dong,ROWS($1:34)),)="331",OFFSET(TH!K$1,SMALL(Dong,ROWS($1:34)),),0))</f>
        <v>0</v>
      </c>
      <c r="G47" s="512">
        <f ca="1">IF(ROWS($1:34)&gt;COUNT(Dong),"",IF(OFFSET(TH!M$1,SMALL(Dong,ROWS($1:34)),)="331",OFFSET(TH!K$1,SMALL(Dong,ROWS($1:34)),),0))</f>
        <v>1184750</v>
      </c>
      <c r="H47" s="513">
        <f t="shared" ca="1" si="2"/>
        <v>0</v>
      </c>
      <c r="I47" s="513">
        <f t="shared" ca="1" si="3"/>
        <v>142897146</v>
      </c>
    </row>
    <row r="48" spans="1:9" ht="18" customHeight="1">
      <c r="A48" s="509">
        <f ca="1">IF(ROWS($1:35)&gt;COUNT(Dong),"",OFFSET(TH!C$1,SMALL(Dong,ROWS($1:35)),))</f>
        <v>40667</v>
      </c>
      <c r="B48" s="509" t="str">
        <f ca="1">IF(ROWS($1:35)&gt;COUNT(Dong),"",OFFSET(TH!D$1,SMALL(Dong,ROWS($1:35)),))</f>
        <v>NL/N07</v>
      </c>
      <c r="C48" s="509">
        <f ca="1">IF(ROWS($1:35)&gt;COUNT(Dong),"",OFFSET(TH!E$1,SMALL(Dong,ROWS($1:35)),))</f>
        <v>40667</v>
      </c>
      <c r="D48" s="510" t="str">
        <f ca="1">IF(ROWS($1:35)&gt;COUNT(Dong),"",OFFSET(TH!F$1,SMALL(Dong,ROWS($1:35)),))</f>
        <v>Vat Giấy tấm</v>
      </c>
      <c r="E48" s="511" t="str">
        <f ca="1">IF(ROWS($1:35)&gt;COUNT(Dong),"",IF(OFFSET(TH!L$1,SMALL(Dong,ROWS($1:35)),)="331",OFFSET(TH!M$1,SMALL(Dong,ROWS($1:35)),),OFFSET(TH!L$1,SMALL(Dong,ROWS($1:35)),)))</f>
        <v>1331</v>
      </c>
      <c r="F48" s="512">
        <f ca="1">IF(ROWS($1:35)&gt;COUNT(Dong),"",IF(OFFSET(TH!L$1,SMALL(Dong,ROWS($1:35)),)="331",OFFSET(TH!K$1,SMALL(Dong,ROWS($1:35)),),0))</f>
        <v>0</v>
      </c>
      <c r="G48" s="512">
        <f ca="1">IF(ROWS($1:35)&gt;COUNT(Dong),"",IF(OFFSET(TH!M$1,SMALL(Dong,ROWS($1:35)),)="331",OFFSET(TH!K$1,SMALL(Dong,ROWS($1:35)),),0))</f>
        <v>118475</v>
      </c>
      <c r="H48" s="513">
        <f t="shared" ca="1" si="2"/>
        <v>0</v>
      </c>
      <c r="I48" s="513">
        <f t="shared" ca="1" si="3"/>
        <v>143015621</v>
      </c>
    </row>
    <row r="49" spans="1:9" ht="18" customHeight="1">
      <c r="A49" s="509">
        <f ca="1">IF(ROWS($1:36)&gt;COUNT(Dong),"",OFFSET(TH!C$1,SMALL(Dong,ROWS($1:36)),))</f>
        <v>40673</v>
      </c>
      <c r="B49" s="509" t="str">
        <f ca="1">IF(ROWS($1:36)&gt;COUNT(Dong),"",OFFSET(TH!D$1,SMALL(Dong,ROWS($1:36)),))</f>
        <v>C21</v>
      </c>
      <c r="C49" s="509">
        <f ca="1">IF(ROWS($1:36)&gt;COUNT(Dong),"",OFFSET(TH!E$1,SMALL(Dong,ROWS($1:36)),))</f>
        <v>40673</v>
      </c>
      <c r="D49" s="510" t="str">
        <f ca="1">IF(ROWS($1:36)&gt;COUNT(Dong),"",OFFSET(TH!F$1,SMALL(Dong,ROWS($1:36)),))</f>
        <v>Thanh toán tiền giấy tấm</v>
      </c>
      <c r="E49" s="511" t="str">
        <f ca="1">IF(ROWS($1:36)&gt;COUNT(Dong),"",IF(OFFSET(TH!L$1,SMALL(Dong,ROWS($1:36)),)="331",OFFSET(TH!M$1,SMALL(Dong,ROWS($1:36)),),OFFSET(TH!L$1,SMALL(Dong,ROWS($1:36)),)))</f>
        <v>1111</v>
      </c>
      <c r="F49" s="512">
        <f ca="1">IF(ROWS($1:36)&gt;COUNT(Dong),"",IF(OFFSET(TH!L$1,SMALL(Dong,ROWS($1:36)),)="331",OFFSET(TH!K$1,SMALL(Dong,ROWS($1:36)),),0))</f>
        <v>9364190</v>
      </c>
      <c r="G49" s="512">
        <f ca="1">IF(ROWS($1:36)&gt;COUNT(Dong),"",IF(OFFSET(TH!M$1,SMALL(Dong,ROWS($1:36)),)="331",OFFSET(TH!K$1,SMALL(Dong,ROWS($1:36)),),0))</f>
        <v>0</v>
      </c>
      <c r="H49" s="513">
        <f t="shared" ca="1" si="2"/>
        <v>0</v>
      </c>
      <c r="I49" s="513">
        <f t="shared" ca="1" si="3"/>
        <v>133651431</v>
      </c>
    </row>
    <row r="50" spans="1:9" ht="18" customHeight="1">
      <c r="A50" s="509">
        <f ca="1">IF(ROWS($1:37)&gt;COUNT(Dong),"",OFFSET(TH!C$1,SMALL(Dong,ROWS($1:37)),))</f>
        <v>40673</v>
      </c>
      <c r="B50" s="509" t="str">
        <f ca="1">IF(ROWS($1:37)&gt;COUNT(Dong),"",OFFSET(TH!D$1,SMALL(Dong,ROWS($1:37)),))</f>
        <v>GBN</v>
      </c>
      <c r="C50" s="509">
        <f ca="1">IF(ROWS($1:37)&gt;COUNT(Dong),"",OFFSET(TH!E$1,SMALL(Dong,ROWS($1:37)),))</f>
        <v>40673</v>
      </c>
      <c r="D50" s="510" t="str">
        <f ca="1">IF(ROWS($1:37)&gt;COUNT(Dong),"",OFFSET(TH!F$1,SMALL(Dong,ROWS($1:37)),))</f>
        <v>Thanh toán tiền hàng</v>
      </c>
      <c r="E50" s="511" t="str">
        <f ca="1">IF(ROWS($1:37)&gt;COUNT(Dong),"",IF(OFFSET(TH!L$1,SMALL(Dong,ROWS($1:37)),)="331",OFFSET(TH!M$1,SMALL(Dong,ROWS($1:37)),),OFFSET(TH!L$1,SMALL(Dong,ROWS($1:37)),)))</f>
        <v>1121</v>
      </c>
      <c r="F50" s="512">
        <f ca="1">IF(ROWS($1:37)&gt;COUNT(Dong),"",IF(OFFSET(TH!L$1,SMALL(Dong,ROWS($1:37)),)="331",OFFSET(TH!K$1,SMALL(Dong,ROWS($1:37)),),0))</f>
        <v>50000000</v>
      </c>
      <c r="G50" s="512">
        <f ca="1">IF(ROWS($1:37)&gt;COUNT(Dong),"",IF(OFFSET(TH!M$1,SMALL(Dong,ROWS($1:37)),)="331",OFFSET(TH!K$1,SMALL(Dong,ROWS($1:37)),),0))</f>
        <v>0</v>
      </c>
      <c r="H50" s="513">
        <f t="shared" ca="1" si="2"/>
        <v>0</v>
      </c>
      <c r="I50" s="513">
        <f t="shared" ca="1" si="3"/>
        <v>83651431</v>
      </c>
    </row>
    <row r="51" spans="1:9" ht="18" customHeight="1">
      <c r="A51" s="509">
        <f ca="1">IF(ROWS($1:38)&gt;COUNT(Dong),"",OFFSET(TH!C$1,SMALL(Dong,ROWS($1:38)),))</f>
        <v>40673</v>
      </c>
      <c r="B51" s="509" t="str">
        <f ca="1">IF(ROWS($1:38)&gt;COUNT(Dong),"",OFFSET(TH!D$1,SMALL(Dong,ROWS($1:38)),))</f>
        <v>NL/N08</v>
      </c>
      <c r="C51" s="509">
        <f ca="1">IF(ROWS($1:38)&gt;COUNT(Dong),"",OFFSET(TH!E$1,SMALL(Dong,ROWS($1:38)),))</f>
        <v>40673</v>
      </c>
      <c r="D51" s="510" t="str">
        <f ca="1">IF(ROWS($1:38)&gt;COUNT(Dong),"",OFFSET(TH!F$1,SMALL(Dong,ROWS($1:38)),))</f>
        <v>Giấy tấm 2V+3X ( 2030x1026)</v>
      </c>
      <c r="E51" s="511" t="str">
        <f ca="1">IF(ROWS($1:38)&gt;COUNT(Dong),"",IF(OFFSET(TH!L$1,SMALL(Dong,ROWS($1:38)),)="331",OFFSET(TH!M$1,SMALL(Dong,ROWS($1:38)),),OFFSET(TH!L$1,SMALL(Dong,ROWS($1:38)),)))</f>
        <v>1521</v>
      </c>
      <c r="F51" s="512">
        <f ca="1">IF(ROWS($1:38)&gt;COUNT(Dong),"",IF(OFFSET(TH!L$1,SMALL(Dong,ROWS($1:38)),)="331",OFFSET(TH!K$1,SMALL(Dong,ROWS($1:38)),),0))</f>
        <v>0</v>
      </c>
      <c r="G51" s="512">
        <f ca="1">IF(ROWS($1:38)&gt;COUNT(Dong),"",IF(OFFSET(TH!M$1,SMALL(Dong,ROWS($1:38)),)="331",OFFSET(TH!K$1,SMALL(Dong,ROWS($1:38)),),0))</f>
        <v>4606812</v>
      </c>
      <c r="H51" s="513">
        <f t="shared" ca="1" si="2"/>
        <v>0</v>
      </c>
      <c r="I51" s="513">
        <f t="shared" ca="1" si="3"/>
        <v>88258243</v>
      </c>
    </row>
    <row r="52" spans="1:9" ht="18" customHeight="1">
      <c r="A52" s="509">
        <f ca="1">IF(ROWS($1:39)&gt;COUNT(Dong),"",OFFSET(TH!C$1,SMALL(Dong,ROWS($1:39)),))</f>
        <v>40673</v>
      </c>
      <c r="B52" s="509" t="str">
        <f ca="1">IF(ROWS($1:39)&gt;COUNT(Dong),"",OFFSET(TH!D$1,SMALL(Dong,ROWS($1:39)),))</f>
        <v>NL/N08</v>
      </c>
      <c r="C52" s="509">
        <f ca="1">IF(ROWS($1:39)&gt;COUNT(Dong),"",OFFSET(TH!E$1,SMALL(Dong,ROWS($1:39)),))</f>
        <v>40673</v>
      </c>
      <c r="D52" s="510" t="str">
        <f ca="1">IF(ROWS($1:39)&gt;COUNT(Dong),"",OFFSET(TH!F$1,SMALL(Dong,ROWS($1:39)),))</f>
        <v>Giấy tấm 2V+3X ( 1760x1026)</v>
      </c>
      <c r="E52" s="511" t="str">
        <f ca="1">IF(ROWS($1:39)&gt;COUNT(Dong),"",IF(OFFSET(TH!L$1,SMALL(Dong,ROWS($1:39)),)="331",OFFSET(TH!M$1,SMALL(Dong,ROWS($1:39)),),OFFSET(TH!L$1,SMALL(Dong,ROWS($1:39)),)))</f>
        <v>1521</v>
      </c>
      <c r="F52" s="512">
        <f ca="1">IF(ROWS($1:39)&gt;COUNT(Dong),"",IF(OFFSET(TH!L$1,SMALL(Dong,ROWS($1:39)),)="331",OFFSET(TH!K$1,SMALL(Dong,ROWS($1:39)),),0))</f>
        <v>0</v>
      </c>
      <c r="G52" s="512">
        <f ca="1">IF(ROWS($1:39)&gt;COUNT(Dong),"",IF(OFFSET(TH!M$1,SMALL(Dong,ROWS($1:39)),)="331",OFFSET(TH!K$1,SMALL(Dong,ROWS($1:39)),),0))</f>
        <v>3994146</v>
      </c>
      <c r="H52" s="513">
        <f t="shared" ca="1" si="2"/>
        <v>0</v>
      </c>
      <c r="I52" s="513">
        <f t="shared" ca="1" si="3"/>
        <v>92252389</v>
      </c>
    </row>
    <row r="53" spans="1:9" ht="18" customHeight="1">
      <c r="A53" s="509">
        <f ca="1">IF(ROWS($1:40)&gt;COUNT(Dong),"",OFFSET(TH!C$1,SMALL(Dong,ROWS($1:40)),))</f>
        <v>40673</v>
      </c>
      <c r="B53" s="509" t="str">
        <f ca="1">IF(ROWS($1:40)&gt;COUNT(Dong),"",OFFSET(TH!D$1,SMALL(Dong,ROWS($1:40)),))</f>
        <v>NL/N08</v>
      </c>
      <c r="C53" s="509">
        <f ca="1">IF(ROWS($1:40)&gt;COUNT(Dong),"",OFFSET(TH!E$1,SMALL(Dong,ROWS($1:40)),))</f>
        <v>40673</v>
      </c>
      <c r="D53" s="510" t="str">
        <f ca="1">IF(ROWS($1:40)&gt;COUNT(Dong),"",OFFSET(TH!F$1,SMALL(Dong,ROWS($1:40)),))</f>
        <v>Giấy tấm 2V+3X ( 2430x1650)</v>
      </c>
      <c r="E53" s="511" t="str">
        <f ca="1">IF(ROWS($1:40)&gt;COUNT(Dong),"",IF(OFFSET(TH!L$1,SMALL(Dong,ROWS($1:40)),)="331",OFFSET(TH!M$1,SMALL(Dong,ROWS($1:40)),),OFFSET(TH!L$1,SMALL(Dong,ROWS($1:40)),)))</f>
        <v>1521</v>
      </c>
      <c r="F53" s="512">
        <f ca="1">IF(ROWS($1:40)&gt;COUNT(Dong),"",IF(OFFSET(TH!L$1,SMALL(Dong,ROWS($1:40)),)="331",OFFSET(TH!K$1,SMALL(Dong,ROWS($1:40)),),0))</f>
        <v>0</v>
      </c>
      <c r="G53" s="512">
        <f ca="1">IF(ROWS($1:40)&gt;COUNT(Dong),"",IF(OFFSET(TH!M$1,SMALL(Dong,ROWS($1:40)),)="331",OFFSET(TH!K$1,SMALL(Dong,ROWS($1:40)),),0))</f>
        <v>2283008</v>
      </c>
      <c r="H53" s="513">
        <f t="shared" ca="1" si="2"/>
        <v>0</v>
      </c>
      <c r="I53" s="513">
        <f t="shared" ca="1" si="3"/>
        <v>94535397</v>
      </c>
    </row>
    <row r="54" spans="1:9" ht="18" customHeight="1">
      <c r="A54" s="509">
        <f ca="1">IF(ROWS($1:41)&gt;COUNT(Dong),"",OFFSET(TH!C$1,SMALL(Dong,ROWS($1:41)),))</f>
        <v>40673</v>
      </c>
      <c r="B54" s="509" t="str">
        <f ca="1">IF(ROWS($1:41)&gt;COUNT(Dong),"",OFFSET(TH!D$1,SMALL(Dong,ROWS($1:41)),))</f>
        <v>NL/N08</v>
      </c>
      <c r="C54" s="509">
        <f ca="1">IF(ROWS($1:41)&gt;COUNT(Dong),"",OFFSET(TH!E$1,SMALL(Dong,ROWS($1:41)),))</f>
        <v>40673</v>
      </c>
      <c r="D54" s="510" t="str">
        <f ca="1">IF(ROWS($1:41)&gt;COUNT(Dong),"",OFFSET(TH!F$1,SMALL(Dong,ROWS($1:41)),))</f>
        <v>Giấy tấm 2V+3X ( 1570x674)</v>
      </c>
      <c r="E54" s="511" t="str">
        <f ca="1">IF(ROWS($1:41)&gt;COUNT(Dong),"",IF(OFFSET(TH!L$1,SMALL(Dong,ROWS($1:41)),)="331",OFFSET(TH!M$1,SMALL(Dong,ROWS($1:41)),),OFFSET(TH!L$1,SMALL(Dong,ROWS($1:41)),)))</f>
        <v>1521</v>
      </c>
      <c r="F54" s="512">
        <f ca="1">IF(ROWS($1:41)&gt;COUNT(Dong),"",IF(OFFSET(TH!L$1,SMALL(Dong,ROWS($1:41)),)="331",OFFSET(TH!K$1,SMALL(Dong,ROWS($1:41)),),0))</f>
        <v>0</v>
      </c>
      <c r="G54" s="512">
        <f ca="1">IF(ROWS($1:41)&gt;COUNT(Dong),"",IF(OFFSET(TH!M$1,SMALL(Dong,ROWS($1:41)),)="331",OFFSET(TH!K$1,SMALL(Dong,ROWS($1:41)),),0))</f>
        <v>3534035</v>
      </c>
      <c r="H54" s="513">
        <f t="shared" ca="1" si="2"/>
        <v>0</v>
      </c>
      <c r="I54" s="513">
        <f t="shared" ca="1" si="3"/>
        <v>98069432</v>
      </c>
    </row>
    <row r="55" spans="1:9" ht="18" customHeight="1">
      <c r="A55" s="509">
        <f ca="1">IF(ROWS($1:42)&gt;COUNT(Dong),"",OFFSET(TH!C$1,SMALL(Dong,ROWS($1:42)),))</f>
        <v>40673</v>
      </c>
      <c r="B55" s="509" t="str">
        <f ca="1">IF(ROWS($1:42)&gt;COUNT(Dong),"",OFFSET(TH!D$1,SMALL(Dong,ROWS($1:42)),))</f>
        <v>NL/N08</v>
      </c>
      <c r="C55" s="509">
        <f ca="1">IF(ROWS($1:42)&gt;COUNT(Dong),"",OFFSET(TH!E$1,SMALL(Dong,ROWS($1:42)),))</f>
        <v>40673</v>
      </c>
      <c r="D55" s="510" t="str">
        <f ca="1">IF(ROWS($1:42)&gt;COUNT(Dong),"",OFFSET(TH!F$1,SMALL(Dong,ROWS($1:42)),))</f>
        <v>Giấy tấm 2V+1X ( 1520x1500)</v>
      </c>
      <c r="E55" s="511" t="str">
        <f ca="1">IF(ROWS($1:42)&gt;COUNT(Dong),"",IF(OFFSET(TH!L$1,SMALL(Dong,ROWS($1:42)),)="331",OFFSET(TH!M$1,SMALL(Dong,ROWS($1:42)),),OFFSET(TH!L$1,SMALL(Dong,ROWS($1:42)),)))</f>
        <v>1521</v>
      </c>
      <c r="F55" s="512">
        <f ca="1">IF(ROWS($1:42)&gt;COUNT(Dong),"",IF(OFFSET(TH!L$1,SMALL(Dong,ROWS($1:42)),)="331",OFFSET(TH!K$1,SMALL(Dong,ROWS($1:42)),),0))</f>
        <v>0</v>
      </c>
      <c r="G55" s="512">
        <f ca="1">IF(ROWS($1:42)&gt;COUNT(Dong),"",IF(OFFSET(TH!M$1,SMALL(Dong,ROWS($1:42)),)="331",OFFSET(TH!K$1,SMALL(Dong,ROWS($1:42)),),0))</f>
        <v>2057750</v>
      </c>
      <c r="H55" s="513">
        <f t="shared" ca="1" si="2"/>
        <v>0</v>
      </c>
      <c r="I55" s="513">
        <f t="shared" ca="1" si="3"/>
        <v>100127182</v>
      </c>
    </row>
    <row r="56" spans="1:9" ht="18" customHeight="1">
      <c r="A56" s="509">
        <f ca="1">IF(ROWS($1:43)&gt;COUNT(Dong),"",OFFSET(TH!C$1,SMALL(Dong,ROWS($1:43)),))</f>
        <v>40673</v>
      </c>
      <c r="B56" s="509" t="str">
        <f ca="1">IF(ROWS($1:43)&gt;COUNT(Dong),"",OFFSET(TH!D$1,SMALL(Dong,ROWS($1:43)),))</f>
        <v>NL/N08</v>
      </c>
      <c r="C56" s="509">
        <f ca="1">IF(ROWS($1:43)&gt;COUNT(Dong),"",OFFSET(TH!E$1,SMALL(Dong,ROWS($1:43)),))</f>
        <v>40673</v>
      </c>
      <c r="D56" s="510" t="str">
        <f ca="1">IF(ROWS($1:43)&gt;COUNT(Dong),"",OFFSET(TH!F$1,SMALL(Dong,ROWS($1:43)),))</f>
        <v>Vat Giấy tấm</v>
      </c>
      <c r="E56" s="511" t="str">
        <f ca="1">IF(ROWS($1:43)&gt;COUNT(Dong),"",IF(OFFSET(TH!L$1,SMALL(Dong,ROWS($1:43)),)="331",OFFSET(TH!M$1,SMALL(Dong,ROWS($1:43)),),OFFSET(TH!L$1,SMALL(Dong,ROWS($1:43)),)))</f>
        <v>1331</v>
      </c>
      <c r="F56" s="512">
        <f ca="1">IF(ROWS($1:43)&gt;COUNT(Dong),"",IF(OFFSET(TH!L$1,SMALL(Dong,ROWS($1:43)),)="331",OFFSET(TH!K$1,SMALL(Dong,ROWS($1:43)),),0))</f>
        <v>0</v>
      </c>
      <c r="G56" s="512">
        <f ca="1">IF(ROWS($1:43)&gt;COUNT(Dong),"",IF(OFFSET(TH!M$1,SMALL(Dong,ROWS($1:43)),)="331",OFFSET(TH!K$1,SMALL(Dong,ROWS($1:43)),),0))</f>
        <v>1647575</v>
      </c>
      <c r="H56" s="513">
        <f t="shared" ca="1" si="2"/>
        <v>0</v>
      </c>
      <c r="I56" s="513">
        <f t="shared" ca="1" si="3"/>
        <v>101774757</v>
      </c>
    </row>
    <row r="57" spans="1:9" ht="18" customHeight="1">
      <c r="A57" s="509">
        <f ca="1">IF(ROWS($1:44)&gt;COUNT(Dong),"",OFFSET(TH!C$1,SMALL(Dong,ROWS($1:44)),))</f>
        <v>40673</v>
      </c>
      <c r="B57" s="509" t="str">
        <f ca="1">IF(ROWS($1:44)&gt;COUNT(Dong),"",OFFSET(TH!D$1,SMALL(Dong,ROWS($1:44)),))</f>
        <v>NL/N09</v>
      </c>
      <c r="C57" s="509">
        <f ca="1">IF(ROWS($1:44)&gt;COUNT(Dong),"",OFFSET(TH!E$1,SMALL(Dong,ROWS($1:44)),))</f>
        <v>40673</v>
      </c>
      <c r="D57" s="510" t="str">
        <f ca="1">IF(ROWS($1:44)&gt;COUNT(Dong),"",OFFSET(TH!F$1,SMALL(Dong,ROWS($1:44)),))</f>
        <v>Giấy tấm 2V+3X ( 1310x941)</v>
      </c>
      <c r="E57" s="511" t="str">
        <f ca="1">IF(ROWS($1:44)&gt;COUNT(Dong),"",IF(OFFSET(TH!L$1,SMALL(Dong,ROWS($1:44)),)="331",OFFSET(TH!M$1,SMALL(Dong,ROWS($1:44)),),OFFSET(TH!L$1,SMALL(Dong,ROWS($1:44)),)))</f>
        <v>1521</v>
      </c>
      <c r="F57" s="512">
        <f ca="1">IF(ROWS($1:44)&gt;COUNT(Dong),"",IF(OFFSET(TH!L$1,SMALL(Dong,ROWS($1:44)),)="331",OFFSET(TH!K$1,SMALL(Dong,ROWS($1:44)),),0))</f>
        <v>0</v>
      </c>
      <c r="G57" s="512">
        <f ca="1">IF(ROWS($1:44)&gt;COUNT(Dong),"",IF(OFFSET(TH!M$1,SMALL(Dong,ROWS($1:44)),)="331",OFFSET(TH!K$1,SMALL(Dong,ROWS($1:44)),),0))</f>
        <v>3374500</v>
      </c>
      <c r="H57" s="513">
        <f t="shared" ca="1" si="2"/>
        <v>0</v>
      </c>
      <c r="I57" s="513">
        <f t="shared" ca="1" si="3"/>
        <v>105149257</v>
      </c>
    </row>
    <row r="58" spans="1:9" ht="18" customHeight="1">
      <c r="A58" s="509">
        <f ca="1">IF(ROWS($1:45)&gt;COUNT(Dong),"",OFFSET(TH!C$1,SMALL(Dong,ROWS($1:45)),))</f>
        <v>40673</v>
      </c>
      <c r="B58" s="509" t="str">
        <f ca="1">IF(ROWS($1:45)&gt;COUNT(Dong),"",OFFSET(TH!D$1,SMALL(Dong,ROWS($1:45)),))</f>
        <v>NL/N09</v>
      </c>
      <c r="C58" s="509">
        <f ca="1">IF(ROWS($1:45)&gt;COUNT(Dong),"",OFFSET(TH!E$1,SMALL(Dong,ROWS($1:45)),))</f>
        <v>40673</v>
      </c>
      <c r="D58" s="510" t="str">
        <f ca="1">IF(ROWS($1:45)&gt;COUNT(Dong),"",OFFSET(TH!F$1,SMALL(Dong,ROWS($1:45)),))</f>
        <v>Giấy tấm 2V+3X ( 1170x420)</v>
      </c>
      <c r="E58" s="511" t="str">
        <f ca="1">IF(ROWS($1:45)&gt;COUNT(Dong),"",IF(OFFSET(TH!L$1,SMALL(Dong,ROWS($1:45)),)="331",OFFSET(TH!M$1,SMALL(Dong,ROWS($1:45)),),OFFSET(TH!L$1,SMALL(Dong,ROWS($1:45)),)))</f>
        <v>1521</v>
      </c>
      <c r="F58" s="512">
        <f ca="1">IF(ROWS($1:45)&gt;COUNT(Dong),"",IF(OFFSET(TH!L$1,SMALL(Dong,ROWS($1:45)),)="331",OFFSET(TH!K$1,SMALL(Dong,ROWS($1:45)),),0))</f>
        <v>0</v>
      </c>
      <c r="G58" s="512">
        <f ca="1">IF(ROWS($1:45)&gt;COUNT(Dong),"",IF(OFFSET(TH!M$1,SMALL(Dong,ROWS($1:45)),)="331",OFFSET(TH!K$1,SMALL(Dong,ROWS($1:45)),),0))</f>
        <v>2806000</v>
      </c>
      <c r="H58" s="513">
        <f t="shared" ca="1" si="2"/>
        <v>0</v>
      </c>
      <c r="I58" s="513">
        <f t="shared" ca="1" si="3"/>
        <v>107955257</v>
      </c>
    </row>
    <row r="59" spans="1:9" ht="18" customHeight="1">
      <c r="A59" s="509">
        <f ca="1">IF(ROWS($1:46)&gt;COUNT(Dong),"",OFFSET(TH!C$1,SMALL(Dong,ROWS($1:46)),))</f>
        <v>40673</v>
      </c>
      <c r="B59" s="509" t="str">
        <f ca="1">IF(ROWS($1:46)&gt;COUNT(Dong),"",OFFSET(TH!D$1,SMALL(Dong,ROWS($1:46)),))</f>
        <v>NL/N09</v>
      </c>
      <c r="C59" s="509">
        <f ca="1">IF(ROWS($1:46)&gt;COUNT(Dong),"",OFFSET(TH!E$1,SMALL(Dong,ROWS($1:46)),))</f>
        <v>40673</v>
      </c>
      <c r="D59" s="510" t="str">
        <f ca="1">IF(ROWS($1:46)&gt;COUNT(Dong),"",OFFSET(TH!F$1,SMALL(Dong,ROWS($1:46)),))</f>
        <v>Giấy tấm 2V+3X ( 1150x444)</v>
      </c>
      <c r="E59" s="511" t="str">
        <f ca="1">IF(ROWS($1:46)&gt;COUNT(Dong),"",IF(OFFSET(TH!L$1,SMALL(Dong,ROWS($1:46)),)="331",OFFSET(TH!M$1,SMALL(Dong,ROWS($1:46)),),OFFSET(TH!L$1,SMALL(Dong,ROWS($1:46)),)))</f>
        <v>1521</v>
      </c>
      <c r="F59" s="512">
        <f ca="1">IF(ROWS($1:46)&gt;COUNT(Dong),"",IF(OFFSET(TH!L$1,SMALL(Dong,ROWS($1:46)),)="331",OFFSET(TH!K$1,SMALL(Dong,ROWS($1:46)),),0))</f>
        <v>0</v>
      </c>
      <c r="G59" s="512">
        <f ca="1">IF(ROWS($1:46)&gt;COUNT(Dong),"",IF(OFFSET(TH!M$1,SMALL(Dong,ROWS($1:46)),)="331",OFFSET(TH!K$1,SMALL(Dong,ROWS($1:46)),),0))</f>
        <v>2332400</v>
      </c>
      <c r="H59" s="513">
        <f t="shared" ca="1" si="2"/>
        <v>0</v>
      </c>
      <c r="I59" s="513">
        <f t="shared" ca="1" si="3"/>
        <v>110287657</v>
      </c>
    </row>
    <row r="60" spans="1:9" ht="18" customHeight="1">
      <c r="A60" s="509">
        <f ca="1">IF(ROWS($1:47)&gt;COUNT(Dong),"",OFFSET(TH!C$1,SMALL(Dong,ROWS($1:47)),))</f>
        <v>40673</v>
      </c>
      <c r="B60" s="509" t="str">
        <f ca="1">IF(ROWS($1:47)&gt;COUNT(Dong),"",OFFSET(TH!D$1,SMALL(Dong,ROWS($1:47)),))</f>
        <v>NL/N09</v>
      </c>
      <c r="C60" s="509">
        <f ca="1">IF(ROWS($1:47)&gt;COUNT(Dong),"",OFFSET(TH!E$1,SMALL(Dong,ROWS($1:47)),))</f>
        <v>40673</v>
      </c>
      <c r="D60" s="510" t="str">
        <f ca="1">IF(ROWS($1:47)&gt;COUNT(Dong),"",OFFSET(TH!F$1,SMALL(Dong,ROWS($1:47)),))</f>
        <v>Vat Giấy tấm</v>
      </c>
      <c r="E60" s="511" t="str">
        <f ca="1">IF(ROWS($1:47)&gt;COUNT(Dong),"",IF(OFFSET(TH!L$1,SMALL(Dong,ROWS($1:47)),)="331",OFFSET(TH!M$1,SMALL(Dong,ROWS($1:47)),),OFFSET(TH!L$1,SMALL(Dong,ROWS($1:47)),)))</f>
        <v>1331</v>
      </c>
      <c r="F60" s="512">
        <f ca="1">IF(ROWS($1:47)&gt;COUNT(Dong),"",IF(OFFSET(TH!L$1,SMALL(Dong,ROWS($1:47)),)="331",OFFSET(TH!K$1,SMALL(Dong,ROWS($1:47)),),0))</f>
        <v>0</v>
      </c>
      <c r="G60" s="512">
        <f ca="1">IF(ROWS($1:47)&gt;COUNT(Dong),"",IF(OFFSET(TH!M$1,SMALL(Dong,ROWS($1:47)),)="331",OFFSET(TH!K$1,SMALL(Dong,ROWS($1:47)),),0))</f>
        <v>851290</v>
      </c>
      <c r="H60" s="513">
        <f t="shared" ca="1" si="2"/>
        <v>0</v>
      </c>
      <c r="I60" s="513">
        <f t="shared" ca="1" si="3"/>
        <v>111138947</v>
      </c>
    </row>
    <row r="61" spans="1:9" ht="18" customHeight="1">
      <c r="A61" s="509">
        <f ca="1">IF(ROWS($1:48)&gt;COUNT(Dong),"",OFFSET(TH!C$1,SMALL(Dong,ROWS($1:48)),))</f>
        <v>40680</v>
      </c>
      <c r="B61" s="509" t="str">
        <f ca="1">IF(ROWS($1:48)&gt;COUNT(Dong),"",OFFSET(TH!D$1,SMALL(Dong,ROWS($1:48)),))</f>
        <v>GBN</v>
      </c>
      <c r="C61" s="509">
        <f ca="1">IF(ROWS($1:48)&gt;COUNT(Dong),"",OFFSET(TH!E$1,SMALL(Dong,ROWS($1:48)),))</f>
        <v>40680</v>
      </c>
      <c r="D61" s="510" t="str">
        <f ca="1">IF(ROWS($1:48)&gt;COUNT(Dong),"",OFFSET(TH!F$1,SMALL(Dong,ROWS($1:48)),))</f>
        <v>Thanh toán tiền hàng</v>
      </c>
      <c r="E61" s="511" t="str">
        <f ca="1">IF(ROWS($1:48)&gt;COUNT(Dong),"",IF(OFFSET(TH!L$1,SMALL(Dong,ROWS($1:48)),)="331",OFFSET(TH!M$1,SMALL(Dong,ROWS($1:48)),),OFFSET(TH!L$1,SMALL(Dong,ROWS($1:48)),)))</f>
        <v>1121</v>
      </c>
      <c r="F61" s="512">
        <f ca="1">IF(ROWS($1:48)&gt;COUNT(Dong),"",IF(OFFSET(TH!L$1,SMALL(Dong,ROWS($1:48)),)="331",OFFSET(TH!K$1,SMALL(Dong,ROWS($1:48)),),0))</f>
        <v>50000000</v>
      </c>
      <c r="G61" s="512">
        <f ca="1">IF(ROWS($1:48)&gt;COUNT(Dong),"",IF(OFFSET(TH!M$1,SMALL(Dong,ROWS($1:48)),)="331",OFFSET(TH!K$1,SMALL(Dong,ROWS($1:48)),),0))</f>
        <v>0</v>
      </c>
      <c r="H61" s="513">
        <f t="shared" ca="1" si="2"/>
        <v>0</v>
      </c>
      <c r="I61" s="513">
        <f t="shared" ca="1" si="3"/>
        <v>61138947</v>
      </c>
    </row>
    <row r="62" spans="1:9" ht="18" customHeight="1">
      <c r="A62" s="509">
        <f ca="1">IF(ROWS($1:49)&gt;COUNT(Dong),"",OFFSET(TH!C$1,SMALL(Dong,ROWS($1:49)),))</f>
        <v>40681</v>
      </c>
      <c r="B62" s="509" t="str">
        <f ca="1">IF(ROWS($1:49)&gt;COUNT(Dong),"",OFFSET(TH!D$1,SMALL(Dong,ROWS($1:49)),))</f>
        <v>C26</v>
      </c>
      <c r="C62" s="509">
        <f ca="1">IF(ROWS($1:49)&gt;COUNT(Dong),"",OFFSET(TH!E$1,SMALL(Dong,ROWS($1:49)),))</f>
        <v>40681</v>
      </c>
      <c r="D62" s="510" t="str">
        <f ca="1">IF(ROWS($1:49)&gt;COUNT(Dong),"",OFFSET(TH!F$1,SMALL(Dong,ROWS($1:49)),))</f>
        <v>Thanh toán tiền giấy tấm</v>
      </c>
      <c r="E62" s="511" t="str">
        <f ca="1">IF(ROWS($1:49)&gt;COUNT(Dong),"",IF(OFFSET(TH!L$1,SMALL(Dong,ROWS($1:49)),)="331",OFFSET(TH!M$1,SMALL(Dong,ROWS($1:49)),),OFFSET(TH!L$1,SMALL(Dong,ROWS($1:49)),)))</f>
        <v>1111</v>
      </c>
      <c r="F62" s="512">
        <f ca="1">IF(ROWS($1:49)&gt;COUNT(Dong),"",IF(OFFSET(TH!L$1,SMALL(Dong,ROWS($1:49)),)="331",OFFSET(TH!K$1,SMALL(Dong,ROWS($1:49)),),0))</f>
        <v>14257540</v>
      </c>
      <c r="G62" s="512">
        <f ca="1">IF(ROWS($1:49)&gt;COUNT(Dong),"",IF(OFFSET(TH!M$1,SMALL(Dong,ROWS($1:49)),)="331",OFFSET(TH!K$1,SMALL(Dong,ROWS($1:49)),),0))</f>
        <v>0</v>
      </c>
      <c r="H62" s="513">
        <f t="shared" ca="1" si="2"/>
        <v>0</v>
      </c>
      <c r="I62" s="513">
        <f t="shared" ca="1" si="3"/>
        <v>46881407</v>
      </c>
    </row>
    <row r="63" spans="1:9" ht="18" customHeight="1">
      <c r="A63" s="509">
        <f ca="1">IF(ROWS($1:50)&gt;COUNT(Dong),"",OFFSET(TH!C$1,SMALL(Dong,ROWS($1:50)),))</f>
        <v>40681</v>
      </c>
      <c r="B63" s="509" t="str">
        <f ca="1">IF(ROWS($1:50)&gt;COUNT(Dong),"",OFFSET(TH!D$1,SMALL(Dong,ROWS($1:50)),))</f>
        <v>NL/N10</v>
      </c>
      <c r="C63" s="509">
        <f ca="1">IF(ROWS($1:50)&gt;COUNT(Dong),"",OFFSET(TH!E$1,SMALL(Dong,ROWS($1:50)),))</f>
        <v>40681</v>
      </c>
      <c r="D63" s="510" t="str">
        <f ca="1">IF(ROWS($1:50)&gt;COUNT(Dong),"",OFFSET(TH!F$1,SMALL(Dong,ROWS($1:50)),))</f>
        <v>Giấy tấm 1V+2X ( 1920x654)</v>
      </c>
      <c r="E63" s="511" t="str">
        <f ca="1">IF(ROWS($1:50)&gt;COUNT(Dong),"",IF(OFFSET(TH!L$1,SMALL(Dong,ROWS($1:50)),)="331",OFFSET(TH!M$1,SMALL(Dong,ROWS($1:50)),),OFFSET(TH!L$1,SMALL(Dong,ROWS($1:50)),)))</f>
        <v>1521</v>
      </c>
      <c r="F63" s="512">
        <f ca="1">IF(ROWS($1:50)&gt;COUNT(Dong),"",IF(OFFSET(TH!L$1,SMALL(Dong,ROWS($1:50)),)="331",OFFSET(TH!K$1,SMALL(Dong,ROWS($1:50)),),0))</f>
        <v>0</v>
      </c>
      <c r="G63" s="512">
        <f ca="1">IF(ROWS($1:50)&gt;COUNT(Dong),"",IF(OFFSET(TH!M$1,SMALL(Dong,ROWS($1:50)),)="331",OFFSET(TH!K$1,SMALL(Dong,ROWS($1:50)),),0))</f>
        <v>8792400</v>
      </c>
      <c r="H63" s="513">
        <f t="shared" ca="1" si="2"/>
        <v>0</v>
      </c>
      <c r="I63" s="513">
        <f t="shared" ca="1" si="3"/>
        <v>55673807</v>
      </c>
    </row>
    <row r="64" spans="1:9" ht="18" customHeight="1">
      <c r="A64" s="509">
        <f ca="1">IF(ROWS($1:51)&gt;COUNT(Dong),"",OFFSET(TH!C$1,SMALL(Dong,ROWS($1:51)),))</f>
        <v>40681</v>
      </c>
      <c r="B64" s="509" t="str">
        <f ca="1">IF(ROWS($1:51)&gt;COUNT(Dong),"",OFFSET(TH!D$1,SMALL(Dong,ROWS($1:51)),))</f>
        <v>NL/N10</v>
      </c>
      <c r="C64" s="509">
        <f ca="1">IF(ROWS($1:51)&gt;COUNT(Dong),"",OFFSET(TH!E$1,SMALL(Dong,ROWS($1:51)),))</f>
        <v>40681</v>
      </c>
      <c r="D64" s="510" t="str">
        <f ca="1">IF(ROWS($1:51)&gt;COUNT(Dong),"",OFFSET(TH!F$1,SMALL(Dong,ROWS($1:51)),))</f>
        <v>Giấy tấm 1V+4X ( 1720x669)</v>
      </c>
      <c r="E64" s="511" t="str">
        <f ca="1">IF(ROWS($1:51)&gt;COUNT(Dong),"",IF(OFFSET(TH!L$1,SMALL(Dong,ROWS($1:51)),)="331",OFFSET(TH!M$1,SMALL(Dong,ROWS($1:51)),),OFFSET(TH!L$1,SMALL(Dong,ROWS($1:51)),)))</f>
        <v>1521</v>
      </c>
      <c r="F64" s="512">
        <f ca="1">IF(ROWS($1:51)&gt;COUNT(Dong),"",IF(OFFSET(TH!L$1,SMALL(Dong,ROWS($1:51)),)="331",OFFSET(TH!K$1,SMALL(Dong,ROWS($1:51)),),0))</f>
        <v>0</v>
      </c>
      <c r="G64" s="512">
        <f ca="1">IF(ROWS($1:51)&gt;COUNT(Dong),"",IF(OFFSET(TH!M$1,SMALL(Dong,ROWS($1:51)),)="331",OFFSET(TH!K$1,SMALL(Dong,ROWS($1:51)),),0))</f>
        <v>1212200</v>
      </c>
      <c r="H64" s="513">
        <f t="shared" ca="1" si="2"/>
        <v>0</v>
      </c>
      <c r="I64" s="513">
        <f t="shared" ca="1" si="3"/>
        <v>56886007</v>
      </c>
    </row>
    <row r="65" spans="1:9" ht="18" customHeight="1">
      <c r="A65" s="509">
        <f ca="1">IF(ROWS($1:52)&gt;COUNT(Dong),"",OFFSET(TH!C$1,SMALL(Dong,ROWS($1:52)),))</f>
        <v>40681</v>
      </c>
      <c r="B65" s="509" t="str">
        <f ca="1">IF(ROWS($1:52)&gt;COUNT(Dong),"",OFFSET(TH!D$1,SMALL(Dong,ROWS($1:52)),))</f>
        <v>NL/N10</v>
      </c>
      <c r="C65" s="509">
        <f ca="1">IF(ROWS($1:52)&gt;COUNT(Dong),"",OFFSET(TH!E$1,SMALL(Dong,ROWS($1:52)),))</f>
        <v>40681</v>
      </c>
      <c r="D65" s="510" t="str">
        <f ca="1">IF(ROWS($1:52)&gt;COUNT(Dong),"",OFFSET(TH!F$1,SMALL(Dong,ROWS($1:52)),))</f>
        <v>Giấy tấm 1V+4X ( 1790x784)</v>
      </c>
      <c r="E65" s="511" t="str">
        <f ca="1">IF(ROWS($1:52)&gt;COUNT(Dong),"",IF(OFFSET(TH!L$1,SMALL(Dong,ROWS($1:52)),)="331",OFFSET(TH!M$1,SMALL(Dong,ROWS($1:52)),),OFFSET(TH!L$1,SMALL(Dong,ROWS($1:52)),)))</f>
        <v>1521</v>
      </c>
      <c r="F65" s="512">
        <f ca="1">IF(ROWS($1:52)&gt;COUNT(Dong),"",IF(OFFSET(TH!L$1,SMALL(Dong,ROWS($1:52)),)="331",OFFSET(TH!K$1,SMALL(Dong,ROWS($1:52)),),0))</f>
        <v>0</v>
      </c>
      <c r="G65" s="512">
        <f ca="1">IF(ROWS($1:52)&gt;COUNT(Dong),"",IF(OFFSET(TH!M$1,SMALL(Dong,ROWS($1:52)),)="331",OFFSET(TH!K$1,SMALL(Dong,ROWS($1:52)),),0))</f>
        <v>2956800</v>
      </c>
      <c r="H65" s="513">
        <f t="shared" ca="1" si="2"/>
        <v>0</v>
      </c>
      <c r="I65" s="513">
        <f t="shared" ca="1" si="3"/>
        <v>59842807</v>
      </c>
    </row>
    <row r="66" spans="1:9" ht="18" customHeight="1">
      <c r="A66" s="509">
        <f ca="1">IF(ROWS($1:53)&gt;COUNT(Dong),"",OFFSET(TH!C$1,SMALL(Dong,ROWS($1:53)),))</f>
        <v>40681</v>
      </c>
      <c r="B66" s="509" t="str">
        <f ca="1">IF(ROWS($1:53)&gt;COUNT(Dong),"",OFFSET(TH!D$1,SMALL(Dong,ROWS($1:53)),))</f>
        <v>NL/N10</v>
      </c>
      <c r="C66" s="509">
        <f ca="1">IF(ROWS($1:53)&gt;COUNT(Dong),"",OFFSET(TH!E$1,SMALL(Dong,ROWS($1:53)),))</f>
        <v>40681</v>
      </c>
      <c r="D66" s="510" t="str">
        <f ca="1">IF(ROWS($1:53)&gt;COUNT(Dong),"",OFFSET(TH!F$1,SMALL(Dong,ROWS($1:53)),))</f>
        <v>Vat Giấy tấm</v>
      </c>
      <c r="E66" s="511" t="str">
        <f ca="1">IF(ROWS($1:53)&gt;COUNT(Dong),"",IF(OFFSET(TH!L$1,SMALL(Dong,ROWS($1:53)),)="331",OFFSET(TH!M$1,SMALL(Dong,ROWS($1:53)),),OFFSET(TH!L$1,SMALL(Dong,ROWS($1:53)),)))</f>
        <v>1331</v>
      </c>
      <c r="F66" s="512">
        <f ca="1">IF(ROWS($1:53)&gt;COUNT(Dong),"",IF(OFFSET(TH!L$1,SMALL(Dong,ROWS($1:53)),)="331",OFFSET(TH!K$1,SMALL(Dong,ROWS($1:53)),),0))</f>
        <v>0</v>
      </c>
      <c r="G66" s="512">
        <f ca="1">IF(ROWS($1:53)&gt;COUNT(Dong),"",IF(OFFSET(TH!M$1,SMALL(Dong,ROWS($1:53)),)="331",OFFSET(TH!K$1,SMALL(Dong,ROWS($1:53)),),0))</f>
        <v>1296140</v>
      </c>
      <c r="H66" s="513">
        <f t="shared" ca="1" si="2"/>
        <v>0</v>
      </c>
      <c r="I66" s="513">
        <f t="shared" ca="1" si="3"/>
        <v>61138947</v>
      </c>
    </row>
    <row r="67" spans="1:9" ht="18" customHeight="1">
      <c r="A67" s="509">
        <f ca="1">IF(ROWS($1:54)&gt;COUNT(Dong),"",OFFSET(TH!C$1,SMALL(Dong,ROWS($1:54)),))</f>
        <v>40688</v>
      </c>
      <c r="B67" s="509" t="str">
        <f ca="1">IF(ROWS($1:54)&gt;COUNT(Dong),"",OFFSET(TH!D$1,SMALL(Dong,ROWS($1:54)),))</f>
        <v>NL/N11</v>
      </c>
      <c r="C67" s="509">
        <f ca="1">IF(ROWS($1:54)&gt;COUNT(Dong),"",OFFSET(TH!E$1,SMALL(Dong,ROWS($1:54)),))</f>
        <v>40688</v>
      </c>
      <c r="D67" s="510" t="str">
        <f ca="1">IF(ROWS($1:54)&gt;COUNT(Dong),"",OFFSET(TH!F$1,SMALL(Dong,ROWS($1:54)),))</f>
        <v>Giấy tấm 2V+3X ( 1950x714)</v>
      </c>
      <c r="E67" s="511" t="str">
        <f ca="1">IF(ROWS($1:54)&gt;COUNT(Dong),"",IF(OFFSET(TH!L$1,SMALL(Dong,ROWS($1:54)),)="331",OFFSET(TH!M$1,SMALL(Dong,ROWS($1:54)),),OFFSET(TH!L$1,SMALL(Dong,ROWS($1:54)),)))</f>
        <v>1521</v>
      </c>
      <c r="F67" s="512">
        <f ca="1">IF(ROWS($1:54)&gt;COUNT(Dong),"",IF(OFFSET(TH!L$1,SMALL(Dong,ROWS($1:54)),)="331",OFFSET(TH!K$1,SMALL(Dong,ROWS($1:54)),),0))</f>
        <v>0</v>
      </c>
      <c r="G67" s="512">
        <f ca="1">IF(ROWS($1:54)&gt;COUNT(Dong),"",IF(OFFSET(TH!M$1,SMALL(Dong,ROWS($1:54)),)="331",OFFSET(TH!K$1,SMALL(Dong,ROWS($1:54)),),0))</f>
        <v>5275116</v>
      </c>
      <c r="H67" s="513">
        <f t="shared" ca="1" si="2"/>
        <v>0</v>
      </c>
      <c r="I67" s="513">
        <f t="shared" ca="1" si="3"/>
        <v>66414063</v>
      </c>
    </row>
    <row r="68" spans="1:9" ht="18" customHeight="1">
      <c r="A68" s="509">
        <f ca="1">IF(ROWS($1:55)&gt;COUNT(Dong),"",OFFSET(TH!C$1,SMALL(Dong,ROWS($1:55)),))</f>
        <v>40688</v>
      </c>
      <c r="B68" s="509" t="str">
        <f ca="1">IF(ROWS($1:55)&gt;COUNT(Dong),"",OFFSET(TH!D$1,SMALL(Dong,ROWS($1:55)),))</f>
        <v>NL/N11</v>
      </c>
      <c r="C68" s="509">
        <f ca="1">IF(ROWS($1:55)&gt;COUNT(Dong),"",OFFSET(TH!E$1,SMALL(Dong,ROWS($1:55)),))</f>
        <v>40688</v>
      </c>
      <c r="D68" s="510" t="str">
        <f ca="1">IF(ROWS($1:55)&gt;COUNT(Dong),"",OFFSET(TH!F$1,SMALL(Dong,ROWS($1:55)),))</f>
        <v>Giấy tấm 2V+3X ( 2030x784)</v>
      </c>
      <c r="E68" s="511" t="str">
        <f ca="1">IF(ROWS($1:55)&gt;COUNT(Dong),"",IF(OFFSET(TH!L$1,SMALL(Dong,ROWS($1:55)),)="331",OFFSET(TH!M$1,SMALL(Dong,ROWS($1:55)),),OFFSET(TH!L$1,SMALL(Dong,ROWS($1:55)),)))</f>
        <v>1521</v>
      </c>
      <c r="F68" s="512">
        <f ca="1">IF(ROWS($1:55)&gt;COUNT(Dong),"",IF(OFFSET(TH!L$1,SMALL(Dong,ROWS($1:55)),)="331",OFFSET(TH!K$1,SMALL(Dong,ROWS($1:55)),),0))</f>
        <v>0</v>
      </c>
      <c r="G68" s="512">
        <f ca="1">IF(ROWS($1:55)&gt;COUNT(Dong),"",IF(OFFSET(TH!M$1,SMALL(Dong,ROWS($1:55)),)="331",OFFSET(TH!K$1,SMALL(Dong,ROWS($1:55)),),0))</f>
        <v>11205561</v>
      </c>
      <c r="H68" s="513">
        <f t="shared" ca="1" si="2"/>
        <v>0</v>
      </c>
      <c r="I68" s="513">
        <f t="shared" ca="1" si="3"/>
        <v>77619624</v>
      </c>
    </row>
    <row r="69" spans="1:9" ht="18" customHeight="1">
      <c r="A69" s="509">
        <f ca="1">IF(ROWS($1:56)&gt;COUNT(Dong),"",OFFSET(TH!C$1,SMALL(Dong,ROWS($1:56)),))</f>
        <v>40688</v>
      </c>
      <c r="B69" s="509" t="str">
        <f ca="1">IF(ROWS($1:56)&gt;COUNT(Dong),"",OFFSET(TH!D$1,SMALL(Dong,ROWS($1:56)),))</f>
        <v>NL/N11</v>
      </c>
      <c r="C69" s="509">
        <f ca="1">IF(ROWS($1:56)&gt;COUNT(Dong),"",OFFSET(TH!E$1,SMALL(Dong,ROWS($1:56)),))</f>
        <v>40688</v>
      </c>
      <c r="D69" s="510" t="str">
        <f ca="1">IF(ROWS($1:56)&gt;COUNT(Dong),"",OFFSET(TH!F$1,SMALL(Dong,ROWS($1:56)),))</f>
        <v>Giấy tấm 2V+3X ( 2250x784)</v>
      </c>
      <c r="E69" s="511" t="str">
        <f ca="1">IF(ROWS($1:56)&gt;COUNT(Dong),"",IF(OFFSET(TH!L$1,SMALL(Dong,ROWS($1:56)),)="331",OFFSET(TH!M$1,SMALL(Dong,ROWS($1:56)),),OFFSET(TH!L$1,SMALL(Dong,ROWS($1:56)),)))</f>
        <v>1521</v>
      </c>
      <c r="F69" s="512">
        <f ca="1">IF(ROWS($1:56)&gt;COUNT(Dong),"",IF(OFFSET(TH!L$1,SMALL(Dong,ROWS($1:56)),)="331",OFFSET(TH!K$1,SMALL(Dong,ROWS($1:56)),),0))</f>
        <v>0</v>
      </c>
      <c r="G69" s="512">
        <f ca="1">IF(ROWS($1:56)&gt;COUNT(Dong),"",IF(OFFSET(TH!M$1,SMALL(Dong,ROWS($1:56)),)="331",OFFSET(TH!K$1,SMALL(Dong,ROWS($1:56)),),0))</f>
        <v>2124760</v>
      </c>
      <c r="H69" s="513">
        <f t="shared" ca="1" si="2"/>
        <v>0</v>
      </c>
      <c r="I69" s="513">
        <f t="shared" ca="1" si="3"/>
        <v>79744384</v>
      </c>
    </row>
    <row r="70" spans="1:9" ht="18" customHeight="1">
      <c r="A70" s="509">
        <f ca="1">IF(ROWS($1:57)&gt;COUNT(Dong),"",OFFSET(TH!C$1,SMALL(Dong,ROWS($1:57)),))</f>
        <v>40688</v>
      </c>
      <c r="B70" s="509" t="str">
        <f ca="1">IF(ROWS($1:57)&gt;COUNT(Dong),"",OFFSET(TH!D$1,SMALL(Dong,ROWS($1:57)),))</f>
        <v>NL/N11</v>
      </c>
      <c r="C70" s="509">
        <f ca="1">IF(ROWS($1:57)&gt;COUNT(Dong),"",OFFSET(TH!E$1,SMALL(Dong,ROWS($1:57)),))</f>
        <v>40688</v>
      </c>
      <c r="D70" s="510" t="str">
        <f ca="1">IF(ROWS($1:57)&gt;COUNT(Dong),"",OFFSET(TH!F$1,SMALL(Dong,ROWS($1:57)),))</f>
        <v>Giấy tấm 2V+3X ( 1570x674)</v>
      </c>
      <c r="E70" s="511" t="str">
        <f ca="1">IF(ROWS($1:57)&gt;COUNT(Dong),"",IF(OFFSET(TH!L$1,SMALL(Dong,ROWS($1:57)),)="331",OFFSET(TH!M$1,SMALL(Dong,ROWS($1:57)),),OFFSET(TH!L$1,SMALL(Dong,ROWS($1:57)),)))</f>
        <v>1521</v>
      </c>
      <c r="F70" s="512">
        <f ca="1">IF(ROWS($1:57)&gt;COUNT(Dong),"",IF(OFFSET(TH!L$1,SMALL(Dong,ROWS($1:57)),)="331",OFFSET(TH!K$1,SMALL(Dong,ROWS($1:57)),),0))</f>
        <v>0</v>
      </c>
      <c r="G70" s="512">
        <f ca="1">IF(ROWS($1:57)&gt;COUNT(Dong),"",IF(OFFSET(TH!M$1,SMALL(Dong,ROWS($1:57)),)="331",OFFSET(TH!K$1,SMALL(Dong,ROWS($1:57)),),0))</f>
        <v>3394991</v>
      </c>
      <c r="H70" s="513">
        <f t="shared" ca="1" si="2"/>
        <v>0</v>
      </c>
      <c r="I70" s="513">
        <f t="shared" ca="1" si="3"/>
        <v>83139375</v>
      </c>
    </row>
    <row r="71" spans="1:9" ht="18" customHeight="1">
      <c r="A71" s="509">
        <f ca="1">IF(ROWS($1:58)&gt;COUNT(Dong),"",OFFSET(TH!C$1,SMALL(Dong,ROWS($1:58)),))</f>
        <v>40688</v>
      </c>
      <c r="B71" s="509" t="str">
        <f ca="1">IF(ROWS($1:58)&gt;COUNT(Dong),"",OFFSET(TH!D$1,SMALL(Dong,ROWS($1:58)),))</f>
        <v>NL/N11</v>
      </c>
      <c r="C71" s="509">
        <f ca="1">IF(ROWS($1:58)&gt;COUNT(Dong),"",OFFSET(TH!E$1,SMALL(Dong,ROWS($1:58)),))</f>
        <v>40688</v>
      </c>
      <c r="D71" s="510" t="str">
        <f ca="1">IF(ROWS($1:58)&gt;COUNT(Dong),"",OFFSET(TH!F$1,SMALL(Dong,ROWS($1:58)),))</f>
        <v>Vat Giấy tấm</v>
      </c>
      <c r="E71" s="511" t="str">
        <f ca="1">IF(ROWS($1:58)&gt;COUNT(Dong),"",IF(OFFSET(TH!L$1,SMALL(Dong,ROWS($1:58)),)="331",OFFSET(TH!M$1,SMALL(Dong,ROWS($1:58)),),OFFSET(TH!L$1,SMALL(Dong,ROWS($1:58)),)))</f>
        <v>1331</v>
      </c>
      <c r="F71" s="512">
        <f ca="1">IF(ROWS($1:58)&gt;COUNT(Dong),"",IF(OFFSET(TH!L$1,SMALL(Dong,ROWS($1:58)),)="331",OFFSET(TH!K$1,SMALL(Dong,ROWS($1:58)),),0))</f>
        <v>0</v>
      </c>
      <c r="G71" s="512">
        <f ca="1">IF(ROWS($1:58)&gt;COUNT(Dong),"",IF(OFFSET(TH!M$1,SMALL(Dong,ROWS($1:58)),)="331",OFFSET(TH!K$1,SMALL(Dong,ROWS($1:58)),),0))</f>
        <v>2200043</v>
      </c>
      <c r="H71" s="513">
        <f t="shared" ca="1" si="2"/>
        <v>0</v>
      </c>
      <c r="I71" s="513">
        <f t="shared" ca="1" si="3"/>
        <v>85339418</v>
      </c>
    </row>
    <row r="72" spans="1:9" ht="18" customHeight="1">
      <c r="A72" s="509">
        <f ca="1">IF(ROWS($1:59)&gt;COUNT(Dong),"",OFFSET(TH!C$1,SMALL(Dong,ROWS($1:59)),))</f>
        <v>40688</v>
      </c>
      <c r="B72" s="509" t="str">
        <f ca="1">IF(ROWS($1:59)&gt;COUNT(Dong),"",OFFSET(TH!D$1,SMALL(Dong,ROWS($1:59)),))</f>
        <v>NL/N12</v>
      </c>
      <c r="C72" s="509">
        <f ca="1">IF(ROWS($1:59)&gt;COUNT(Dong),"",OFFSET(TH!E$1,SMALL(Dong,ROWS($1:59)),))</f>
        <v>40688</v>
      </c>
      <c r="D72" s="510" t="str">
        <f ca="1">IF(ROWS($1:59)&gt;COUNT(Dong),"",OFFSET(TH!F$1,SMALL(Dong,ROWS($1:59)),))</f>
        <v>Giấy tấm 2V+1X ( 1740x614)</v>
      </c>
      <c r="E72" s="511" t="str">
        <f ca="1">IF(ROWS($1:59)&gt;COUNT(Dong),"",IF(OFFSET(TH!L$1,SMALL(Dong,ROWS($1:59)),)="331",OFFSET(TH!M$1,SMALL(Dong,ROWS($1:59)),),OFFSET(TH!L$1,SMALL(Dong,ROWS($1:59)),)))</f>
        <v>1521</v>
      </c>
      <c r="F72" s="512">
        <f ca="1">IF(ROWS($1:59)&gt;COUNT(Dong),"",IF(OFFSET(TH!L$1,SMALL(Dong,ROWS($1:59)),)="331",OFFSET(TH!K$1,SMALL(Dong,ROWS($1:59)),),0))</f>
        <v>0</v>
      </c>
      <c r="G72" s="512">
        <f ca="1">IF(ROWS($1:59)&gt;COUNT(Dong),"",IF(OFFSET(TH!M$1,SMALL(Dong,ROWS($1:59)),)="331",OFFSET(TH!K$1,SMALL(Dong,ROWS($1:59)),),0))</f>
        <v>3926370</v>
      </c>
      <c r="H72" s="513">
        <f t="shared" ca="1" si="2"/>
        <v>0</v>
      </c>
      <c r="I72" s="513">
        <f t="shared" ca="1" si="3"/>
        <v>89265788</v>
      </c>
    </row>
    <row r="73" spans="1:9" ht="18" customHeight="1">
      <c r="A73" s="509">
        <f ca="1">IF(ROWS($1:60)&gt;COUNT(Dong),"",OFFSET(TH!C$1,SMALL(Dong,ROWS($1:60)),))</f>
        <v>40688</v>
      </c>
      <c r="B73" s="509" t="str">
        <f ca="1">IF(ROWS($1:60)&gt;COUNT(Dong),"",OFFSET(TH!D$1,SMALL(Dong,ROWS($1:60)),))</f>
        <v>NL/N12</v>
      </c>
      <c r="C73" s="509">
        <f ca="1">IF(ROWS($1:60)&gt;COUNT(Dong),"",OFFSET(TH!E$1,SMALL(Dong,ROWS($1:60)),))</f>
        <v>40688</v>
      </c>
      <c r="D73" s="510" t="str">
        <f ca="1">IF(ROWS($1:60)&gt;COUNT(Dong),"",OFFSET(TH!F$1,SMALL(Dong,ROWS($1:60)),))</f>
        <v>Giấy tấm 2V+1X ( 2070x704)</v>
      </c>
      <c r="E73" s="511" t="str">
        <f ca="1">IF(ROWS($1:60)&gt;COUNT(Dong),"",IF(OFFSET(TH!L$1,SMALL(Dong,ROWS($1:60)),)="331",OFFSET(TH!M$1,SMALL(Dong,ROWS($1:60)),),OFFSET(TH!L$1,SMALL(Dong,ROWS($1:60)),)))</f>
        <v>1521</v>
      </c>
      <c r="F73" s="512">
        <f ca="1">IF(ROWS($1:60)&gt;COUNT(Dong),"",IF(OFFSET(TH!L$1,SMALL(Dong,ROWS($1:60)),)="331",OFFSET(TH!K$1,SMALL(Dong,ROWS($1:60)),),0))</f>
        <v>0</v>
      </c>
      <c r="G73" s="512">
        <f ca="1">IF(ROWS($1:60)&gt;COUNT(Dong),"",IF(OFFSET(TH!M$1,SMALL(Dong,ROWS($1:60)),)="331",OFFSET(TH!K$1,SMALL(Dong,ROWS($1:60)),),0))</f>
        <v>9181200</v>
      </c>
      <c r="H73" s="513">
        <f t="shared" ca="1" si="2"/>
        <v>0</v>
      </c>
      <c r="I73" s="513">
        <f t="shared" ca="1" si="3"/>
        <v>98446988</v>
      </c>
    </row>
    <row r="74" spans="1:9" ht="18" customHeight="1">
      <c r="A74" s="509">
        <f ca="1">IF(ROWS($1:61)&gt;COUNT(Dong),"",OFFSET(TH!C$1,SMALL(Dong,ROWS($1:61)),))</f>
        <v>40688</v>
      </c>
      <c r="B74" s="509" t="str">
        <f ca="1">IF(ROWS($1:61)&gt;COUNT(Dong),"",OFFSET(TH!D$1,SMALL(Dong,ROWS($1:61)),))</f>
        <v>NL/N12</v>
      </c>
      <c r="C74" s="509">
        <f ca="1">IF(ROWS($1:61)&gt;COUNT(Dong),"",OFFSET(TH!E$1,SMALL(Dong,ROWS($1:61)),))</f>
        <v>40688</v>
      </c>
      <c r="D74" s="510" t="str">
        <f ca="1">IF(ROWS($1:61)&gt;COUNT(Dong),"",OFFSET(TH!F$1,SMALL(Dong,ROWS($1:61)),))</f>
        <v>Giấy tấm 2V+1X ( 1980x714)</v>
      </c>
      <c r="E74" s="511" t="str">
        <f ca="1">IF(ROWS($1:61)&gt;COUNT(Dong),"",IF(OFFSET(TH!L$1,SMALL(Dong,ROWS($1:61)),)="331",OFFSET(TH!M$1,SMALL(Dong,ROWS($1:61)),),OFFSET(TH!L$1,SMALL(Dong,ROWS($1:61)),)))</f>
        <v>1521</v>
      </c>
      <c r="F74" s="512">
        <f ca="1">IF(ROWS($1:61)&gt;COUNT(Dong),"",IF(OFFSET(TH!L$1,SMALL(Dong,ROWS($1:61)),)="331",OFFSET(TH!K$1,SMALL(Dong,ROWS($1:61)),),0))</f>
        <v>0</v>
      </c>
      <c r="G74" s="512">
        <f ca="1">IF(ROWS($1:61)&gt;COUNT(Dong),"",IF(OFFSET(TH!M$1,SMALL(Dong,ROWS($1:61)),)="331",OFFSET(TH!K$1,SMALL(Dong,ROWS($1:61)),),0))</f>
        <v>7899235</v>
      </c>
      <c r="H74" s="513">
        <f t="shared" ca="1" si="2"/>
        <v>0</v>
      </c>
      <c r="I74" s="513">
        <f t="shared" ca="1" si="3"/>
        <v>106346223</v>
      </c>
    </row>
    <row r="75" spans="1:9" ht="18" customHeight="1">
      <c r="A75" s="509">
        <f ca="1">IF(ROWS($1:62)&gt;COUNT(Dong),"",OFFSET(TH!C$1,SMALL(Dong,ROWS($1:62)),))</f>
        <v>40688</v>
      </c>
      <c r="B75" s="509" t="str">
        <f ca="1">IF(ROWS($1:62)&gt;COUNT(Dong),"",OFFSET(TH!D$1,SMALL(Dong,ROWS($1:62)),))</f>
        <v>NL/N12</v>
      </c>
      <c r="C75" s="509">
        <f ca="1">IF(ROWS($1:62)&gt;COUNT(Dong),"",OFFSET(TH!E$1,SMALL(Dong,ROWS($1:62)),))</f>
        <v>40688</v>
      </c>
      <c r="D75" s="510" t="str">
        <f ca="1">IF(ROWS($1:62)&gt;COUNT(Dong),"",OFFSET(TH!F$1,SMALL(Dong,ROWS($1:62)),))</f>
        <v>Giấy tấm 2V+1X ( 1610x530)</v>
      </c>
      <c r="E75" s="511" t="str">
        <f ca="1">IF(ROWS($1:62)&gt;COUNT(Dong),"",IF(OFFSET(TH!L$1,SMALL(Dong,ROWS($1:62)),)="331",OFFSET(TH!M$1,SMALL(Dong,ROWS($1:62)),),OFFSET(TH!L$1,SMALL(Dong,ROWS($1:62)),)))</f>
        <v>1521</v>
      </c>
      <c r="F75" s="512">
        <f ca="1">IF(ROWS($1:62)&gt;COUNT(Dong),"",IF(OFFSET(TH!L$1,SMALL(Dong,ROWS($1:62)),)="331",OFFSET(TH!K$1,SMALL(Dong,ROWS($1:62)),),0))</f>
        <v>0</v>
      </c>
      <c r="G75" s="512">
        <f ca="1">IF(ROWS($1:62)&gt;COUNT(Dong),"",IF(OFFSET(TH!M$1,SMALL(Dong,ROWS($1:62)),)="331",OFFSET(TH!K$1,SMALL(Dong,ROWS($1:62)),),0))</f>
        <v>1344000</v>
      </c>
      <c r="H75" s="513">
        <f t="shared" ca="1" si="2"/>
        <v>0</v>
      </c>
      <c r="I75" s="513">
        <f t="shared" ca="1" si="3"/>
        <v>107690223</v>
      </c>
    </row>
    <row r="76" spans="1:9" ht="18" customHeight="1">
      <c r="A76" s="509">
        <f ca="1">IF(ROWS($1:63)&gt;COUNT(Dong),"",OFFSET(TH!C$1,SMALL(Dong,ROWS($1:63)),))</f>
        <v>40688</v>
      </c>
      <c r="B76" s="509" t="str">
        <f ca="1">IF(ROWS($1:63)&gt;COUNT(Dong),"",OFFSET(TH!D$1,SMALL(Dong,ROWS($1:63)),))</f>
        <v>NL/N12</v>
      </c>
      <c r="C76" s="509">
        <f ca="1">IF(ROWS($1:63)&gt;COUNT(Dong),"",OFFSET(TH!E$1,SMALL(Dong,ROWS($1:63)),))</f>
        <v>40688</v>
      </c>
      <c r="D76" s="510" t="str">
        <f ca="1">IF(ROWS($1:63)&gt;COUNT(Dong),"",OFFSET(TH!F$1,SMALL(Dong,ROWS($1:63)),))</f>
        <v>Giấy tấm 2V+1X ( 2240x1600)</v>
      </c>
      <c r="E76" s="511" t="str">
        <f ca="1">IF(ROWS($1:63)&gt;COUNT(Dong),"",IF(OFFSET(TH!L$1,SMALL(Dong,ROWS($1:63)),)="331",OFFSET(TH!M$1,SMALL(Dong,ROWS($1:63)),),OFFSET(TH!L$1,SMALL(Dong,ROWS($1:63)),)))</f>
        <v>1521</v>
      </c>
      <c r="F76" s="512">
        <f ca="1">IF(ROWS($1:63)&gt;COUNT(Dong),"",IF(OFFSET(TH!L$1,SMALL(Dong,ROWS($1:63)),)="331",OFFSET(TH!K$1,SMALL(Dong,ROWS($1:63)),),0))</f>
        <v>0</v>
      </c>
      <c r="G76" s="512">
        <f ca="1">IF(ROWS($1:63)&gt;COUNT(Dong),"",IF(OFFSET(TH!M$1,SMALL(Dong,ROWS($1:63)),)="331",OFFSET(TH!K$1,SMALL(Dong,ROWS($1:63)),),0))</f>
        <v>1559040</v>
      </c>
      <c r="H76" s="513">
        <f t="shared" ca="1" si="2"/>
        <v>0</v>
      </c>
      <c r="I76" s="513">
        <f t="shared" ca="1" si="3"/>
        <v>109249263</v>
      </c>
    </row>
    <row r="77" spans="1:9" ht="18" customHeight="1">
      <c r="A77" s="509">
        <f ca="1">IF(ROWS($1:64)&gt;COUNT(Dong),"",OFFSET(TH!C$1,SMALL(Dong,ROWS($1:64)),))</f>
        <v>40688</v>
      </c>
      <c r="B77" s="509" t="str">
        <f ca="1">IF(ROWS($1:64)&gt;COUNT(Dong),"",OFFSET(TH!D$1,SMALL(Dong,ROWS($1:64)),))</f>
        <v>NL/N12</v>
      </c>
      <c r="C77" s="509">
        <f ca="1">IF(ROWS($1:64)&gt;COUNT(Dong),"",OFFSET(TH!E$1,SMALL(Dong,ROWS($1:64)),))</f>
        <v>40688</v>
      </c>
      <c r="D77" s="510" t="str">
        <f ca="1">IF(ROWS($1:64)&gt;COUNT(Dong),"",OFFSET(TH!F$1,SMALL(Dong,ROWS($1:64)),))</f>
        <v>Giấy tấm 1V+4X ( 1730x624)</v>
      </c>
      <c r="E77" s="511" t="str">
        <f ca="1">IF(ROWS($1:64)&gt;COUNT(Dong),"",IF(OFFSET(TH!L$1,SMALL(Dong,ROWS($1:64)),)="331",OFFSET(TH!M$1,SMALL(Dong,ROWS($1:64)),),OFFSET(TH!L$1,SMALL(Dong,ROWS($1:64)),)))</f>
        <v>1521</v>
      </c>
      <c r="F77" s="512">
        <f ca="1">IF(ROWS($1:64)&gt;COUNT(Dong),"",IF(OFFSET(TH!L$1,SMALL(Dong,ROWS($1:64)),)="331",OFFSET(TH!K$1,SMALL(Dong,ROWS($1:64)),),0))</f>
        <v>0</v>
      </c>
      <c r="G77" s="512">
        <f ca="1">IF(ROWS($1:64)&gt;COUNT(Dong),"",IF(OFFSET(TH!M$1,SMALL(Dong,ROWS($1:64)),)="331",OFFSET(TH!K$1,SMALL(Dong,ROWS($1:64)),),0))</f>
        <v>2331465</v>
      </c>
      <c r="H77" s="513">
        <f t="shared" ca="1" si="2"/>
        <v>0</v>
      </c>
      <c r="I77" s="513">
        <f t="shared" ca="1" si="3"/>
        <v>111580728</v>
      </c>
    </row>
    <row r="78" spans="1:9" ht="18" customHeight="1">
      <c r="A78" s="509">
        <f ca="1">IF(ROWS($1:65)&gt;COUNT(Dong),"",OFFSET(TH!C$1,SMALL(Dong,ROWS($1:65)),))</f>
        <v>40688</v>
      </c>
      <c r="B78" s="509" t="str">
        <f ca="1">IF(ROWS($1:65)&gt;COUNT(Dong),"",OFFSET(TH!D$1,SMALL(Dong,ROWS($1:65)),))</f>
        <v>NL/N12</v>
      </c>
      <c r="C78" s="509">
        <f ca="1">IF(ROWS($1:65)&gt;COUNT(Dong),"",OFFSET(TH!E$1,SMALL(Dong,ROWS($1:65)),))</f>
        <v>40688</v>
      </c>
      <c r="D78" s="510" t="str">
        <f ca="1">IF(ROWS($1:65)&gt;COUNT(Dong),"",OFFSET(TH!F$1,SMALL(Dong,ROWS($1:65)),))</f>
        <v>Giấy tấm 2V+1X ( 1700x570)</v>
      </c>
      <c r="E78" s="511" t="str">
        <f ca="1">IF(ROWS($1:65)&gt;COUNT(Dong),"",IF(OFFSET(TH!L$1,SMALL(Dong,ROWS($1:65)),)="331",OFFSET(TH!M$1,SMALL(Dong,ROWS($1:65)),),OFFSET(TH!L$1,SMALL(Dong,ROWS($1:65)),)))</f>
        <v>1521</v>
      </c>
      <c r="F78" s="512">
        <f ca="1">IF(ROWS($1:65)&gt;COUNT(Dong),"",IF(OFFSET(TH!L$1,SMALL(Dong,ROWS($1:65)),)="331",OFFSET(TH!K$1,SMALL(Dong,ROWS($1:65)),),0))</f>
        <v>0</v>
      </c>
      <c r="G78" s="512">
        <f ca="1">IF(ROWS($1:65)&gt;COUNT(Dong),"",IF(OFFSET(TH!M$1,SMALL(Dong,ROWS($1:65)),)="331",OFFSET(TH!K$1,SMALL(Dong,ROWS($1:65)),),0))</f>
        <v>2144060</v>
      </c>
      <c r="H78" s="513">
        <f t="shared" ref="H78:H93" ca="1" si="4">IF(D78&lt;&gt;"",MAX(H77+F78-G78-I77,0),0)</f>
        <v>0</v>
      </c>
      <c r="I78" s="513">
        <f t="shared" ref="I78:I93" ca="1" si="5">IF(D78&lt;&gt;"",MAX(I77+G78-H77-F78,0),0)</f>
        <v>113724788</v>
      </c>
    </row>
    <row r="79" spans="1:9" ht="18" customHeight="1">
      <c r="A79" s="509">
        <f ca="1">IF(ROWS($1:66)&gt;COUNT(Dong),"",OFFSET(TH!C$1,SMALL(Dong,ROWS($1:66)),))</f>
        <v>40688</v>
      </c>
      <c r="B79" s="509" t="str">
        <f ca="1">IF(ROWS($1:66)&gt;COUNT(Dong),"",OFFSET(TH!D$1,SMALL(Dong,ROWS($1:66)),))</f>
        <v>NL/N12</v>
      </c>
      <c r="C79" s="509">
        <f ca="1">IF(ROWS($1:66)&gt;COUNT(Dong),"",OFFSET(TH!E$1,SMALL(Dong,ROWS($1:66)),))</f>
        <v>40688</v>
      </c>
      <c r="D79" s="510" t="str">
        <f ca="1">IF(ROWS($1:66)&gt;COUNT(Dong),"",OFFSET(TH!F$1,SMALL(Dong,ROWS($1:66)),))</f>
        <v>Vat Giấy tấm</v>
      </c>
      <c r="E79" s="511" t="str">
        <f ca="1">IF(ROWS($1:66)&gt;COUNT(Dong),"",IF(OFFSET(TH!L$1,SMALL(Dong,ROWS($1:66)),)="331",OFFSET(TH!M$1,SMALL(Dong,ROWS($1:66)),),OFFSET(TH!L$1,SMALL(Dong,ROWS($1:66)),)))</f>
        <v>1331</v>
      </c>
      <c r="F79" s="512">
        <f ca="1">IF(ROWS($1:66)&gt;COUNT(Dong),"",IF(OFFSET(TH!L$1,SMALL(Dong,ROWS($1:66)),)="331",OFFSET(TH!K$1,SMALL(Dong,ROWS($1:66)),),0))</f>
        <v>0</v>
      </c>
      <c r="G79" s="512">
        <f ca="1">IF(ROWS($1:66)&gt;COUNT(Dong),"",IF(OFFSET(TH!M$1,SMALL(Dong,ROWS($1:66)),)="331",OFFSET(TH!K$1,SMALL(Dong,ROWS($1:66)),),0))</f>
        <v>2838537</v>
      </c>
      <c r="H79" s="513">
        <f t="shared" ca="1" si="4"/>
        <v>0</v>
      </c>
      <c r="I79" s="513">
        <f t="shared" ca="1" si="5"/>
        <v>116563325</v>
      </c>
    </row>
    <row r="80" spans="1:9" ht="18" customHeight="1">
      <c r="A80" s="509">
        <f ca="1">IF(ROWS($1:67)&gt;COUNT(Dong),"",OFFSET(TH!C$1,SMALL(Dong,ROWS($1:67)),))</f>
        <v>40690</v>
      </c>
      <c r="B80" s="509" t="str">
        <f ca="1">IF(ROWS($1:67)&gt;COUNT(Dong),"",OFFSET(TH!D$1,SMALL(Dong,ROWS($1:67)),))</f>
        <v>GBN</v>
      </c>
      <c r="C80" s="509">
        <f ca="1">IF(ROWS($1:67)&gt;COUNT(Dong),"",OFFSET(TH!E$1,SMALL(Dong,ROWS($1:67)),))</f>
        <v>40690</v>
      </c>
      <c r="D80" s="510" t="str">
        <f ca="1">IF(ROWS($1:67)&gt;COUNT(Dong),"",OFFSET(TH!F$1,SMALL(Dong,ROWS($1:67)),))</f>
        <v>Thanh toán tiền hàng</v>
      </c>
      <c r="E80" s="511" t="str">
        <f ca="1">IF(ROWS($1:67)&gt;COUNT(Dong),"",IF(OFFSET(TH!L$1,SMALL(Dong,ROWS($1:67)),)="331",OFFSET(TH!M$1,SMALL(Dong,ROWS($1:67)),),OFFSET(TH!L$1,SMALL(Dong,ROWS($1:67)),)))</f>
        <v>1121</v>
      </c>
      <c r="F80" s="512">
        <f ca="1">IF(ROWS($1:67)&gt;COUNT(Dong),"",IF(OFFSET(TH!L$1,SMALL(Dong,ROWS($1:67)),)="331",OFFSET(TH!K$1,SMALL(Dong,ROWS($1:67)),),0))</f>
        <v>41712396</v>
      </c>
      <c r="G80" s="512">
        <f ca="1">IF(ROWS($1:67)&gt;COUNT(Dong),"",IF(OFFSET(TH!M$1,SMALL(Dong,ROWS($1:67)),)="331",OFFSET(TH!K$1,SMALL(Dong,ROWS($1:67)),),0))</f>
        <v>0</v>
      </c>
      <c r="H80" s="513">
        <f t="shared" ca="1" si="4"/>
        <v>0</v>
      </c>
      <c r="I80" s="513">
        <f t="shared" ca="1" si="5"/>
        <v>74850929</v>
      </c>
    </row>
    <row r="81" spans="1:9" ht="18" customHeight="1">
      <c r="A81" s="509">
        <f ca="1">IF(ROWS($1:68)&gt;COUNT(Dong),"",OFFSET(TH!C$1,SMALL(Dong,ROWS($1:68)),))</f>
        <v>40700</v>
      </c>
      <c r="B81" s="509" t="str">
        <f ca="1">IF(ROWS($1:68)&gt;COUNT(Dong),"",OFFSET(TH!D$1,SMALL(Dong,ROWS($1:68)),))</f>
        <v>NL/N13</v>
      </c>
      <c r="C81" s="509">
        <f ca="1">IF(ROWS($1:68)&gt;COUNT(Dong),"",OFFSET(TH!E$1,SMALL(Dong,ROWS($1:68)),))</f>
        <v>40700</v>
      </c>
      <c r="D81" s="510" t="str">
        <f ca="1">IF(ROWS($1:68)&gt;COUNT(Dong),"",OFFSET(TH!F$1,SMALL(Dong,ROWS($1:68)),))</f>
        <v>Giấy tấm 2V+3X ( 2050x754)</v>
      </c>
      <c r="E81" s="511" t="str">
        <f ca="1">IF(ROWS($1:68)&gt;COUNT(Dong),"",IF(OFFSET(TH!L$1,SMALL(Dong,ROWS($1:68)),)="331",OFFSET(TH!M$1,SMALL(Dong,ROWS($1:68)),),OFFSET(TH!L$1,SMALL(Dong,ROWS($1:68)),)))</f>
        <v>1521</v>
      </c>
      <c r="F81" s="512">
        <f ca="1">IF(ROWS($1:68)&gt;COUNT(Dong),"",IF(OFFSET(TH!L$1,SMALL(Dong,ROWS($1:68)),)="331",OFFSET(TH!K$1,SMALL(Dong,ROWS($1:68)),),0))</f>
        <v>0</v>
      </c>
      <c r="G81" s="512">
        <f ca="1">IF(ROWS($1:68)&gt;COUNT(Dong),"",IF(OFFSET(TH!M$1,SMALL(Dong,ROWS($1:68)),)="331",OFFSET(TH!K$1,SMALL(Dong,ROWS($1:68)),),0))</f>
        <v>10781225</v>
      </c>
      <c r="H81" s="513">
        <f t="shared" ca="1" si="4"/>
        <v>0</v>
      </c>
      <c r="I81" s="513">
        <f t="shared" ca="1" si="5"/>
        <v>85632154</v>
      </c>
    </row>
    <row r="82" spans="1:9" ht="18" customHeight="1">
      <c r="A82" s="509">
        <f ca="1">IF(ROWS($1:69)&gt;COUNT(Dong),"",OFFSET(TH!C$1,SMALL(Dong,ROWS($1:69)),))</f>
        <v>40700</v>
      </c>
      <c r="B82" s="509" t="str">
        <f ca="1">IF(ROWS($1:69)&gt;COUNT(Dong),"",OFFSET(TH!D$1,SMALL(Dong,ROWS($1:69)),))</f>
        <v>NL/N13</v>
      </c>
      <c r="C82" s="509">
        <f ca="1">IF(ROWS($1:69)&gt;COUNT(Dong),"",OFFSET(TH!E$1,SMALL(Dong,ROWS($1:69)),))</f>
        <v>40700</v>
      </c>
      <c r="D82" s="510" t="str">
        <f ca="1">IF(ROWS($1:69)&gt;COUNT(Dong),"",OFFSET(TH!F$1,SMALL(Dong,ROWS($1:69)),))</f>
        <v>Giấy tấm 2V+1X ( 1700x1600)</v>
      </c>
      <c r="E82" s="511" t="str">
        <f ca="1">IF(ROWS($1:69)&gt;COUNT(Dong),"",IF(OFFSET(TH!L$1,SMALL(Dong,ROWS($1:69)),)="331",OFFSET(TH!M$1,SMALL(Dong,ROWS($1:69)),),OFFSET(TH!L$1,SMALL(Dong,ROWS($1:69)),)))</f>
        <v>1521</v>
      </c>
      <c r="F82" s="512">
        <f ca="1">IF(ROWS($1:69)&gt;COUNT(Dong),"",IF(OFFSET(TH!L$1,SMALL(Dong,ROWS($1:69)),)="331",OFFSET(TH!K$1,SMALL(Dong,ROWS($1:69)),),0))</f>
        <v>0</v>
      </c>
      <c r="G82" s="512">
        <f ca="1">IF(ROWS($1:69)&gt;COUNT(Dong),"",IF(OFFSET(TH!M$1,SMALL(Dong,ROWS($1:69)),)="331",OFFSET(TH!K$1,SMALL(Dong,ROWS($1:69)),),0))</f>
        <v>1963800</v>
      </c>
      <c r="H82" s="513">
        <f t="shared" ca="1" si="4"/>
        <v>0</v>
      </c>
      <c r="I82" s="513">
        <f t="shared" ca="1" si="5"/>
        <v>87595954</v>
      </c>
    </row>
    <row r="83" spans="1:9" ht="18" customHeight="1">
      <c r="A83" s="509">
        <f ca="1">IF(ROWS($1:70)&gt;COUNT(Dong),"",OFFSET(TH!C$1,SMALL(Dong,ROWS($1:70)),))</f>
        <v>40700</v>
      </c>
      <c r="B83" s="509" t="str">
        <f ca="1">IF(ROWS($1:70)&gt;COUNT(Dong),"",OFFSET(TH!D$1,SMALL(Dong,ROWS($1:70)),))</f>
        <v>NL/N13</v>
      </c>
      <c r="C83" s="509">
        <f ca="1">IF(ROWS($1:70)&gt;COUNT(Dong),"",OFFSET(TH!E$1,SMALL(Dong,ROWS($1:70)),))</f>
        <v>40700</v>
      </c>
      <c r="D83" s="510" t="str">
        <f ca="1">IF(ROWS($1:70)&gt;COUNT(Dong),"",OFFSET(TH!F$1,SMALL(Dong,ROWS($1:70)),))</f>
        <v>Giấy tấm 2V+3X ( 2050x1250)</v>
      </c>
      <c r="E83" s="511" t="str">
        <f ca="1">IF(ROWS($1:70)&gt;COUNT(Dong),"",IF(OFFSET(TH!L$1,SMALL(Dong,ROWS($1:70)),)="331",OFFSET(TH!M$1,SMALL(Dong,ROWS($1:70)),),OFFSET(TH!L$1,SMALL(Dong,ROWS($1:70)),)))</f>
        <v>1521</v>
      </c>
      <c r="F83" s="512">
        <f ca="1">IF(ROWS($1:70)&gt;COUNT(Dong),"",IF(OFFSET(TH!L$1,SMALL(Dong,ROWS($1:70)),)="331",OFFSET(TH!K$1,SMALL(Dong,ROWS($1:70)),),0))</f>
        <v>0</v>
      </c>
      <c r="G83" s="512">
        <f ca="1">IF(ROWS($1:70)&gt;COUNT(Dong),"",IF(OFFSET(TH!M$1,SMALL(Dong,ROWS($1:70)),)="331",OFFSET(TH!K$1,SMALL(Dong,ROWS($1:70)),),0))</f>
        <v>2272779</v>
      </c>
      <c r="H83" s="513">
        <f t="shared" ca="1" si="4"/>
        <v>0</v>
      </c>
      <c r="I83" s="513">
        <f t="shared" ca="1" si="5"/>
        <v>89868733</v>
      </c>
    </row>
    <row r="84" spans="1:9" ht="18" customHeight="1">
      <c r="A84" s="509">
        <f ca="1">IF(ROWS($1:71)&gt;COUNT(Dong),"",OFFSET(TH!C$1,SMALL(Dong,ROWS($1:71)),))</f>
        <v>40700</v>
      </c>
      <c r="B84" s="509" t="str">
        <f ca="1">IF(ROWS($1:71)&gt;COUNT(Dong),"",OFFSET(TH!D$1,SMALL(Dong,ROWS($1:71)),))</f>
        <v>NL/N13</v>
      </c>
      <c r="C84" s="509">
        <f ca="1">IF(ROWS($1:71)&gt;COUNT(Dong),"",OFFSET(TH!E$1,SMALL(Dong,ROWS($1:71)),))</f>
        <v>40700</v>
      </c>
      <c r="D84" s="510" t="str">
        <f ca="1">IF(ROWS($1:71)&gt;COUNT(Dong),"",OFFSET(TH!F$1,SMALL(Dong,ROWS($1:71)),))</f>
        <v>Giấy tấm 2V+1X ( 2170x1650)</v>
      </c>
      <c r="E84" s="511" t="str">
        <f ca="1">IF(ROWS($1:71)&gt;COUNT(Dong),"",IF(OFFSET(TH!L$1,SMALL(Dong,ROWS($1:71)),)="331",OFFSET(TH!M$1,SMALL(Dong,ROWS($1:71)),),OFFSET(TH!L$1,SMALL(Dong,ROWS($1:71)),)))</f>
        <v>1521</v>
      </c>
      <c r="F84" s="512">
        <f ca="1">IF(ROWS($1:71)&gt;COUNT(Dong),"",IF(OFFSET(TH!L$1,SMALL(Dong,ROWS($1:71)),)="331",OFFSET(TH!K$1,SMALL(Dong,ROWS($1:71)),),0))</f>
        <v>0</v>
      </c>
      <c r="G84" s="512">
        <f ca="1">IF(ROWS($1:71)&gt;COUNT(Dong),"",IF(OFFSET(TH!M$1,SMALL(Dong,ROWS($1:71)),)="331",OFFSET(TH!K$1,SMALL(Dong,ROWS($1:71)),),0))</f>
        <v>5370800</v>
      </c>
      <c r="H84" s="513">
        <f t="shared" ca="1" si="4"/>
        <v>0</v>
      </c>
      <c r="I84" s="513">
        <f t="shared" ca="1" si="5"/>
        <v>95239533</v>
      </c>
    </row>
    <row r="85" spans="1:9" ht="18" customHeight="1">
      <c r="A85" s="509">
        <f ca="1">IF(ROWS($1:72)&gt;COUNT(Dong),"",OFFSET(TH!C$1,SMALL(Dong,ROWS($1:72)),))</f>
        <v>40700</v>
      </c>
      <c r="B85" s="509" t="str">
        <f ca="1">IF(ROWS($1:72)&gt;COUNT(Dong),"",OFFSET(TH!D$1,SMALL(Dong,ROWS($1:72)),))</f>
        <v>NL/N13</v>
      </c>
      <c r="C85" s="509">
        <f ca="1">IF(ROWS($1:72)&gt;COUNT(Dong),"",OFFSET(TH!E$1,SMALL(Dong,ROWS($1:72)),))</f>
        <v>40700</v>
      </c>
      <c r="D85" s="510" t="str">
        <f ca="1">IF(ROWS($1:72)&gt;COUNT(Dong),"",OFFSET(TH!F$1,SMALL(Dong,ROWS($1:72)),))</f>
        <v>Giấy tấm 2V+3X ( 2400x1250)</v>
      </c>
      <c r="E85" s="511" t="str">
        <f ca="1">IF(ROWS($1:72)&gt;COUNT(Dong),"",IF(OFFSET(TH!L$1,SMALL(Dong,ROWS($1:72)),)="331",OFFSET(TH!M$1,SMALL(Dong,ROWS($1:72)),),OFFSET(TH!L$1,SMALL(Dong,ROWS($1:72)),)))</f>
        <v>1521</v>
      </c>
      <c r="F85" s="512">
        <f ca="1">IF(ROWS($1:72)&gt;COUNT(Dong),"",IF(OFFSET(TH!L$1,SMALL(Dong,ROWS($1:72)),)="331",OFFSET(TH!K$1,SMALL(Dong,ROWS($1:72)),),0))</f>
        <v>0</v>
      </c>
      <c r="G85" s="512">
        <f ca="1">IF(ROWS($1:72)&gt;COUNT(Dong),"",IF(OFFSET(TH!M$1,SMALL(Dong,ROWS($1:72)),)="331",OFFSET(TH!K$1,SMALL(Dong,ROWS($1:72)),),0))</f>
        <v>1708200</v>
      </c>
      <c r="H85" s="513">
        <f t="shared" ca="1" si="4"/>
        <v>0</v>
      </c>
      <c r="I85" s="513">
        <f t="shared" ca="1" si="5"/>
        <v>96947733</v>
      </c>
    </row>
    <row r="86" spans="1:9" ht="18" customHeight="1">
      <c r="A86" s="509">
        <f ca="1">IF(ROWS($1:73)&gt;COUNT(Dong),"",OFFSET(TH!C$1,SMALL(Dong,ROWS($1:73)),))</f>
        <v>40700</v>
      </c>
      <c r="B86" s="509" t="str">
        <f ca="1">IF(ROWS($1:73)&gt;COUNT(Dong),"",OFFSET(TH!D$1,SMALL(Dong,ROWS($1:73)),))</f>
        <v>NL/N13</v>
      </c>
      <c r="C86" s="509">
        <f ca="1">IF(ROWS($1:73)&gt;COUNT(Dong),"",OFFSET(TH!E$1,SMALL(Dong,ROWS($1:73)),))</f>
        <v>40700</v>
      </c>
      <c r="D86" s="510" t="str">
        <f ca="1">IF(ROWS($1:73)&gt;COUNT(Dong),"",OFFSET(TH!F$1,SMALL(Dong,ROWS($1:73)),))</f>
        <v>Vat Giấy tấm</v>
      </c>
      <c r="E86" s="511" t="str">
        <f ca="1">IF(ROWS($1:73)&gt;COUNT(Dong),"",IF(OFFSET(TH!L$1,SMALL(Dong,ROWS($1:73)),)="331",OFFSET(TH!M$1,SMALL(Dong,ROWS($1:73)),),OFFSET(TH!L$1,SMALL(Dong,ROWS($1:73)),)))</f>
        <v>1331</v>
      </c>
      <c r="F86" s="512">
        <f ca="1">IF(ROWS($1:73)&gt;COUNT(Dong),"",IF(OFFSET(TH!L$1,SMALL(Dong,ROWS($1:73)),)="331",OFFSET(TH!K$1,SMALL(Dong,ROWS($1:73)),),0))</f>
        <v>0</v>
      </c>
      <c r="G86" s="512">
        <f ca="1">IF(ROWS($1:73)&gt;COUNT(Dong),"",IF(OFFSET(TH!M$1,SMALL(Dong,ROWS($1:73)),)="331",OFFSET(TH!K$1,SMALL(Dong,ROWS($1:73)),),0))</f>
        <v>2209680</v>
      </c>
      <c r="H86" s="513">
        <f t="shared" ca="1" si="4"/>
        <v>0</v>
      </c>
      <c r="I86" s="513">
        <f t="shared" ca="1" si="5"/>
        <v>99157413</v>
      </c>
    </row>
    <row r="87" spans="1:9" ht="18" customHeight="1">
      <c r="A87" s="509">
        <f ca="1">IF(ROWS($1:74)&gt;COUNT(Dong),"",OFFSET(TH!C$1,SMALL(Dong,ROWS($1:74)),))</f>
        <v>40706</v>
      </c>
      <c r="B87" s="509" t="str">
        <f ca="1">IF(ROWS($1:74)&gt;COUNT(Dong),"",OFFSET(TH!D$1,SMALL(Dong,ROWS($1:74)),))</f>
        <v>C43</v>
      </c>
      <c r="C87" s="509">
        <f ca="1">IF(ROWS($1:74)&gt;COUNT(Dong),"",OFFSET(TH!E$1,SMALL(Dong,ROWS($1:74)),))</f>
        <v>40706</v>
      </c>
      <c r="D87" s="510" t="str">
        <f ca="1">IF(ROWS($1:74)&gt;COUNT(Dong),"",OFFSET(TH!F$1,SMALL(Dong,ROWS($1:74)),))</f>
        <v>Thanh toán tiền giấy tấm</v>
      </c>
      <c r="E87" s="511" t="str">
        <f ca="1">IF(ROWS($1:74)&gt;COUNT(Dong),"",IF(OFFSET(TH!L$1,SMALL(Dong,ROWS($1:74)),)="331",OFFSET(TH!M$1,SMALL(Dong,ROWS($1:74)),),OFFSET(TH!L$1,SMALL(Dong,ROWS($1:74)),)))</f>
        <v>1111</v>
      </c>
      <c r="F87" s="512">
        <f ca="1">IF(ROWS($1:74)&gt;COUNT(Dong),"",IF(OFFSET(TH!L$1,SMALL(Dong,ROWS($1:74)),)="331",OFFSET(TH!K$1,SMALL(Dong,ROWS($1:74)),),0))</f>
        <v>15310050</v>
      </c>
      <c r="G87" s="512">
        <f ca="1">IF(ROWS($1:74)&gt;COUNT(Dong),"",IF(OFFSET(TH!M$1,SMALL(Dong,ROWS($1:74)),)="331",OFFSET(TH!K$1,SMALL(Dong,ROWS($1:74)),),0))</f>
        <v>0</v>
      </c>
      <c r="H87" s="513">
        <f t="shared" ca="1" si="4"/>
        <v>0</v>
      </c>
      <c r="I87" s="513">
        <f t="shared" ca="1" si="5"/>
        <v>83847363</v>
      </c>
    </row>
    <row r="88" spans="1:9" ht="18" customHeight="1">
      <c r="A88" s="509">
        <f ca="1">IF(ROWS($1:75)&gt;COUNT(Dong),"",OFFSET(TH!C$1,SMALL(Dong,ROWS($1:75)),))</f>
        <v>40706</v>
      </c>
      <c r="B88" s="509" t="str">
        <f ca="1">IF(ROWS($1:75)&gt;COUNT(Dong),"",OFFSET(TH!D$1,SMALL(Dong,ROWS($1:75)),))</f>
        <v>NL/N18</v>
      </c>
      <c r="C88" s="509">
        <f ca="1">IF(ROWS($1:75)&gt;COUNT(Dong),"",OFFSET(TH!E$1,SMALL(Dong,ROWS($1:75)),))</f>
        <v>40706</v>
      </c>
      <c r="D88" s="510" t="str">
        <f ca="1">IF(ROWS($1:75)&gt;COUNT(Dong),"",OFFSET(TH!F$1,SMALL(Dong,ROWS($1:75)),))</f>
        <v>Giấy tấm 2V+3X ( 2050x1250)</v>
      </c>
      <c r="E88" s="511" t="str">
        <f ca="1">IF(ROWS($1:75)&gt;COUNT(Dong),"",IF(OFFSET(TH!L$1,SMALL(Dong,ROWS($1:75)),)="331",OFFSET(TH!M$1,SMALL(Dong,ROWS($1:75)),),OFFSET(TH!L$1,SMALL(Dong,ROWS($1:75)),)))</f>
        <v>1521</v>
      </c>
      <c r="F88" s="512">
        <f ca="1">IF(ROWS($1:75)&gt;COUNT(Dong),"",IF(OFFSET(TH!L$1,SMALL(Dong,ROWS($1:75)),)="331",OFFSET(TH!K$1,SMALL(Dong,ROWS($1:75)),),0))</f>
        <v>0</v>
      </c>
      <c r="G88" s="512">
        <f ca="1">IF(ROWS($1:75)&gt;COUNT(Dong),"",IF(OFFSET(TH!M$1,SMALL(Dong,ROWS($1:75)),)="331",OFFSET(TH!K$1,SMALL(Dong,ROWS($1:75)),),0))</f>
        <v>1374891</v>
      </c>
      <c r="H88" s="513">
        <f t="shared" ca="1" si="4"/>
        <v>0</v>
      </c>
      <c r="I88" s="513">
        <f t="shared" ca="1" si="5"/>
        <v>85222254</v>
      </c>
    </row>
    <row r="89" spans="1:9" ht="18" customHeight="1">
      <c r="A89" s="509">
        <f ca="1">IF(ROWS($1:76)&gt;COUNT(Dong),"",OFFSET(TH!C$1,SMALL(Dong,ROWS($1:76)),))</f>
        <v>40706</v>
      </c>
      <c r="B89" s="509" t="str">
        <f ca="1">IF(ROWS($1:76)&gt;COUNT(Dong),"",OFFSET(TH!D$1,SMALL(Dong,ROWS($1:76)),))</f>
        <v>NL/N18</v>
      </c>
      <c r="C89" s="509">
        <f ca="1">IF(ROWS($1:76)&gt;COUNT(Dong),"",OFFSET(TH!E$1,SMALL(Dong,ROWS($1:76)),))</f>
        <v>40706</v>
      </c>
      <c r="D89" s="510" t="str">
        <f ca="1">IF(ROWS($1:76)&gt;COUNT(Dong),"",OFFSET(TH!F$1,SMALL(Dong,ROWS($1:76)),))</f>
        <v>Giấy tấm 2V+3X ( 2090x1050)</v>
      </c>
      <c r="E89" s="511" t="str">
        <f ca="1">IF(ROWS($1:76)&gt;COUNT(Dong),"",IF(OFFSET(TH!L$1,SMALL(Dong,ROWS($1:76)),)="331",OFFSET(TH!M$1,SMALL(Dong,ROWS($1:76)),),OFFSET(TH!L$1,SMALL(Dong,ROWS($1:76)),)))</f>
        <v>1521</v>
      </c>
      <c r="F89" s="512">
        <f ca="1">IF(ROWS($1:76)&gt;COUNT(Dong),"",IF(OFFSET(TH!L$1,SMALL(Dong,ROWS($1:76)),)="331",OFFSET(TH!K$1,SMALL(Dong,ROWS($1:76)),),0))</f>
        <v>0</v>
      </c>
      <c r="G89" s="512">
        <f ca="1">IF(ROWS($1:76)&gt;COUNT(Dong),"",IF(OFFSET(TH!M$1,SMALL(Dong,ROWS($1:76)),)="331",OFFSET(TH!K$1,SMALL(Dong,ROWS($1:76)),),0))</f>
        <v>2499120</v>
      </c>
      <c r="H89" s="513">
        <f t="shared" ca="1" si="4"/>
        <v>0</v>
      </c>
      <c r="I89" s="513">
        <f t="shared" ca="1" si="5"/>
        <v>87721374</v>
      </c>
    </row>
    <row r="90" spans="1:9" ht="18" customHeight="1">
      <c r="A90" s="509">
        <f ca="1">IF(ROWS($1:77)&gt;COUNT(Dong),"",OFFSET(TH!C$1,SMALL(Dong,ROWS($1:77)),))</f>
        <v>40706</v>
      </c>
      <c r="B90" s="509" t="str">
        <f ca="1">IF(ROWS($1:77)&gt;COUNT(Dong),"",OFFSET(TH!D$1,SMALL(Dong,ROWS($1:77)),))</f>
        <v>NL/N18</v>
      </c>
      <c r="C90" s="509">
        <f ca="1">IF(ROWS($1:77)&gt;COUNT(Dong),"",OFFSET(TH!E$1,SMALL(Dong,ROWS($1:77)),))</f>
        <v>40706</v>
      </c>
      <c r="D90" s="510" t="str">
        <f ca="1">IF(ROWS($1:77)&gt;COUNT(Dong),"",OFFSET(TH!F$1,SMALL(Dong,ROWS($1:77)),))</f>
        <v>Giấy tấm 2V+3X ( 2220x1050)</v>
      </c>
      <c r="E90" s="511" t="str">
        <f ca="1">IF(ROWS($1:77)&gt;COUNT(Dong),"",IF(OFFSET(TH!L$1,SMALL(Dong,ROWS($1:77)),)="331",OFFSET(TH!M$1,SMALL(Dong,ROWS($1:77)),),OFFSET(TH!L$1,SMALL(Dong,ROWS($1:77)),)))</f>
        <v>1521</v>
      </c>
      <c r="F90" s="512">
        <f ca="1">IF(ROWS($1:77)&gt;COUNT(Dong),"",IF(OFFSET(TH!L$1,SMALL(Dong,ROWS($1:77)),)="331",OFFSET(TH!K$1,SMALL(Dong,ROWS($1:77)),),0))</f>
        <v>0</v>
      </c>
      <c r="G90" s="512">
        <f ca="1">IF(ROWS($1:77)&gt;COUNT(Dong),"",IF(OFFSET(TH!M$1,SMALL(Dong,ROWS($1:77)),)="331",OFFSET(TH!K$1,SMALL(Dong,ROWS($1:77)),),0))</f>
        <v>2654496</v>
      </c>
      <c r="H90" s="513">
        <f t="shared" ca="1" si="4"/>
        <v>0</v>
      </c>
      <c r="I90" s="513">
        <f t="shared" ca="1" si="5"/>
        <v>90375870</v>
      </c>
    </row>
    <row r="91" spans="1:9" ht="18" customHeight="1">
      <c r="A91" s="509">
        <f ca="1">IF(ROWS($1:78)&gt;COUNT(Dong),"",OFFSET(TH!C$1,SMALL(Dong,ROWS($1:78)),))</f>
        <v>40706</v>
      </c>
      <c r="B91" s="509" t="str">
        <f ca="1">IF(ROWS($1:78)&gt;COUNT(Dong),"",OFFSET(TH!D$1,SMALL(Dong,ROWS($1:78)),))</f>
        <v>NL/N18</v>
      </c>
      <c r="C91" s="509">
        <f ca="1">IF(ROWS($1:78)&gt;COUNT(Dong),"",OFFSET(TH!E$1,SMALL(Dong,ROWS($1:78)),))</f>
        <v>40706</v>
      </c>
      <c r="D91" s="510" t="str">
        <f ca="1">IF(ROWS($1:78)&gt;COUNT(Dong),"",OFFSET(TH!F$1,SMALL(Dong,ROWS($1:78)),))</f>
        <v>Giấy tấm 2V+3X ( 2390x1050)</v>
      </c>
      <c r="E91" s="511" t="str">
        <f ca="1">IF(ROWS($1:78)&gt;COUNT(Dong),"",IF(OFFSET(TH!L$1,SMALL(Dong,ROWS($1:78)),)="331",OFFSET(TH!M$1,SMALL(Dong,ROWS($1:78)),),OFFSET(TH!L$1,SMALL(Dong,ROWS($1:78)),)))</f>
        <v>1521</v>
      </c>
      <c r="F91" s="512">
        <f ca="1">IF(ROWS($1:78)&gt;COUNT(Dong),"",IF(OFFSET(TH!L$1,SMALL(Dong,ROWS($1:78)),)="331",OFFSET(TH!K$1,SMALL(Dong,ROWS($1:78)),),0))</f>
        <v>0</v>
      </c>
      <c r="G91" s="512">
        <f ca="1">IF(ROWS($1:78)&gt;COUNT(Dong),"",IF(OFFSET(TH!M$1,SMALL(Dong,ROWS($1:78)),)="331",OFFSET(TH!K$1,SMALL(Dong,ROWS($1:78)),),0))</f>
        <v>2857816</v>
      </c>
      <c r="H91" s="513">
        <f t="shared" ca="1" si="4"/>
        <v>0</v>
      </c>
      <c r="I91" s="513">
        <f t="shared" ca="1" si="5"/>
        <v>93233686</v>
      </c>
    </row>
    <row r="92" spans="1:9" ht="18" customHeight="1">
      <c r="A92" s="509">
        <f ca="1">IF(ROWS($1:79)&gt;COUNT(Dong),"",OFFSET(TH!C$1,SMALL(Dong,ROWS($1:79)),))</f>
        <v>40706</v>
      </c>
      <c r="B92" s="509" t="str">
        <f ca="1">IF(ROWS($1:79)&gt;COUNT(Dong),"",OFFSET(TH!D$1,SMALL(Dong,ROWS($1:79)),))</f>
        <v>NL/N18</v>
      </c>
      <c r="C92" s="509">
        <f ca="1">IF(ROWS($1:79)&gt;COUNT(Dong),"",OFFSET(TH!E$1,SMALL(Dong,ROWS($1:79)),))</f>
        <v>40706</v>
      </c>
      <c r="D92" s="510" t="str">
        <f ca="1">IF(ROWS($1:79)&gt;COUNT(Dong),"",OFFSET(TH!F$1,SMALL(Dong,ROWS($1:79)),))</f>
        <v>Giấy tấm 2V+3X ( 2030x1050)</v>
      </c>
      <c r="E92" s="511" t="str">
        <f ca="1">IF(ROWS($1:79)&gt;COUNT(Dong),"",IF(OFFSET(TH!L$1,SMALL(Dong,ROWS($1:79)),)="331",OFFSET(TH!M$1,SMALL(Dong,ROWS($1:79)),),OFFSET(TH!L$1,SMALL(Dong,ROWS($1:79)),)))</f>
        <v>1521</v>
      </c>
      <c r="F92" s="512">
        <f ca="1">IF(ROWS($1:79)&gt;COUNT(Dong),"",IF(OFFSET(TH!L$1,SMALL(Dong,ROWS($1:79)),)="331",OFFSET(TH!K$1,SMALL(Dong,ROWS($1:79)),),0))</f>
        <v>0</v>
      </c>
      <c r="G92" s="512">
        <f ca="1">IF(ROWS($1:79)&gt;COUNT(Dong),"",IF(OFFSET(TH!M$1,SMALL(Dong,ROWS($1:79)),)="331",OFFSET(TH!K$1,SMALL(Dong,ROWS($1:79)),),0))</f>
        <v>2427360</v>
      </c>
      <c r="H92" s="513">
        <f t="shared" ca="1" si="4"/>
        <v>0</v>
      </c>
      <c r="I92" s="513">
        <f t="shared" ca="1" si="5"/>
        <v>95661046</v>
      </c>
    </row>
    <row r="93" spans="1:9" ht="18" customHeight="1">
      <c r="A93" s="509">
        <f ca="1">IF(ROWS($1:80)&gt;COUNT(Dong),"",OFFSET(TH!C$1,SMALL(Dong,ROWS($1:80)),))</f>
        <v>40706</v>
      </c>
      <c r="B93" s="509" t="str">
        <f ca="1">IF(ROWS($1:80)&gt;COUNT(Dong),"",OFFSET(TH!D$1,SMALL(Dong,ROWS($1:80)),))</f>
        <v>NL/N18</v>
      </c>
      <c r="C93" s="509">
        <f ca="1">IF(ROWS($1:80)&gt;COUNT(Dong),"",OFFSET(TH!E$1,SMALL(Dong,ROWS($1:80)),))</f>
        <v>40706</v>
      </c>
      <c r="D93" s="510" t="str">
        <f ca="1">IF(ROWS($1:80)&gt;COUNT(Dong),"",OFFSET(TH!F$1,SMALL(Dong,ROWS($1:80)),))</f>
        <v>Giấy tấm 2V+3X ( 1760x1050)</v>
      </c>
      <c r="E93" s="511" t="str">
        <f ca="1">IF(ROWS($1:80)&gt;COUNT(Dong),"",IF(OFFSET(TH!L$1,SMALL(Dong,ROWS($1:80)),)="331",OFFSET(TH!M$1,SMALL(Dong,ROWS($1:80)),),OFFSET(TH!L$1,SMALL(Dong,ROWS($1:80)),)))</f>
        <v>1521</v>
      </c>
      <c r="F93" s="512">
        <f ca="1">IF(ROWS($1:80)&gt;COUNT(Dong),"",IF(OFFSET(TH!L$1,SMALL(Dong,ROWS($1:80)),)="331",OFFSET(TH!K$1,SMALL(Dong,ROWS($1:80)),),0))</f>
        <v>0</v>
      </c>
      <c r="G93" s="512">
        <f ca="1">IF(ROWS($1:80)&gt;COUNT(Dong),"",IF(OFFSET(TH!M$1,SMALL(Dong,ROWS($1:80)),)="331",OFFSET(TH!K$1,SMALL(Dong,ROWS($1:80)),),0))</f>
        <v>2104544</v>
      </c>
      <c r="H93" s="513">
        <f t="shared" ca="1" si="4"/>
        <v>0</v>
      </c>
      <c r="I93" s="513">
        <f t="shared" ca="1" si="5"/>
        <v>97765590</v>
      </c>
    </row>
    <row r="94" spans="1:9" ht="18" customHeight="1">
      <c r="A94" s="509"/>
      <c r="B94" s="509"/>
      <c r="C94" s="509"/>
      <c r="D94" s="510"/>
      <c r="E94" s="511"/>
      <c r="F94" s="512"/>
      <c r="G94" s="512"/>
      <c r="H94" s="513"/>
      <c r="I94" s="513"/>
    </row>
    <row r="95" spans="1:9" ht="18" customHeight="1">
      <c r="A95" s="508"/>
      <c r="B95" s="429"/>
      <c r="C95" s="519"/>
      <c r="D95" s="507" t="s">
        <v>31</v>
      </c>
      <c r="E95" s="429" t="s">
        <v>18</v>
      </c>
      <c r="F95" s="520">
        <f ca="1">SUM(F14:F94)</f>
        <v>221612799</v>
      </c>
      <c r="G95" s="520">
        <f ca="1">SUM(G14:G94)</f>
        <v>319378389</v>
      </c>
      <c r="H95" s="520" t="s">
        <v>18</v>
      </c>
      <c r="I95" s="520" t="s">
        <v>18</v>
      </c>
    </row>
    <row r="96" spans="1:9" ht="18" customHeight="1">
      <c r="A96" s="508"/>
      <c r="B96" s="429"/>
      <c r="C96" s="429"/>
      <c r="D96" s="507" t="s">
        <v>10</v>
      </c>
      <c r="E96" s="429" t="s">
        <v>18</v>
      </c>
      <c r="F96" s="520" t="s">
        <v>18</v>
      </c>
      <c r="G96" s="520" t="s">
        <v>18</v>
      </c>
      <c r="H96" s="520">
        <f ca="1">MAX(H13+F95-G95-I13,0)</f>
        <v>0</v>
      </c>
      <c r="I96" s="520">
        <f ca="1">MAX(I13+G95-F95-H13,0)</f>
        <v>97765590</v>
      </c>
    </row>
    <row r="97" spans="1:9" ht="6" customHeight="1">
      <c r="A97" s="3"/>
      <c r="B97" s="379"/>
      <c r="C97" s="379"/>
      <c r="D97" s="3"/>
      <c r="E97" s="379"/>
      <c r="F97" s="3"/>
      <c r="G97" s="3"/>
      <c r="H97" s="3"/>
      <c r="I97" s="3"/>
    </row>
    <row r="98" spans="1:9" ht="14.25" customHeight="1">
      <c r="A98" s="521" t="s">
        <v>140</v>
      </c>
      <c r="B98" s="379"/>
      <c r="C98" s="379"/>
      <c r="D98" s="3"/>
      <c r="E98" s="379"/>
      <c r="F98" s="3"/>
      <c r="G98" s="3"/>
      <c r="H98" s="3"/>
      <c r="I98" s="3"/>
    </row>
    <row r="99" spans="1:9" ht="14.25" customHeight="1">
      <c r="A99" s="521" t="str">
        <f ca="1">"- Ngày mở sổ: "&amp;DAY($A$14)&amp;"/"&amp;MONTH($A$14)&amp;"/ " &amp;YEAR($A$14)</f>
        <v>- Ngày mở sổ: 9/4/ 2011</v>
      </c>
      <c r="B99" s="379"/>
      <c r="C99" s="379"/>
      <c r="D99" s="3"/>
      <c r="E99" s="379"/>
      <c r="F99" s="3"/>
      <c r="G99" s="3"/>
      <c r="H99" s="3"/>
      <c r="I99" s="3"/>
    </row>
    <row r="100" spans="1:9" ht="14.25" customHeight="1">
      <c r="A100" s="3"/>
      <c r="B100" s="379"/>
      <c r="C100" s="379"/>
      <c r="D100" s="3"/>
      <c r="E100" s="827" t="str">
        <f ca="1">"Ngày 31 tháng  12  năm  "&amp;YEAR($A$14)</f>
        <v>Ngày 31 tháng  12  năm  2011</v>
      </c>
      <c r="F100" s="827"/>
      <c r="G100" s="827"/>
      <c r="H100" s="827"/>
      <c r="I100" s="827"/>
    </row>
    <row r="101" spans="1:9" ht="14.25" customHeight="1">
      <c r="A101" s="3"/>
      <c r="B101" s="3"/>
      <c r="C101" s="379" t="s">
        <v>11</v>
      </c>
      <c r="D101" s="3"/>
      <c r="E101" s="827" t="s">
        <v>12</v>
      </c>
      <c r="F101" s="827"/>
      <c r="G101" s="827"/>
      <c r="H101" s="827"/>
      <c r="I101" s="827"/>
    </row>
    <row r="102" spans="1:9" ht="14.25" customHeight="1">
      <c r="A102" s="3"/>
      <c r="B102" s="3"/>
      <c r="C102" s="379" t="s">
        <v>13</v>
      </c>
      <c r="D102" s="3"/>
      <c r="E102" s="827" t="s">
        <v>13</v>
      </c>
      <c r="F102" s="827"/>
      <c r="G102" s="827"/>
      <c r="H102" s="827"/>
      <c r="I102" s="827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26" customWidth="1"/>
    <col min="2" max="2" width="9" style="526" customWidth="1"/>
    <col min="3" max="3" width="10.28515625" style="526" customWidth="1"/>
    <col min="4" max="4" width="41" style="526" customWidth="1"/>
    <col min="5" max="5" width="6.5703125" style="526" customWidth="1"/>
    <col min="6" max="8" width="10" style="526" customWidth="1"/>
    <col min="9" max="9" width="13.7109375" style="526" customWidth="1"/>
    <col min="10" max="10" width="10" style="526" customWidth="1"/>
    <col min="11" max="11" width="8.7109375" style="526" customWidth="1"/>
    <col min="12" max="12" width="15" style="526" customWidth="1"/>
    <col min="13" max="13" width="10" style="526" customWidth="1"/>
    <col min="14" max="14" width="9.42578125" style="526" customWidth="1"/>
    <col min="15" max="16384" width="9.140625" style="526"/>
  </cols>
  <sheetData>
    <row r="2" spans="1:14">
      <c r="A2" s="232" t="str">
        <f>TH!$A$1</f>
        <v>Đơn vị: CÔNG TY TNHH SX TM KIM DUNG PHÁT</v>
      </c>
      <c r="C2" s="527"/>
      <c r="F2" s="528"/>
      <c r="G2" s="528"/>
      <c r="H2" s="528"/>
      <c r="I2" s="528"/>
      <c r="J2" s="869" t="s">
        <v>167</v>
      </c>
      <c r="K2" s="869"/>
      <c r="L2" s="869"/>
      <c r="M2" s="869"/>
      <c r="N2" s="528"/>
    </row>
    <row r="3" spans="1:14">
      <c r="A3" s="245" t="str">
        <f>TH!$A$2</f>
        <v>Địa chỉ: 1A227/1 Ấp 1, Phạm Văn Hai, Bình Chánh, TPHCM</v>
      </c>
      <c r="C3" s="527"/>
      <c r="F3" s="529"/>
      <c r="G3" s="529"/>
      <c r="H3" s="529"/>
      <c r="I3" s="529"/>
      <c r="J3" s="87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77"/>
      <c r="L3" s="877"/>
      <c r="M3" s="877"/>
      <c r="N3" s="529"/>
    </row>
    <row r="4" spans="1:14">
      <c r="F4" s="529"/>
      <c r="G4" s="529"/>
      <c r="H4" s="529"/>
      <c r="I4" s="529"/>
      <c r="J4" s="877"/>
      <c r="K4" s="877"/>
      <c r="L4" s="877"/>
      <c r="M4" s="877"/>
      <c r="N4" s="529"/>
    </row>
    <row r="5" spans="1:14" ht="37.5" customHeight="1">
      <c r="A5" s="868" t="s">
        <v>168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L5" s="868"/>
      <c r="M5" s="868"/>
      <c r="N5" s="868"/>
    </row>
    <row r="6" spans="1:14">
      <c r="A6" s="869" t="s">
        <v>1386</v>
      </c>
      <c r="B6" s="869" t="s">
        <v>169</v>
      </c>
      <c r="C6" s="869"/>
      <c r="D6" s="869"/>
      <c r="E6" s="869"/>
      <c r="F6" s="869"/>
      <c r="G6" s="869"/>
      <c r="H6" s="869"/>
      <c r="I6" s="869"/>
      <c r="J6" s="869"/>
      <c r="K6" s="869"/>
      <c r="L6" s="869"/>
      <c r="M6" s="869"/>
      <c r="N6" s="869"/>
    </row>
    <row r="7" spans="1:14" ht="6.75" customHeight="1">
      <c r="C7" s="870"/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</row>
    <row r="8" spans="1:14" ht="19.5" customHeight="1">
      <c r="A8" s="871" t="s">
        <v>19</v>
      </c>
      <c r="B8" s="872" t="s">
        <v>1</v>
      </c>
      <c r="C8" s="873"/>
      <c r="D8" s="871" t="s">
        <v>0</v>
      </c>
      <c r="E8" s="871" t="s">
        <v>14</v>
      </c>
      <c r="F8" s="876" t="s">
        <v>20</v>
      </c>
      <c r="G8" s="876"/>
      <c r="H8" s="876"/>
      <c r="I8" s="876"/>
      <c r="J8" s="876"/>
      <c r="K8" s="876"/>
      <c r="L8" s="876" t="s">
        <v>29</v>
      </c>
      <c r="M8" s="876"/>
      <c r="N8" s="876"/>
    </row>
    <row r="9" spans="1:14" ht="19.5" customHeight="1">
      <c r="A9" s="871"/>
      <c r="B9" s="874"/>
      <c r="C9" s="875"/>
      <c r="D9" s="871"/>
      <c r="E9" s="871"/>
      <c r="F9" s="876" t="s">
        <v>170</v>
      </c>
      <c r="G9" s="876"/>
      <c r="H9" s="876"/>
      <c r="I9" s="876" t="s">
        <v>171</v>
      </c>
      <c r="J9" s="876"/>
      <c r="K9" s="876"/>
      <c r="L9" s="871" t="s">
        <v>172</v>
      </c>
      <c r="M9" s="871" t="s">
        <v>173</v>
      </c>
      <c r="N9" s="871" t="s">
        <v>174</v>
      </c>
    </row>
    <row r="10" spans="1:14" ht="19.5" customHeight="1">
      <c r="A10" s="871"/>
      <c r="B10" s="879" t="s">
        <v>15</v>
      </c>
      <c r="C10" s="879" t="s">
        <v>30</v>
      </c>
      <c r="D10" s="871"/>
      <c r="E10" s="871"/>
      <c r="F10" s="881" t="s">
        <v>172</v>
      </c>
      <c r="G10" s="881" t="s">
        <v>173</v>
      </c>
      <c r="H10" s="881" t="s">
        <v>174</v>
      </c>
      <c r="I10" s="881" t="s">
        <v>172</v>
      </c>
      <c r="J10" s="881" t="s">
        <v>173</v>
      </c>
      <c r="K10" s="881" t="s">
        <v>174</v>
      </c>
      <c r="L10" s="878"/>
      <c r="M10" s="878"/>
      <c r="N10" s="878"/>
    </row>
    <row r="11" spans="1:14" ht="19.5" customHeight="1">
      <c r="A11" s="871"/>
      <c r="B11" s="880"/>
      <c r="C11" s="880"/>
      <c r="D11" s="871"/>
      <c r="E11" s="871"/>
      <c r="F11" s="882"/>
      <c r="G11" s="882"/>
      <c r="H11" s="882"/>
      <c r="I11" s="882"/>
      <c r="J11" s="882"/>
      <c r="K11" s="882"/>
      <c r="L11" s="878"/>
      <c r="M11" s="878"/>
      <c r="N11" s="878"/>
    </row>
    <row r="12" spans="1:14" s="529" customFormat="1" ht="19.5" customHeight="1">
      <c r="A12" s="383" t="s">
        <v>2</v>
      </c>
      <c r="B12" s="530" t="s">
        <v>3</v>
      </c>
      <c r="C12" s="383" t="s">
        <v>4</v>
      </c>
      <c r="D12" s="383" t="s">
        <v>5</v>
      </c>
      <c r="E12" s="383" t="s">
        <v>6</v>
      </c>
      <c r="F12" s="383">
        <v>1</v>
      </c>
      <c r="G12" s="383"/>
      <c r="H12" s="383"/>
      <c r="I12" s="383"/>
      <c r="J12" s="383"/>
      <c r="K12" s="383"/>
      <c r="L12" s="383"/>
      <c r="M12" s="383"/>
      <c r="N12" s="383"/>
    </row>
    <row r="13" spans="1:14" ht="19.5" customHeight="1">
      <c r="A13" s="531"/>
      <c r="B13" s="531"/>
      <c r="C13" s="532"/>
      <c r="D13" s="533" t="s">
        <v>7</v>
      </c>
      <c r="E13" s="531"/>
      <c r="F13" s="531"/>
      <c r="G13" s="531"/>
      <c r="H13" s="531"/>
      <c r="I13" s="531"/>
      <c r="J13" s="531"/>
      <c r="K13" s="531"/>
      <c r="L13" s="534">
        <f>CDPS!$D$36</f>
        <v>0</v>
      </c>
      <c r="M13" s="531"/>
      <c r="N13" s="531"/>
    </row>
    <row r="14" spans="1:14" ht="19.5" customHeight="1">
      <c r="A14" s="535">
        <v>40634</v>
      </c>
      <c r="B14" s="536" t="s">
        <v>409</v>
      </c>
      <c r="C14" s="535">
        <v>40634</v>
      </c>
      <c r="D14" s="537" t="s">
        <v>764</v>
      </c>
      <c r="E14" s="536" t="s">
        <v>44</v>
      </c>
      <c r="F14" s="537"/>
      <c r="G14" s="537"/>
      <c r="H14" s="537"/>
      <c r="I14" s="495">
        <v>1700000000</v>
      </c>
      <c r="J14" s="537"/>
      <c r="K14" s="537"/>
      <c r="L14" s="538">
        <f>L13+I14-G14</f>
        <v>1700000000</v>
      </c>
      <c r="M14" s="537"/>
      <c r="N14" s="537"/>
    </row>
    <row r="15" spans="1:14" ht="19.5" customHeight="1">
      <c r="A15" s="535">
        <v>40634</v>
      </c>
      <c r="B15" s="536" t="s">
        <v>410</v>
      </c>
      <c r="C15" s="535">
        <v>40634</v>
      </c>
      <c r="D15" s="539" t="s">
        <v>765</v>
      </c>
      <c r="E15" s="540" t="s">
        <v>44</v>
      </c>
      <c r="F15" s="539"/>
      <c r="G15" s="539"/>
      <c r="H15" s="539"/>
      <c r="I15" s="541">
        <v>100000000</v>
      </c>
      <c r="J15" s="539"/>
      <c r="K15" s="539"/>
      <c r="L15" s="538">
        <f t="shared" ref="L15:L16" si="0">L14+I15-G15</f>
        <v>1800000000</v>
      </c>
      <c r="M15" s="539"/>
      <c r="N15" s="539"/>
    </row>
    <row r="16" spans="1:14" ht="19.5" customHeight="1">
      <c r="A16" s="535">
        <v>40634</v>
      </c>
      <c r="B16" s="536" t="s">
        <v>637</v>
      </c>
      <c r="C16" s="535">
        <v>40634</v>
      </c>
      <c r="D16" s="539" t="s">
        <v>766</v>
      </c>
      <c r="E16" s="540" t="s">
        <v>44</v>
      </c>
      <c r="F16" s="539"/>
      <c r="G16" s="539"/>
      <c r="H16" s="539"/>
      <c r="I16" s="541">
        <v>100000000</v>
      </c>
      <c r="J16" s="539"/>
      <c r="K16" s="539"/>
      <c r="L16" s="538">
        <f t="shared" si="0"/>
        <v>1900000000</v>
      </c>
      <c r="M16" s="539"/>
      <c r="N16" s="539"/>
    </row>
    <row r="17" spans="1:14" ht="19.5" customHeight="1">
      <c r="A17" s="536"/>
      <c r="B17" s="537"/>
      <c r="C17" s="536"/>
      <c r="D17" s="539"/>
      <c r="E17" s="539"/>
      <c r="F17" s="539"/>
      <c r="G17" s="539"/>
      <c r="H17" s="539"/>
      <c r="I17" s="539"/>
      <c r="J17" s="539"/>
      <c r="K17" s="539"/>
      <c r="L17" s="539"/>
      <c r="M17" s="539"/>
      <c r="N17" s="539"/>
    </row>
    <row r="18" spans="1:14" ht="19.5" customHeight="1">
      <c r="A18" s="536"/>
      <c r="B18" s="537"/>
      <c r="C18" s="536"/>
      <c r="D18" s="542" t="s">
        <v>122</v>
      </c>
      <c r="E18" s="543" t="s">
        <v>18</v>
      </c>
      <c r="F18" s="544"/>
      <c r="G18" s="544"/>
      <c r="H18" s="544"/>
      <c r="I18" s="365">
        <f>SUM(I13:I17)</f>
        <v>1900000000</v>
      </c>
      <c r="J18" s="544"/>
      <c r="K18" s="544"/>
      <c r="L18" s="545">
        <f>L13+I18-F18</f>
        <v>1900000000</v>
      </c>
      <c r="M18" s="544"/>
      <c r="N18" s="544"/>
    </row>
    <row r="19" spans="1:14" ht="19.5" customHeight="1">
      <c r="A19" s="546"/>
      <c r="B19" s="546"/>
      <c r="C19" s="546"/>
      <c r="D19" s="547" t="s">
        <v>10</v>
      </c>
      <c r="E19" s="548" t="s">
        <v>18</v>
      </c>
      <c r="F19" s="546"/>
      <c r="G19" s="546"/>
      <c r="H19" s="546"/>
      <c r="I19" s="546"/>
      <c r="J19" s="546"/>
      <c r="K19" s="546"/>
      <c r="L19" s="549">
        <f>L13+L18</f>
        <v>1900000000</v>
      </c>
      <c r="M19" s="546"/>
      <c r="N19" s="546"/>
    </row>
    <row r="21" spans="1:14">
      <c r="C21" s="550" t="s">
        <v>175</v>
      </c>
    </row>
    <row r="22" spans="1:14">
      <c r="C22" s="447" t="str">
        <f>"- Ngày mở sổ: "&amp;DAY($A$15)&amp;"/"&amp;MONTH($A$15)&amp;"/ " &amp;YEAR($A$15)</f>
        <v>- Ngày mở sổ: 1/4/ 2011</v>
      </c>
    </row>
    <row r="23" spans="1:14">
      <c r="E23" s="867" t="str">
        <f>"Ngày 31 tháng  12  năm  "&amp;YEAR($A$14)</f>
        <v>Ngày 31 tháng  12  năm  2011</v>
      </c>
      <c r="F23" s="867"/>
      <c r="G23" s="867"/>
      <c r="H23" s="867"/>
      <c r="I23" s="867"/>
      <c r="J23" s="867"/>
      <c r="K23" s="867"/>
      <c r="L23" s="867"/>
      <c r="M23" s="867"/>
      <c r="N23" s="867"/>
    </row>
    <row r="24" spans="1:14">
      <c r="A24" s="867" t="s">
        <v>11</v>
      </c>
      <c r="B24" s="867"/>
      <c r="C24" s="867"/>
      <c r="D24" s="867"/>
      <c r="E24" s="867" t="s">
        <v>12</v>
      </c>
      <c r="F24" s="867"/>
      <c r="G24" s="867"/>
      <c r="H24" s="867"/>
      <c r="I24" s="867"/>
      <c r="J24" s="867"/>
      <c r="K24" s="867"/>
      <c r="L24" s="867"/>
      <c r="M24" s="867"/>
      <c r="N24" s="867"/>
    </row>
    <row r="25" spans="1:14">
      <c r="A25" s="867" t="s">
        <v>13</v>
      </c>
      <c r="B25" s="867"/>
      <c r="C25" s="867"/>
      <c r="D25" s="867"/>
      <c r="E25" s="867" t="s">
        <v>13</v>
      </c>
      <c r="F25" s="867"/>
      <c r="G25" s="867"/>
      <c r="H25" s="867"/>
      <c r="I25" s="867"/>
      <c r="J25" s="867"/>
      <c r="K25" s="867"/>
      <c r="L25" s="867"/>
      <c r="M25" s="867"/>
      <c r="N25" s="86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8" customFormat="1" ht="14.25" customHeight="1">
      <c r="B1" s="232" t="str">
        <f>TH!$A$1</f>
        <v>Đơn vị: CÔNG TY TNHH SX TM KIM DUNG PHÁT</v>
      </c>
      <c r="C1" s="149"/>
      <c r="D1" s="149"/>
      <c r="E1" s="149"/>
      <c r="F1" s="150"/>
      <c r="G1" s="150"/>
      <c r="H1" s="823" t="s">
        <v>176</v>
      </c>
      <c r="I1" s="823"/>
      <c r="J1" s="823"/>
      <c r="K1" s="823"/>
      <c r="L1" s="823"/>
      <c r="M1" s="377"/>
      <c r="N1" s="299"/>
    </row>
    <row r="2" spans="1:14" s="218" customFormat="1" ht="14.25" customHeight="1">
      <c r="B2" s="245" t="str">
        <f>TH!$A$2</f>
        <v>Địa chỉ: 1A227/1 Ấp 1, Phạm Văn Hai, Bình Chánh, TPHCM</v>
      </c>
      <c r="C2" s="151"/>
      <c r="D2" s="151"/>
      <c r="E2" s="151"/>
      <c r="F2" s="151"/>
      <c r="G2" s="151"/>
      <c r="H2" s="824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24"/>
      <c r="J2" s="824"/>
      <c r="K2" s="824"/>
      <c r="L2" s="824"/>
      <c r="M2" s="5"/>
      <c r="N2" s="299"/>
    </row>
    <row r="3" spans="1:14" s="218" customFormat="1" ht="14.25" customHeight="1">
      <c r="B3" s="151"/>
      <c r="C3" s="151"/>
      <c r="D3" s="151"/>
      <c r="E3" s="151"/>
      <c r="F3" s="151"/>
      <c r="G3" s="151"/>
      <c r="H3" s="824"/>
      <c r="I3" s="824"/>
      <c r="J3" s="824"/>
      <c r="K3" s="824"/>
      <c r="L3" s="824"/>
      <c r="M3" s="551"/>
      <c r="N3" s="299"/>
    </row>
    <row r="4" spans="1:14" s="152" customFormat="1" ht="51" customHeight="1">
      <c r="B4" s="886" t="s">
        <v>177</v>
      </c>
      <c r="C4" s="886"/>
      <c r="D4" s="886"/>
      <c r="E4" s="886"/>
      <c r="F4" s="886"/>
      <c r="G4" s="886"/>
      <c r="H4" s="886"/>
      <c r="I4" s="886"/>
      <c r="J4" s="886"/>
      <c r="K4" s="886"/>
      <c r="L4" s="886"/>
      <c r="N4" s="300"/>
    </row>
    <row r="5" spans="1:14" s="152" customFormat="1" ht="12.75" customHeight="1">
      <c r="B5" s="885" t="str">
        <f>"Năm: "&amp;YEAR(TH!$C$10)</f>
        <v>Năm: 2011</v>
      </c>
      <c r="C5" s="885"/>
      <c r="D5" s="885"/>
      <c r="E5" s="885"/>
      <c r="F5" s="885"/>
      <c r="G5" s="885"/>
      <c r="H5" s="885"/>
      <c r="I5" s="885"/>
      <c r="J5" s="885"/>
      <c r="K5" s="885"/>
      <c r="L5" s="885"/>
      <c r="N5" s="300"/>
    </row>
    <row r="6" spans="1:14" s="294" customFormat="1" ht="24" customHeight="1">
      <c r="C6" s="887" t="s">
        <v>178</v>
      </c>
      <c r="D6" s="887"/>
      <c r="E6" s="887"/>
      <c r="F6" s="887"/>
      <c r="G6" s="887"/>
      <c r="H6" s="887"/>
      <c r="I6" s="887"/>
      <c r="J6" s="887"/>
      <c r="K6" s="887"/>
      <c r="L6" s="887"/>
      <c r="N6" s="300"/>
    </row>
    <row r="7" spans="1:14" s="294" customFormat="1" ht="20.25" customHeight="1">
      <c r="B7" s="883" t="s">
        <v>32</v>
      </c>
      <c r="C7" s="888" t="s">
        <v>179</v>
      </c>
      <c r="D7" s="888" t="s">
        <v>180</v>
      </c>
      <c r="E7" s="890" t="s">
        <v>181</v>
      </c>
      <c r="F7" s="890"/>
      <c r="G7" s="891" t="s">
        <v>182</v>
      </c>
      <c r="H7" s="891"/>
      <c r="I7" s="891" t="s">
        <v>183</v>
      </c>
      <c r="J7" s="891"/>
      <c r="K7" s="891" t="s">
        <v>184</v>
      </c>
      <c r="L7" s="891"/>
      <c r="N7" s="300"/>
    </row>
    <row r="8" spans="1:14" s="294" customFormat="1" ht="20.25" customHeight="1">
      <c r="B8" s="884"/>
      <c r="C8" s="889"/>
      <c r="D8" s="889"/>
      <c r="E8" s="553" t="s">
        <v>185</v>
      </c>
      <c r="F8" s="553" t="s">
        <v>186</v>
      </c>
      <c r="G8" s="553" t="s">
        <v>185</v>
      </c>
      <c r="H8" s="553" t="s">
        <v>186</v>
      </c>
      <c r="I8" s="553" t="s">
        <v>185</v>
      </c>
      <c r="J8" s="553" t="s">
        <v>186</v>
      </c>
      <c r="K8" s="553" t="s">
        <v>185</v>
      </c>
      <c r="L8" s="553" t="s">
        <v>186</v>
      </c>
      <c r="N8" s="300"/>
    </row>
    <row r="9" spans="1:14" s="395" customFormat="1" ht="15">
      <c r="B9" s="554" t="s">
        <v>2</v>
      </c>
      <c r="C9" s="552" t="s">
        <v>3</v>
      </c>
      <c r="D9" s="552"/>
      <c r="E9" s="553">
        <v>1</v>
      </c>
      <c r="F9" s="553">
        <v>1</v>
      </c>
      <c r="G9" s="553">
        <v>2</v>
      </c>
      <c r="H9" s="553">
        <v>2</v>
      </c>
      <c r="I9" s="553">
        <v>3</v>
      </c>
      <c r="J9" s="553">
        <v>3</v>
      </c>
      <c r="K9" s="553">
        <v>4</v>
      </c>
      <c r="L9" s="553">
        <v>4</v>
      </c>
      <c r="N9" s="299"/>
    </row>
    <row r="10" spans="1:14" s="294" customFormat="1" ht="18" customHeight="1">
      <c r="A10" s="300" t="str">
        <f>IF(B10&lt;&gt;"","VL","")</f>
        <v>VL</v>
      </c>
      <c r="B10" s="555">
        <f>IF(C10&lt;&gt;"",ROW()-9,"")</f>
        <v>1</v>
      </c>
      <c r="C10" s="556" t="s">
        <v>365</v>
      </c>
      <c r="D10" s="557" t="s">
        <v>316</v>
      </c>
      <c r="E10" s="513"/>
      <c r="F10" s="513"/>
      <c r="G10" s="513">
        <f t="array" ref="G10">SUM(IF("1522"&amp;C10=KHN&amp;MH,SL))</f>
        <v>300</v>
      </c>
      <c r="H10" s="513">
        <f t="array" ref="H10">SUM(IF("1522"&amp;C10=KHN&amp;MH,TH))</f>
        <v>7300000</v>
      </c>
      <c r="I10" s="513">
        <f t="array" ref="I10">SUM(IF("1522"&amp;C10=KHC&amp;MH,SL))</f>
        <v>250</v>
      </c>
      <c r="J10" s="513">
        <f t="array" ref="J10">SUM(IF("1522"&amp;C10=KHC&amp;MH,TH))</f>
        <v>6050000</v>
      </c>
      <c r="K10" s="513">
        <f t="shared" ref="K10:L12" si="0">E10+G10-I10</f>
        <v>50</v>
      </c>
      <c r="L10" s="513">
        <f t="shared" si="0"/>
        <v>1250000</v>
      </c>
      <c r="M10" s="300"/>
      <c r="N10" s="300"/>
    </row>
    <row r="11" spans="1:14" s="294" customFormat="1" ht="18" customHeight="1">
      <c r="A11" s="300" t="str">
        <f t="shared" ref="A11:A14" si="1">IF(B11&lt;&gt;"","VL","")</f>
        <v>VL</v>
      </c>
      <c r="B11" s="555">
        <f t="shared" ref="B11:B12" si="2">IF(C11&lt;&gt;"",ROW()-9,"")</f>
        <v>2</v>
      </c>
      <c r="C11" s="556" t="s">
        <v>317</v>
      </c>
      <c r="D11" s="557" t="s">
        <v>316</v>
      </c>
      <c r="E11" s="495"/>
      <c r="F11" s="495"/>
      <c r="G11" s="513">
        <f t="array" ref="G11">SUM(IF("1522"&amp;C11=KHN&amp;MH,SL))</f>
        <v>96</v>
      </c>
      <c r="H11" s="513">
        <f t="array" ref="H11">SUM(IF("1522"&amp;C11=KHN&amp;MH,TH))</f>
        <v>4032000</v>
      </c>
      <c r="I11" s="513">
        <f t="array" ref="I11">SUM(IF("1522"&amp;C11=KHC&amp;MH,SL))</f>
        <v>96</v>
      </c>
      <c r="J11" s="513">
        <f t="array" ref="J11">SUM(IF("1522"&amp;C11=KHC&amp;MH,TH))</f>
        <v>4032000</v>
      </c>
      <c r="K11" s="495">
        <f t="shared" si="0"/>
        <v>0</v>
      </c>
      <c r="L11" s="495">
        <f t="shared" si="0"/>
        <v>0</v>
      </c>
      <c r="M11" s="300"/>
      <c r="N11" s="300"/>
    </row>
    <row r="12" spans="1:14" s="294" customFormat="1" ht="18" customHeight="1">
      <c r="A12" s="300" t="str">
        <f t="shared" si="1"/>
        <v>VL</v>
      </c>
      <c r="B12" s="555">
        <f t="shared" si="2"/>
        <v>3</v>
      </c>
      <c r="C12" s="556" t="s">
        <v>452</v>
      </c>
      <c r="D12" s="557" t="s">
        <v>316</v>
      </c>
      <c r="E12" s="495"/>
      <c r="F12" s="495"/>
      <c r="G12" s="513">
        <f t="array" ref="G12">SUM(IF("1522"&amp;C12=KHN&amp;MH,SL))</f>
        <v>11414.5</v>
      </c>
      <c r="H12" s="513">
        <f t="array" ref="H12">SUM(IF("1522"&amp;C12=KHN&amp;MH,TH))</f>
        <v>3810970</v>
      </c>
      <c r="I12" s="513">
        <f t="array" ref="I12">SUM(IF("1522"&amp;C12=KHC&amp;MH,SL))</f>
        <v>11414.5</v>
      </c>
      <c r="J12" s="513">
        <f t="array" ref="J12">SUM(IF("1522"&amp;C12=KHC&amp;MH,TH))</f>
        <v>3810970</v>
      </c>
      <c r="K12" s="495">
        <f t="shared" si="0"/>
        <v>0</v>
      </c>
      <c r="L12" s="495">
        <f t="shared" si="0"/>
        <v>0</v>
      </c>
      <c r="M12" s="300"/>
      <c r="N12" s="300"/>
    </row>
    <row r="13" spans="1:14" s="294" customFormat="1" ht="18.75" customHeight="1">
      <c r="A13" s="300" t="str">
        <f t="shared" si="1"/>
        <v/>
      </c>
      <c r="B13" s="555" t="str">
        <f>IF(C13&lt;&gt;"",ROW()-11,"")</f>
        <v/>
      </c>
      <c r="C13" s="558"/>
      <c r="D13" s="559"/>
      <c r="E13" s="541"/>
      <c r="F13" s="541"/>
      <c r="G13" s="513"/>
      <c r="H13" s="541"/>
      <c r="I13" s="541"/>
      <c r="J13" s="541"/>
      <c r="K13" s="541"/>
      <c r="L13" s="541"/>
      <c r="M13" s="300"/>
      <c r="N13" s="300"/>
    </row>
    <row r="14" spans="1:14" s="294" customFormat="1" ht="18.75" customHeight="1">
      <c r="A14" s="300" t="str">
        <f t="shared" si="1"/>
        <v/>
      </c>
      <c r="B14" s="554"/>
      <c r="C14" s="560" t="s">
        <v>315</v>
      </c>
      <c r="D14" s="503"/>
      <c r="E14" s="503">
        <f t="shared" ref="E14:L14" si="3">SUM(E10:E13)</f>
        <v>0</v>
      </c>
      <c r="F14" s="503">
        <f t="shared" si="3"/>
        <v>0</v>
      </c>
      <c r="G14" s="503">
        <f t="shared" si="3"/>
        <v>11810.5</v>
      </c>
      <c r="H14" s="503">
        <f t="shared" si="3"/>
        <v>15142970</v>
      </c>
      <c r="I14" s="503">
        <f t="shared" si="3"/>
        <v>11760.5</v>
      </c>
      <c r="J14" s="503">
        <f t="shared" si="3"/>
        <v>13892970</v>
      </c>
      <c r="K14" s="503">
        <f t="shared" si="3"/>
        <v>50</v>
      </c>
      <c r="L14" s="503">
        <f t="shared" si="3"/>
        <v>1250000</v>
      </c>
      <c r="M14" s="300"/>
      <c r="N14" s="300"/>
    </row>
    <row r="15" spans="1:14" s="294" customFormat="1" ht="18.75" customHeight="1">
      <c r="A15" s="300"/>
      <c r="B15" s="561"/>
      <c r="C15" s="562"/>
      <c r="D15" s="563"/>
      <c r="E15" s="563">
        <f>F14-F15</f>
        <v>0</v>
      </c>
      <c r="F15" s="563">
        <f>CDPS!C19</f>
        <v>0</v>
      </c>
      <c r="G15" s="563">
        <f>H14-H15</f>
        <v>0</v>
      </c>
      <c r="H15" s="563">
        <f>CDPS!E19</f>
        <v>15142970</v>
      </c>
      <c r="I15" s="563">
        <f>J14-J15</f>
        <v>0</v>
      </c>
      <c r="J15" s="563">
        <f>CDPS!F19</f>
        <v>13892970</v>
      </c>
      <c r="K15" s="563">
        <f>L14-L15</f>
        <v>0</v>
      </c>
      <c r="L15" s="563">
        <f>CDPS!G19</f>
        <v>1250000</v>
      </c>
      <c r="M15" s="300"/>
      <c r="N15" s="300"/>
    </row>
    <row r="16" spans="1:14" s="294" customFormat="1" ht="18.75" customHeight="1">
      <c r="A16" s="300" t="str">
        <f t="shared" ref="A16:A79" si="4">IF(B16&lt;&gt;"","NL","")</f>
        <v>NL</v>
      </c>
      <c r="B16" s="564">
        <f>IF(C16&lt;&gt;"",ROW()-(ROW()-1),"")</f>
        <v>1</v>
      </c>
      <c r="C16" s="565" t="s">
        <v>356</v>
      </c>
      <c r="D16" s="557" t="s">
        <v>360</v>
      </c>
      <c r="E16" s="513"/>
      <c r="F16" s="513"/>
      <c r="G16" s="513">
        <f t="array" ref="G16">SUM(IF("1521"&amp;C16=KHN&amp;MH,SL))</f>
        <v>130</v>
      </c>
      <c r="H16" s="513">
        <f t="array" ref="H16">SUM(IF("1521"&amp;C16=KHN&amp;MH,TH))</f>
        <v>3164980</v>
      </c>
      <c r="I16" s="513">
        <f t="array" ref="I16">SUM(IF("1521"&amp;C16=KHC&amp;MH,SL))</f>
        <v>130</v>
      </c>
      <c r="J16" s="513">
        <f t="array" ref="J16">SUM(IF("1521"&amp;C16=KHC&amp;MH,TH))</f>
        <v>3164980</v>
      </c>
      <c r="K16" s="513">
        <f t="shared" ref="K16:K48" si="5">E16+G16-I16</f>
        <v>0</v>
      </c>
      <c r="L16" s="513">
        <f t="shared" ref="L16:L48" si="6">F16+H16-J16</f>
        <v>0</v>
      </c>
      <c r="M16" s="300"/>
      <c r="N16" s="300"/>
    </row>
    <row r="17" spans="1:14" s="294" customFormat="1" ht="18.75" customHeight="1">
      <c r="A17" s="300" t="str">
        <f t="shared" si="4"/>
        <v>NL</v>
      </c>
      <c r="B17" s="555">
        <f t="shared" ref="B17:B49" si="7">IF(C17&lt;&gt;"",B16+1,"")</f>
        <v>2</v>
      </c>
      <c r="C17" s="566" t="s">
        <v>358</v>
      </c>
      <c r="D17" s="557" t="s">
        <v>360</v>
      </c>
      <c r="E17" s="495"/>
      <c r="F17" s="495"/>
      <c r="G17" s="513">
        <f t="array" ref="G17">SUM(IF("1521"&amp;C17=KHN&amp;MH,SL))</f>
        <v>60</v>
      </c>
      <c r="H17" s="513">
        <f t="array" ref="H17">SUM(IF("1521"&amp;C17=KHN&amp;MH,TH))</f>
        <v>844740</v>
      </c>
      <c r="I17" s="513">
        <f t="array" ref="I17">SUM(IF("1521"&amp;C17=KHC&amp;MH,SL))</f>
        <v>60</v>
      </c>
      <c r="J17" s="513">
        <f t="array" ref="J17">SUM(IF("1521"&amp;C17=KHC&amp;MH,TH))</f>
        <v>844740</v>
      </c>
      <c r="K17" s="495">
        <f t="shared" si="5"/>
        <v>0</v>
      </c>
      <c r="L17" s="495">
        <f t="shared" si="6"/>
        <v>0</v>
      </c>
      <c r="M17" s="300"/>
      <c r="N17" s="300"/>
    </row>
    <row r="18" spans="1:14" s="294" customFormat="1" ht="18.75" customHeight="1">
      <c r="A18" s="300" t="str">
        <f t="shared" si="4"/>
        <v>NL</v>
      </c>
      <c r="B18" s="555">
        <f t="shared" si="7"/>
        <v>3</v>
      </c>
      <c r="C18" s="566" t="s">
        <v>359</v>
      </c>
      <c r="D18" s="557" t="s">
        <v>360</v>
      </c>
      <c r="E18" s="495"/>
      <c r="F18" s="495"/>
      <c r="G18" s="513">
        <f t="array" ref="G18">SUM(IF("1521"&amp;C18=KHN&amp;MH,SL))</f>
        <v>50</v>
      </c>
      <c r="H18" s="513">
        <f t="array" ref="H18">SUM(IF("1521"&amp;C18=KHN&amp;MH,TH))</f>
        <v>1395050</v>
      </c>
      <c r="I18" s="513">
        <f t="array" ref="I18">SUM(IF("1521"&amp;C18=KHC&amp;MH,SL))</f>
        <v>50</v>
      </c>
      <c r="J18" s="513">
        <f t="array" ref="J18">SUM(IF("1521"&amp;C18=KHC&amp;MH,TH))</f>
        <v>1395050</v>
      </c>
      <c r="K18" s="495">
        <f t="shared" si="5"/>
        <v>0</v>
      </c>
      <c r="L18" s="495">
        <f t="shared" si="6"/>
        <v>0</v>
      </c>
      <c r="M18" s="300"/>
      <c r="N18" s="300"/>
    </row>
    <row r="19" spans="1:14" s="294" customFormat="1" ht="18.75" customHeight="1">
      <c r="A19" s="300" t="str">
        <f t="shared" si="4"/>
        <v>NL</v>
      </c>
      <c r="B19" s="555">
        <f t="shared" si="7"/>
        <v>4</v>
      </c>
      <c r="C19" s="566" t="s">
        <v>1377</v>
      </c>
      <c r="D19" s="557" t="s">
        <v>360</v>
      </c>
      <c r="E19" s="495"/>
      <c r="F19" s="495"/>
      <c r="G19" s="513">
        <f t="array" ref="G19">SUM(IF("1521"&amp;C19=KHN&amp;MH,SL))</f>
        <v>70</v>
      </c>
      <c r="H19" s="513">
        <f t="array" ref="H19">SUM(IF("1521"&amp;C19=KHN&amp;MH,TH))</f>
        <v>1184750</v>
      </c>
      <c r="I19" s="513">
        <f t="array" ref="I19">SUM(IF("1521"&amp;C19=KHC&amp;MH,SL))</f>
        <v>0</v>
      </c>
      <c r="J19" s="513">
        <f t="array" ref="J19">SUM(IF("1521"&amp;C19=KHC&amp;MH,TH))</f>
        <v>0</v>
      </c>
      <c r="K19" s="495">
        <f t="shared" ref="K19:K21" si="8">E19+G19-I19</f>
        <v>70</v>
      </c>
      <c r="L19" s="495">
        <f t="shared" ref="L19:L21" si="9">F19+H19-J19</f>
        <v>1184750</v>
      </c>
      <c r="M19" s="300"/>
      <c r="N19" s="300"/>
    </row>
    <row r="20" spans="1:14" s="294" customFormat="1" ht="18" customHeight="1">
      <c r="A20" s="300" t="str">
        <f t="shared" si="4"/>
        <v>NL</v>
      </c>
      <c r="B20" s="555">
        <f t="shared" si="7"/>
        <v>5</v>
      </c>
      <c r="C20" s="556" t="s">
        <v>362</v>
      </c>
      <c r="D20" s="557" t="s">
        <v>360</v>
      </c>
      <c r="E20" s="495"/>
      <c r="F20" s="495"/>
      <c r="G20" s="513">
        <f t="array" ref="G20">SUM(IF("1521"&amp;C20=KHN&amp;MH,SL))</f>
        <v>2500</v>
      </c>
      <c r="H20" s="513">
        <f t="array" ref="H20">SUM(IF("1521"&amp;C20=KHN&amp;MH,TH))</f>
        <v>15310000</v>
      </c>
      <c r="I20" s="513">
        <f t="array" ref="I20">SUM(IF("1521"&amp;C20=KHC&amp;MH,SL))</f>
        <v>2500</v>
      </c>
      <c r="J20" s="513">
        <f t="array" ref="J20">SUM(IF("1521"&amp;C20=KHC&amp;MH,TH))</f>
        <v>15310000</v>
      </c>
      <c r="K20" s="495">
        <f t="shared" si="8"/>
        <v>0</v>
      </c>
      <c r="L20" s="495">
        <f t="shared" si="9"/>
        <v>0</v>
      </c>
      <c r="M20" s="300"/>
      <c r="N20" s="300"/>
    </row>
    <row r="21" spans="1:14" s="294" customFormat="1" ht="18" customHeight="1">
      <c r="A21" s="300" t="str">
        <f t="shared" si="4"/>
        <v>NL</v>
      </c>
      <c r="B21" s="555">
        <f t="shared" si="7"/>
        <v>6</v>
      </c>
      <c r="C21" s="556" t="s">
        <v>364</v>
      </c>
      <c r="D21" s="557" t="s">
        <v>360</v>
      </c>
      <c r="E21" s="495"/>
      <c r="F21" s="495"/>
      <c r="G21" s="513">
        <f t="array" ref="G21">SUM(IF("1521"&amp;C21=KHN&amp;MH,SL))</f>
        <v>2500</v>
      </c>
      <c r="H21" s="513">
        <f t="array" ref="H21">SUM(IF("1521"&amp;C21=KHN&amp;MH,TH))</f>
        <v>11122500</v>
      </c>
      <c r="I21" s="513">
        <f t="array" ref="I21">SUM(IF("1521"&amp;C21=KHC&amp;MH,SL))</f>
        <v>2500</v>
      </c>
      <c r="J21" s="513">
        <f t="array" ref="J21">SUM(IF("1521"&amp;C21=KHC&amp;MH,TH))</f>
        <v>11122500</v>
      </c>
      <c r="K21" s="495">
        <f t="shared" si="8"/>
        <v>0</v>
      </c>
      <c r="L21" s="495">
        <f t="shared" si="9"/>
        <v>0</v>
      </c>
      <c r="M21" s="300"/>
      <c r="N21" s="300"/>
    </row>
    <row r="22" spans="1:14" s="294" customFormat="1" ht="18" customHeight="1">
      <c r="A22" s="300" t="str">
        <f t="shared" si="4"/>
        <v>NL</v>
      </c>
      <c r="B22" s="555">
        <f t="shared" si="7"/>
        <v>7</v>
      </c>
      <c r="C22" s="556" t="s">
        <v>376</v>
      </c>
      <c r="D22" s="557" t="s">
        <v>360</v>
      </c>
      <c r="E22" s="495"/>
      <c r="F22" s="495"/>
      <c r="G22" s="513">
        <f t="array" ref="G22">SUM(IF("1521"&amp;C22=KHN&amp;MH,SL))</f>
        <v>50</v>
      </c>
      <c r="H22" s="513">
        <f t="array" ref="H22">SUM(IF("1521"&amp;C22=KHN&amp;MH,TH))</f>
        <v>799900</v>
      </c>
      <c r="I22" s="513">
        <f t="array" ref="I22">SUM(IF("1521"&amp;C22=KHC&amp;MH,SL))</f>
        <v>50</v>
      </c>
      <c r="J22" s="513">
        <f t="array" ref="J22">SUM(IF("1521"&amp;C22=KHC&amp;MH,TH))</f>
        <v>799900</v>
      </c>
      <c r="K22" s="495">
        <f t="shared" si="5"/>
        <v>0</v>
      </c>
      <c r="L22" s="495">
        <f t="shared" si="6"/>
        <v>0</v>
      </c>
      <c r="M22" s="300"/>
      <c r="N22" s="300"/>
    </row>
    <row r="23" spans="1:14" s="294" customFormat="1" ht="18" customHeight="1">
      <c r="A23" s="300" t="str">
        <f t="shared" si="4"/>
        <v>NL</v>
      </c>
      <c r="B23" s="555">
        <f t="shared" si="7"/>
        <v>8</v>
      </c>
      <c r="C23" s="556" t="s">
        <v>377</v>
      </c>
      <c r="D23" s="557" t="s">
        <v>360</v>
      </c>
      <c r="E23" s="495"/>
      <c r="F23" s="495"/>
      <c r="G23" s="513">
        <f t="array" ref="G23">SUM(IF("1521"&amp;C23=KHN&amp;MH,SL))</f>
        <v>50</v>
      </c>
      <c r="H23" s="513">
        <f t="array" ref="H23">SUM(IF("1521"&amp;C23=KHN&amp;MH,TH))</f>
        <v>541500</v>
      </c>
      <c r="I23" s="513">
        <f t="array" ref="I23">SUM(IF("1521"&amp;C23=KHC&amp;MH,SL))</f>
        <v>50</v>
      </c>
      <c r="J23" s="513">
        <f t="array" ref="J23">SUM(IF("1521"&amp;C23=KHC&amp;MH,TH))</f>
        <v>541500</v>
      </c>
      <c r="K23" s="495">
        <f t="shared" si="5"/>
        <v>0</v>
      </c>
      <c r="L23" s="495">
        <f t="shared" si="6"/>
        <v>0</v>
      </c>
      <c r="M23" s="300"/>
      <c r="N23" s="300"/>
    </row>
    <row r="24" spans="1:14" s="294" customFormat="1" ht="18" customHeight="1">
      <c r="A24" s="300" t="str">
        <f t="shared" si="4"/>
        <v>NL</v>
      </c>
      <c r="B24" s="555">
        <f t="shared" si="7"/>
        <v>9</v>
      </c>
      <c r="C24" s="556" t="s">
        <v>378</v>
      </c>
      <c r="D24" s="557" t="s">
        <v>360</v>
      </c>
      <c r="E24" s="495"/>
      <c r="F24" s="495"/>
      <c r="G24" s="513">
        <f t="array" ref="G24">SUM(IF("1521"&amp;C24=KHN&amp;MH,SL))</f>
        <v>10</v>
      </c>
      <c r="H24" s="513">
        <f t="array" ref="H24">SUM(IF("1521"&amp;C24=KHN&amp;MH,TH))</f>
        <v>367920</v>
      </c>
      <c r="I24" s="513">
        <f t="array" ref="I24">SUM(IF("1521"&amp;C24=KHC&amp;MH,SL))</f>
        <v>10</v>
      </c>
      <c r="J24" s="513">
        <f t="array" ref="J24">SUM(IF("1521"&amp;C24=KHC&amp;MH,TH))</f>
        <v>367920</v>
      </c>
      <c r="K24" s="495">
        <f t="shared" si="5"/>
        <v>0</v>
      </c>
      <c r="L24" s="495">
        <f t="shared" si="6"/>
        <v>0</v>
      </c>
      <c r="M24" s="300"/>
      <c r="N24" s="300"/>
    </row>
    <row r="25" spans="1:14" s="294" customFormat="1" ht="18" customHeight="1">
      <c r="A25" s="300" t="str">
        <f t="shared" si="4"/>
        <v>NL</v>
      </c>
      <c r="B25" s="555">
        <f t="shared" si="7"/>
        <v>10</v>
      </c>
      <c r="C25" s="556" t="s">
        <v>379</v>
      </c>
      <c r="D25" s="557" t="s">
        <v>360</v>
      </c>
      <c r="E25" s="495"/>
      <c r="F25" s="495"/>
      <c r="G25" s="513">
        <f t="array" ref="G25">SUM(IF("1521"&amp;C25=KHN&amp;MH,SL))</f>
        <v>152</v>
      </c>
      <c r="H25" s="513">
        <f t="array" ref="H25">SUM(IF("1521"&amp;C25=KHN&amp;MH,TH))</f>
        <v>3697400</v>
      </c>
      <c r="I25" s="513">
        <f t="array" ref="I25">SUM(IF("1521"&amp;C25=KHC&amp;MH,SL))</f>
        <v>152</v>
      </c>
      <c r="J25" s="513">
        <f t="array" ref="J25">SUM(IF("1521"&amp;C25=KHC&amp;MH,TH))</f>
        <v>3697400</v>
      </c>
      <c r="K25" s="495">
        <f t="shared" si="5"/>
        <v>0</v>
      </c>
      <c r="L25" s="495">
        <f t="shared" si="6"/>
        <v>0</v>
      </c>
      <c r="M25" s="300"/>
      <c r="N25" s="300"/>
    </row>
    <row r="26" spans="1:14" s="294" customFormat="1" ht="18" customHeight="1">
      <c r="A26" s="300" t="str">
        <f t="shared" si="4"/>
        <v>NL</v>
      </c>
      <c r="B26" s="555">
        <f t="shared" si="7"/>
        <v>11</v>
      </c>
      <c r="C26" s="566" t="s">
        <v>455</v>
      </c>
      <c r="D26" s="557" t="s">
        <v>360</v>
      </c>
      <c r="E26" s="495"/>
      <c r="F26" s="495"/>
      <c r="G26" s="513">
        <f t="array" ref="G26">SUM(IF("1521"&amp;C26=KHN&amp;MH,SL))</f>
        <v>3010</v>
      </c>
      <c r="H26" s="513">
        <f t="array" ref="H26">SUM(IF("1521"&amp;C26=KHN&amp;MH,TH))</f>
        <v>13821920</v>
      </c>
      <c r="I26" s="513">
        <f t="array" ref="I26">SUM(IF("1521"&amp;C26=KHC&amp;MH,SL))</f>
        <v>3010</v>
      </c>
      <c r="J26" s="513">
        <f t="array" ref="J26">SUM(IF("1521"&amp;C26=KHC&amp;MH,TH))</f>
        <v>13821920</v>
      </c>
      <c r="K26" s="495">
        <f t="shared" si="5"/>
        <v>0</v>
      </c>
      <c r="L26" s="495">
        <f t="shared" si="6"/>
        <v>0</v>
      </c>
      <c r="M26" s="300"/>
      <c r="N26" s="300"/>
    </row>
    <row r="27" spans="1:14" s="294" customFormat="1" ht="18" customHeight="1">
      <c r="A27" s="300" t="str">
        <f t="shared" si="4"/>
        <v>NL</v>
      </c>
      <c r="B27" s="555">
        <f t="shared" si="7"/>
        <v>12</v>
      </c>
      <c r="C27" s="566" t="s">
        <v>456</v>
      </c>
      <c r="D27" s="557" t="s">
        <v>360</v>
      </c>
      <c r="E27" s="495"/>
      <c r="F27" s="495"/>
      <c r="G27" s="513">
        <f t="array" ref="G27">SUM(IF("1521"&amp;C27=KHN&amp;MH,SL))</f>
        <v>3010</v>
      </c>
      <c r="H27" s="513">
        <f t="array" ref="H27">SUM(IF("1521"&amp;C27=KHN&amp;MH,TH))</f>
        <v>18138260</v>
      </c>
      <c r="I27" s="513">
        <f t="array" ref="I27">SUM(IF("1521"&amp;C27=KHC&amp;MH,SL))</f>
        <v>3010</v>
      </c>
      <c r="J27" s="513">
        <f t="array" ref="J27">SUM(IF("1521"&amp;C27=KHC&amp;MH,TH))</f>
        <v>18138260</v>
      </c>
      <c r="K27" s="495">
        <f t="shared" si="5"/>
        <v>0</v>
      </c>
      <c r="L27" s="495">
        <f t="shared" si="6"/>
        <v>0</v>
      </c>
      <c r="M27" s="300"/>
      <c r="N27" s="300"/>
    </row>
    <row r="28" spans="1:14" s="294" customFormat="1" ht="18" customHeight="1">
      <c r="A28" s="300" t="str">
        <f t="shared" si="4"/>
        <v>NL</v>
      </c>
      <c r="B28" s="555">
        <f t="shared" si="7"/>
        <v>13</v>
      </c>
      <c r="C28" s="566" t="s">
        <v>457</v>
      </c>
      <c r="D28" s="557" t="s">
        <v>360</v>
      </c>
      <c r="E28" s="495"/>
      <c r="F28" s="495"/>
      <c r="G28" s="513">
        <f t="array" ref="G28">SUM(IF("1521"&amp;C28=KHN&amp;MH,SL))</f>
        <v>235</v>
      </c>
      <c r="H28" s="513">
        <f t="array" ref="H28">SUM(IF("1521"&amp;C28=KHN&amp;MH,TH))</f>
        <v>3789375</v>
      </c>
      <c r="I28" s="513">
        <f t="array" ref="I28">SUM(IF("1521"&amp;C28=KHC&amp;MH,SL))</f>
        <v>235</v>
      </c>
      <c r="J28" s="513">
        <f t="array" ref="J28">SUM(IF("1521"&amp;C28=KHC&amp;MH,TH))</f>
        <v>3789375</v>
      </c>
      <c r="K28" s="495">
        <f t="shared" si="5"/>
        <v>0</v>
      </c>
      <c r="L28" s="495">
        <f t="shared" si="6"/>
        <v>0</v>
      </c>
      <c r="M28" s="300"/>
      <c r="N28" s="300"/>
    </row>
    <row r="29" spans="1:14" s="294" customFormat="1" ht="18" customHeight="1">
      <c r="A29" s="300" t="str">
        <f t="shared" si="4"/>
        <v>NL</v>
      </c>
      <c r="B29" s="555">
        <f t="shared" si="7"/>
        <v>14</v>
      </c>
      <c r="C29" s="566" t="s">
        <v>458</v>
      </c>
      <c r="D29" s="557" t="s">
        <v>360</v>
      </c>
      <c r="E29" s="495"/>
      <c r="F29" s="495"/>
      <c r="G29" s="513">
        <f t="array" ref="G29">SUM(IF("1521"&amp;C29=KHN&amp;MH,SL))</f>
        <v>1500</v>
      </c>
      <c r="H29" s="513">
        <f t="array" ref="H29">SUM(IF("1521"&amp;C29=KHN&amp;MH,TH))</f>
        <v>37800000</v>
      </c>
      <c r="I29" s="513">
        <f t="array" ref="I29">SUM(IF("1521"&amp;C29=KHC&amp;MH,SL))</f>
        <v>1500</v>
      </c>
      <c r="J29" s="513">
        <f t="array" ref="J29">SUM(IF("1521"&amp;C29=KHC&amp;MH,TH))</f>
        <v>37800000</v>
      </c>
      <c r="K29" s="495">
        <f t="shared" si="5"/>
        <v>0</v>
      </c>
      <c r="L29" s="495">
        <f t="shared" si="6"/>
        <v>0</v>
      </c>
      <c r="M29" s="300"/>
      <c r="N29" s="300"/>
    </row>
    <row r="30" spans="1:14" s="294" customFormat="1" ht="18" customHeight="1">
      <c r="A30" s="300" t="str">
        <f t="shared" si="4"/>
        <v>NL</v>
      </c>
      <c r="B30" s="555">
        <f t="shared" si="7"/>
        <v>15</v>
      </c>
      <c r="C30" s="566" t="s">
        <v>459</v>
      </c>
      <c r="D30" s="557" t="s">
        <v>360</v>
      </c>
      <c r="E30" s="495"/>
      <c r="F30" s="495"/>
      <c r="G30" s="513">
        <f t="array" ref="G30">SUM(IF("1521"&amp;C30=KHN&amp;MH,SL))</f>
        <v>447</v>
      </c>
      <c r="H30" s="513">
        <f t="array" ref="H30">SUM(IF("1521"&amp;C30=KHN&amp;MH,TH))</f>
        <v>12390840</v>
      </c>
      <c r="I30" s="513">
        <f t="array" ref="I30">SUM(IF("1521"&amp;C30=KHC&amp;MH,SL))</f>
        <v>447</v>
      </c>
      <c r="J30" s="513">
        <f t="array" ref="J30">SUM(IF("1521"&amp;C30=KHC&amp;MH,TH))</f>
        <v>12390840</v>
      </c>
      <c r="K30" s="495">
        <f t="shared" si="5"/>
        <v>0</v>
      </c>
      <c r="L30" s="495">
        <f t="shared" si="6"/>
        <v>0</v>
      </c>
      <c r="M30" s="300"/>
      <c r="N30" s="300"/>
    </row>
    <row r="31" spans="1:14" s="294" customFormat="1" ht="18" customHeight="1">
      <c r="A31" s="300" t="str">
        <f t="shared" si="4"/>
        <v>NL</v>
      </c>
      <c r="B31" s="555">
        <f t="shared" si="7"/>
        <v>16</v>
      </c>
      <c r="C31" s="566" t="s">
        <v>460</v>
      </c>
      <c r="D31" s="557" t="s">
        <v>360</v>
      </c>
      <c r="E31" s="495"/>
      <c r="F31" s="495"/>
      <c r="G31" s="513">
        <f t="array" ref="G31">SUM(IF("1521"&amp;C31=KHN&amp;MH,SL))</f>
        <v>52</v>
      </c>
      <c r="H31" s="513">
        <f t="array" ref="H31">SUM(IF("1521"&amp;C31=KHN&amp;MH,TH))</f>
        <v>1840280</v>
      </c>
      <c r="I31" s="513">
        <f t="array" ref="I31">SUM(IF("1521"&amp;C31=KHC&amp;MH,SL))</f>
        <v>52</v>
      </c>
      <c r="J31" s="513">
        <f t="array" ref="J31">SUM(IF("1521"&amp;C31=KHC&amp;MH,TH))</f>
        <v>1840280</v>
      </c>
      <c r="K31" s="495">
        <f t="shared" si="5"/>
        <v>0</v>
      </c>
      <c r="L31" s="495">
        <f t="shared" si="6"/>
        <v>0</v>
      </c>
      <c r="M31" s="300"/>
      <c r="N31" s="300"/>
    </row>
    <row r="32" spans="1:14" s="294" customFormat="1" ht="18" customHeight="1">
      <c r="A32" s="300" t="str">
        <f t="shared" si="4"/>
        <v>NL</v>
      </c>
      <c r="B32" s="555">
        <f t="shared" si="7"/>
        <v>17</v>
      </c>
      <c r="C32" s="556" t="s">
        <v>461</v>
      </c>
      <c r="D32" s="557" t="s">
        <v>360</v>
      </c>
      <c r="E32" s="495"/>
      <c r="F32" s="495"/>
      <c r="G32" s="513">
        <f t="array" ref="G32">SUM(IF("1521"&amp;C32=KHN&amp;MH,SL))</f>
        <v>230</v>
      </c>
      <c r="H32" s="513">
        <f t="array" ref="H32">SUM(IF("1521"&amp;C32=KHN&amp;MH,TH))</f>
        <v>4395760</v>
      </c>
      <c r="I32" s="513">
        <f t="array" ref="I32">SUM(IF("1521"&amp;C32=KHC&amp;MH,SL))</f>
        <v>230</v>
      </c>
      <c r="J32" s="513">
        <f t="array" ref="J32">SUM(IF("1521"&amp;C32=KHC&amp;MH,TH))</f>
        <v>4395760</v>
      </c>
      <c r="K32" s="495">
        <f t="shared" si="5"/>
        <v>0</v>
      </c>
      <c r="L32" s="495">
        <f t="shared" si="6"/>
        <v>0</v>
      </c>
      <c r="M32" s="300"/>
      <c r="N32" s="300"/>
    </row>
    <row r="33" spans="1:14" s="294" customFormat="1" ht="18" customHeight="1">
      <c r="A33" s="300" t="str">
        <f t="shared" si="4"/>
        <v>NL</v>
      </c>
      <c r="B33" s="555">
        <f t="shared" si="7"/>
        <v>18</v>
      </c>
      <c r="C33" s="556" t="s">
        <v>462</v>
      </c>
      <c r="D33" s="557" t="s">
        <v>360</v>
      </c>
      <c r="E33" s="495"/>
      <c r="F33" s="495"/>
      <c r="G33" s="513">
        <f t="array" ref="G33">SUM(IF("1521"&amp;C33=KHN&amp;MH,SL))</f>
        <v>95</v>
      </c>
      <c r="H33" s="513">
        <f t="array" ref="H33">SUM(IF("1521"&amp;C33=KHN&amp;MH,TH))</f>
        <v>3042375</v>
      </c>
      <c r="I33" s="513">
        <f t="array" ref="I33">SUM(IF("1521"&amp;C33=KHC&amp;MH,SL))</f>
        <v>95</v>
      </c>
      <c r="J33" s="513">
        <f t="array" ref="J33">SUM(IF("1521"&amp;C33=KHC&amp;MH,TH))</f>
        <v>3042375</v>
      </c>
      <c r="K33" s="495">
        <f t="shared" si="5"/>
        <v>0</v>
      </c>
      <c r="L33" s="495">
        <f t="shared" si="6"/>
        <v>0</v>
      </c>
      <c r="M33" s="300"/>
      <c r="N33" s="300"/>
    </row>
    <row r="34" spans="1:14" s="294" customFormat="1" ht="18" customHeight="1">
      <c r="A34" s="300" t="str">
        <f t="shared" si="4"/>
        <v>NL</v>
      </c>
      <c r="B34" s="555">
        <f t="shared" si="7"/>
        <v>19</v>
      </c>
      <c r="C34" s="556" t="s">
        <v>465</v>
      </c>
      <c r="D34" s="557" t="s">
        <v>360</v>
      </c>
      <c r="E34" s="495"/>
      <c r="F34" s="495"/>
      <c r="G34" s="513">
        <f t="array" ref="G34">SUM(IF("1521"&amp;C34=KHN&amp;MH,SL))</f>
        <v>90</v>
      </c>
      <c r="H34" s="513">
        <f t="array" ref="H34">SUM(IF("1521"&amp;C34=KHN&amp;MH,TH))</f>
        <v>1455570</v>
      </c>
      <c r="I34" s="513">
        <f t="array" ref="I34">SUM(IF("1521"&amp;C34=KHC&amp;MH,SL))</f>
        <v>90</v>
      </c>
      <c r="J34" s="513">
        <f t="array" ref="J34">SUM(IF("1521"&amp;C34=KHC&amp;MH,TH))</f>
        <v>1455570</v>
      </c>
      <c r="K34" s="495">
        <f t="shared" si="5"/>
        <v>0</v>
      </c>
      <c r="L34" s="495">
        <f t="shared" si="6"/>
        <v>0</v>
      </c>
      <c r="M34" s="300"/>
      <c r="N34" s="300"/>
    </row>
    <row r="35" spans="1:14" s="294" customFormat="1" ht="18" customHeight="1">
      <c r="A35" s="300" t="str">
        <f t="shared" si="4"/>
        <v>NL</v>
      </c>
      <c r="B35" s="555">
        <f t="shared" si="7"/>
        <v>20</v>
      </c>
      <c r="C35" s="556" t="s">
        <v>466</v>
      </c>
      <c r="D35" s="557" t="s">
        <v>360</v>
      </c>
      <c r="E35" s="495"/>
      <c r="F35" s="495"/>
      <c r="G35" s="513">
        <f t="array" ref="G35">SUM(IF("1521"&amp;C35=KHN&amp;MH,SL))</f>
        <v>912</v>
      </c>
      <c r="H35" s="513">
        <f t="array" ref="H35">SUM(IF("1521"&amp;C35=KHN&amp;MH,TH))</f>
        <v>15435600</v>
      </c>
      <c r="I35" s="513">
        <f t="array" ref="I35">SUM(IF("1521"&amp;C35=KHC&amp;MH,SL))</f>
        <v>912</v>
      </c>
      <c r="J35" s="513">
        <f t="array" ref="J35">SUM(IF("1521"&amp;C35=KHC&amp;MH,TH))</f>
        <v>15435600</v>
      </c>
      <c r="K35" s="495">
        <f t="shared" si="5"/>
        <v>0</v>
      </c>
      <c r="L35" s="495">
        <f t="shared" si="6"/>
        <v>0</v>
      </c>
      <c r="M35" s="300"/>
      <c r="N35" s="300"/>
    </row>
    <row r="36" spans="1:14" s="294" customFormat="1" ht="18" customHeight="1">
      <c r="A36" s="300" t="str">
        <f t="shared" si="4"/>
        <v>NL</v>
      </c>
      <c r="B36" s="555">
        <f t="shared" si="7"/>
        <v>21</v>
      </c>
      <c r="C36" s="556" t="s">
        <v>467</v>
      </c>
      <c r="D36" s="557" t="s">
        <v>360</v>
      </c>
      <c r="E36" s="495"/>
      <c r="F36" s="495"/>
      <c r="G36" s="513">
        <f t="array" ref="G36">SUM(IF("1521"&amp;C36=KHN&amp;MH,SL))</f>
        <v>828</v>
      </c>
      <c r="H36" s="513">
        <f t="array" ref="H36">SUM(IF("1521"&amp;C36=KHN&amp;MH,TH))</f>
        <v>14429556</v>
      </c>
      <c r="I36" s="513">
        <f t="array" ref="I36">SUM(IF("1521"&amp;C36=KHC&amp;MH,SL))</f>
        <v>828</v>
      </c>
      <c r="J36" s="513">
        <f t="array" ref="J36">SUM(IF("1521"&amp;C36=KHC&amp;MH,TH))</f>
        <v>14429556</v>
      </c>
      <c r="K36" s="495">
        <f t="shared" si="5"/>
        <v>0</v>
      </c>
      <c r="L36" s="495">
        <f t="shared" si="6"/>
        <v>0</v>
      </c>
      <c r="M36" s="300"/>
      <c r="N36" s="300"/>
    </row>
    <row r="37" spans="1:14" s="294" customFormat="1" ht="18" customHeight="1">
      <c r="A37" s="300" t="str">
        <f t="shared" si="4"/>
        <v>NL</v>
      </c>
      <c r="B37" s="555">
        <f t="shared" si="7"/>
        <v>22</v>
      </c>
      <c r="C37" s="556" t="s">
        <v>468</v>
      </c>
      <c r="D37" s="557" t="s">
        <v>360</v>
      </c>
      <c r="E37" s="495"/>
      <c r="F37" s="495"/>
      <c r="G37" s="513">
        <f t="array" ref="G37">SUM(IF("1521"&amp;C37=KHN&amp;MH,SL))</f>
        <v>640</v>
      </c>
      <c r="H37" s="513">
        <f t="array" ref="H37">SUM(IF("1521"&amp;C37=KHN&amp;MH,TH))</f>
        <v>14434560</v>
      </c>
      <c r="I37" s="513">
        <f t="array" ref="I37">SUM(IF("1521"&amp;C37=KHC&amp;MH,SL))</f>
        <v>640</v>
      </c>
      <c r="J37" s="513">
        <f t="array" ref="J37">SUM(IF("1521"&amp;C37=KHC&amp;MH,TH))</f>
        <v>14434560</v>
      </c>
      <c r="K37" s="495">
        <f t="shared" si="5"/>
        <v>0</v>
      </c>
      <c r="L37" s="495">
        <f t="shared" si="6"/>
        <v>0</v>
      </c>
      <c r="M37" s="300"/>
      <c r="N37" s="300"/>
    </row>
    <row r="38" spans="1:14" s="294" customFormat="1" ht="18" customHeight="1">
      <c r="A38" s="300" t="str">
        <f t="shared" si="4"/>
        <v>NL</v>
      </c>
      <c r="B38" s="555">
        <f t="shared" si="7"/>
        <v>23</v>
      </c>
      <c r="C38" s="556" t="s">
        <v>469</v>
      </c>
      <c r="D38" s="557" t="s">
        <v>360</v>
      </c>
      <c r="E38" s="495"/>
      <c r="F38" s="495"/>
      <c r="G38" s="513">
        <f t="array" ref="G38">SUM(IF("1521"&amp;C38=KHN&amp;MH,SL))</f>
        <v>415</v>
      </c>
      <c r="H38" s="513">
        <f t="array" ref="H38">SUM(IF("1521"&amp;C38=KHN&amp;MH,TH))</f>
        <v>9842140</v>
      </c>
      <c r="I38" s="513">
        <f t="array" ref="I38">SUM(IF("1521"&amp;C38=KHC&amp;MH,SL))</f>
        <v>415</v>
      </c>
      <c r="J38" s="513">
        <f t="array" ref="J38">SUM(IF("1521"&amp;C38=KHC&amp;MH,TH))</f>
        <v>9842140</v>
      </c>
      <c r="K38" s="495">
        <f t="shared" si="5"/>
        <v>0</v>
      </c>
      <c r="L38" s="495">
        <f t="shared" si="6"/>
        <v>0</v>
      </c>
      <c r="M38" s="300"/>
      <c r="N38" s="300"/>
    </row>
    <row r="39" spans="1:14" s="294" customFormat="1" ht="18" customHeight="1">
      <c r="A39" s="300" t="str">
        <f t="shared" si="4"/>
        <v>NL</v>
      </c>
      <c r="B39" s="555">
        <f t="shared" si="7"/>
        <v>24</v>
      </c>
      <c r="C39" s="556" t="s">
        <v>470</v>
      </c>
      <c r="D39" s="557" t="s">
        <v>360</v>
      </c>
      <c r="E39" s="495"/>
      <c r="F39" s="495"/>
      <c r="G39" s="513">
        <f t="array" ref="G39">SUM(IF("1521"&amp;C39=KHN&amp;MH,SL))</f>
        <v>202</v>
      </c>
      <c r="H39" s="513">
        <f t="array" ref="H39">SUM(IF("1521"&amp;C39=KHN&amp;MH,TH))</f>
        <v>4606812</v>
      </c>
      <c r="I39" s="513">
        <f t="array" ref="I39">SUM(IF("1521"&amp;C39=KHC&amp;MH,SL))</f>
        <v>202</v>
      </c>
      <c r="J39" s="513">
        <f t="array" ref="J39">SUM(IF("1521"&amp;C39=KHC&amp;MH,TH))</f>
        <v>4606812</v>
      </c>
      <c r="K39" s="495">
        <f t="shared" si="5"/>
        <v>0</v>
      </c>
      <c r="L39" s="495">
        <f t="shared" si="6"/>
        <v>0</v>
      </c>
      <c r="M39" s="300"/>
      <c r="N39" s="300"/>
    </row>
    <row r="40" spans="1:14" s="294" customFormat="1" ht="18" customHeight="1">
      <c r="A40" s="300" t="str">
        <f t="shared" si="4"/>
        <v>NL</v>
      </c>
      <c r="B40" s="555">
        <f t="shared" si="7"/>
        <v>25</v>
      </c>
      <c r="C40" s="556" t="s">
        <v>471</v>
      </c>
      <c r="D40" s="557" t="s">
        <v>360</v>
      </c>
      <c r="E40" s="495"/>
      <c r="F40" s="495"/>
      <c r="G40" s="513">
        <f t="array" ref="G40">SUM(IF("1521"&amp;C40=KHN&amp;MH,SL))</f>
        <v>202</v>
      </c>
      <c r="H40" s="513">
        <f t="array" ref="H40">SUM(IF("1521"&amp;C40=KHN&amp;MH,TH))</f>
        <v>3994146</v>
      </c>
      <c r="I40" s="513">
        <f t="array" ref="I40">SUM(IF("1521"&amp;C40=KHC&amp;MH,SL))</f>
        <v>202</v>
      </c>
      <c r="J40" s="513">
        <f t="array" ref="J40">SUM(IF("1521"&amp;C40=KHC&amp;MH,TH))</f>
        <v>3994146</v>
      </c>
      <c r="K40" s="495">
        <f t="shared" si="5"/>
        <v>0</v>
      </c>
      <c r="L40" s="495">
        <f t="shared" si="6"/>
        <v>0</v>
      </c>
      <c r="M40" s="300"/>
      <c r="N40" s="300"/>
    </row>
    <row r="41" spans="1:14" s="294" customFormat="1" ht="18" customHeight="1">
      <c r="A41" s="300" t="str">
        <f t="shared" si="4"/>
        <v>NL</v>
      </c>
      <c r="B41" s="555">
        <f t="shared" si="7"/>
        <v>26</v>
      </c>
      <c r="C41" s="556" t="s">
        <v>472</v>
      </c>
      <c r="D41" s="557" t="s">
        <v>360</v>
      </c>
      <c r="E41" s="495"/>
      <c r="F41" s="495"/>
      <c r="G41" s="513">
        <f t="array" ref="G41">SUM(IF("1521"&amp;C41=KHN&amp;MH,SL))</f>
        <v>52</v>
      </c>
      <c r="H41" s="513">
        <f t="array" ref="H41">SUM(IF("1521"&amp;C41=KHN&amp;MH,TH))</f>
        <v>2283008</v>
      </c>
      <c r="I41" s="513">
        <f t="array" ref="I41">SUM(IF("1521"&amp;C41=KHC&amp;MH,SL))</f>
        <v>52</v>
      </c>
      <c r="J41" s="513">
        <f t="array" ref="J41">SUM(IF("1521"&amp;C41=KHC&amp;MH,TH))</f>
        <v>2283008</v>
      </c>
      <c r="K41" s="495">
        <f t="shared" si="5"/>
        <v>0</v>
      </c>
      <c r="L41" s="495">
        <f t="shared" si="6"/>
        <v>0</v>
      </c>
      <c r="M41" s="300"/>
      <c r="N41" s="300"/>
    </row>
    <row r="42" spans="1:14" s="294" customFormat="1" ht="18" customHeight="1">
      <c r="A42" s="300" t="str">
        <f t="shared" si="4"/>
        <v>NL</v>
      </c>
      <c r="B42" s="555">
        <f t="shared" si="7"/>
        <v>27</v>
      </c>
      <c r="C42" s="556" t="s">
        <v>474</v>
      </c>
      <c r="D42" s="557" t="s">
        <v>360</v>
      </c>
      <c r="E42" s="495"/>
      <c r="F42" s="495"/>
      <c r="G42" s="513">
        <f t="array" ref="G42">SUM(IF("1521"&amp;C42=KHN&amp;MH,SL))</f>
        <v>598</v>
      </c>
      <c r="H42" s="513">
        <f t="array" ref="H42">SUM(IF("1521"&amp;C42=KHN&amp;MH,TH))</f>
        <v>6929026</v>
      </c>
      <c r="I42" s="513">
        <f t="array" ref="I42">SUM(IF("1521"&amp;C42=KHC&amp;MH,SL))</f>
        <v>598</v>
      </c>
      <c r="J42" s="513">
        <f t="array" ref="J42">SUM(IF("1521"&amp;C42=KHC&amp;MH,TH))</f>
        <v>6929026</v>
      </c>
      <c r="K42" s="495">
        <f t="shared" si="5"/>
        <v>0</v>
      </c>
      <c r="L42" s="495">
        <f t="shared" si="6"/>
        <v>0</v>
      </c>
      <c r="M42" s="300"/>
      <c r="N42" s="300"/>
    </row>
    <row r="43" spans="1:14" s="294" customFormat="1" ht="18" customHeight="1">
      <c r="A43" s="300" t="str">
        <f t="shared" si="4"/>
        <v>NL</v>
      </c>
      <c r="B43" s="555">
        <f t="shared" si="7"/>
        <v>28</v>
      </c>
      <c r="C43" s="556" t="s">
        <v>473</v>
      </c>
      <c r="D43" s="557" t="s">
        <v>360</v>
      </c>
      <c r="E43" s="495"/>
      <c r="F43" s="495"/>
      <c r="G43" s="513">
        <f t="array" ref="G43">SUM(IF("1521"&amp;C43=KHN&amp;MH,SL))</f>
        <v>125</v>
      </c>
      <c r="H43" s="513">
        <f t="array" ref="H43">SUM(IF("1521"&amp;C43=KHN&amp;MH,TH))</f>
        <v>2057750</v>
      </c>
      <c r="I43" s="513">
        <f t="array" ref="I43">SUM(IF("1521"&amp;C43=KHC&amp;MH,SL))</f>
        <v>125</v>
      </c>
      <c r="J43" s="513">
        <f t="array" ref="J43">SUM(IF("1521"&amp;C43=KHC&amp;MH,TH))</f>
        <v>2057750</v>
      </c>
      <c r="K43" s="495">
        <f t="shared" si="5"/>
        <v>0</v>
      </c>
      <c r="L43" s="495">
        <f t="shared" si="6"/>
        <v>0</v>
      </c>
      <c r="M43" s="300"/>
      <c r="N43" s="300"/>
    </row>
    <row r="44" spans="1:14" s="294" customFormat="1" ht="18" customHeight="1">
      <c r="A44" s="300" t="str">
        <f t="shared" si="4"/>
        <v>NL</v>
      </c>
      <c r="B44" s="555">
        <f t="shared" si="7"/>
        <v>29</v>
      </c>
      <c r="C44" s="556" t="s">
        <v>478</v>
      </c>
      <c r="D44" s="557" t="s">
        <v>360</v>
      </c>
      <c r="E44" s="495"/>
      <c r="F44" s="495"/>
      <c r="G44" s="513">
        <f t="array" ref="G44">SUM(IF("1521"&amp;C44=KHN&amp;MH,SL))</f>
        <v>250</v>
      </c>
      <c r="H44" s="513">
        <f t="array" ref="H44">SUM(IF("1521"&amp;C44=KHN&amp;MH,TH))</f>
        <v>3374500</v>
      </c>
      <c r="I44" s="513">
        <f t="array" ref="I44">SUM(IF("1521"&amp;C44=KHC&amp;MH,SL))</f>
        <v>250</v>
      </c>
      <c r="J44" s="513">
        <f t="array" ref="J44">SUM(IF("1521"&amp;C44=KHC&amp;MH,TH))</f>
        <v>3374500</v>
      </c>
      <c r="K44" s="495">
        <f t="shared" si="5"/>
        <v>0</v>
      </c>
      <c r="L44" s="495">
        <f t="shared" si="6"/>
        <v>0</v>
      </c>
      <c r="M44" s="300"/>
      <c r="N44" s="300"/>
    </row>
    <row r="45" spans="1:14" s="294" customFormat="1" ht="18" customHeight="1">
      <c r="A45" s="300" t="str">
        <f t="shared" si="4"/>
        <v>NL</v>
      </c>
      <c r="B45" s="555">
        <f t="shared" si="7"/>
        <v>30</v>
      </c>
      <c r="C45" s="556" t="s">
        <v>479</v>
      </c>
      <c r="D45" s="557" t="s">
        <v>360</v>
      </c>
      <c r="E45" s="495"/>
      <c r="F45" s="495"/>
      <c r="G45" s="513">
        <f t="array" ref="G45">SUM(IF("1521"&amp;C45=KHN&amp;MH,SL))</f>
        <v>500</v>
      </c>
      <c r="H45" s="513">
        <f t="array" ref="H45">SUM(IF("1521"&amp;C45=KHN&amp;MH,TH))</f>
        <v>2806000</v>
      </c>
      <c r="I45" s="513">
        <f t="array" ref="I45">SUM(IF("1521"&amp;C45=KHC&amp;MH,SL))</f>
        <v>500</v>
      </c>
      <c r="J45" s="513">
        <f t="array" ref="J45">SUM(IF("1521"&amp;C45=KHC&amp;MH,TH))</f>
        <v>2806000</v>
      </c>
      <c r="K45" s="495">
        <f t="shared" si="5"/>
        <v>0</v>
      </c>
      <c r="L45" s="495">
        <f t="shared" si="6"/>
        <v>0</v>
      </c>
      <c r="M45" s="300"/>
      <c r="N45" s="300"/>
    </row>
    <row r="46" spans="1:14" s="294" customFormat="1" ht="18" customHeight="1">
      <c r="A46" s="300" t="str">
        <f t="shared" si="4"/>
        <v>NL</v>
      </c>
      <c r="B46" s="555">
        <f t="shared" si="7"/>
        <v>31</v>
      </c>
      <c r="C46" s="556" t="s">
        <v>480</v>
      </c>
      <c r="D46" s="557" t="s">
        <v>360</v>
      </c>
      <c r="E46" s="495"/>
      <c r="F46" s="495"/>
      <c r="G46" s="513">
        <f t="array" ref="G46">SUM(IF("1521"&amp;C46=KHN&amp;MH,SL))</f>
        <v>400</v>
      </c>
      <c r="H46" s="513">
        <f t="array" ref="H46">SUM(IF("1521"&amp;C46=KHN&amp;MH,TH))</f>
        <v>2332400</v>
      </c>
      <c r="I46" s="513">
        <f t="array" ref="I46">SUM(IF("1521"&amp;C46=KHC&amp;MH,SL))</f>
        <v>400</v>
      </c>
      <c r="J46" s="513">
        <f t="array" ref="J46">SUM(IF("1521"&amp;C46=KHC&amp;MH,TH))</f>
        <v>2332400</v>
      </c>
      <c r="K46" s="495">
        <f t="shared" si="5"/>
        <v>0</v>
      </c>
      <c r="L46" s="495">
        <f t="shared" si="6"/>
        <v>0</v>
      </c>
      <c r="M46" s="300"/>
      <c r="N46" s="300"/>
    </row>
    <row r="47" spans="1:14" s="294" customFormat="1" ht="18" customHeight="1">
      <c r="A47" s="300" t="str">
        <f t="shared" si="4"/>
        <v>NL</v>
      </c>
      <c r="B47" s="555">
        <f t="shared" si="7"/>
        <v>32</v>
      </c>
      <c r="C47" s="556" t="s">
        <v>484</v>
      </c>
      <c r="D47" s="557" t="s">
        <v>360</v>
      </c>
      <c r="E47" s="495"/>
      <c r="F47" s="495"/>
      <c r="G47" s="513">
        <f t="array" ref="G47">SUM(IF("1521"&amp;C47=KHN&amp;MH,SL))</f>
        <v>1020</v>
      </c>
      <c r="H47" s="513">
        <f t="array" ref="H47">SUM(IF("1521"&amp;C47=KHN&amp;MH,TH))</f>
        <v>8792400</v>
      </c>
      <c r="I47" s="513">
        <f t="array" ref="I47">SUM(IF("1521"&amp;C47=KHC&amp;MH,SL))</f>
        <v>1020</v>
      </c>
      <c r="J47" s="513">
        <f t="array" ref="J47">SUM(IF("1521"&amp;C47=KHC&amp;MH,TH))</f>
        <v>8792400</v>
      </c>
      <c r="K47" s="495">
        <f t="shared" si="5"/>
        <v>0</v>
      </c>
      <c r="L47" s="495">
        <f t="shared" si="6"/>
        <v>0</v>
      </c>
      <c r="M47" s="300"/>
      <c r="N47" s="300"/>
    </row>
    <row r="48" spans="1:14" s="294" customFormat="1" ht="18" customHeight="1">
      <c r="A48" s="300" t="str">
        <f t="shared" si="4"/>
        <v>NL</v>
      </c>
      <c r="B48" s="555">
        <f t="shared" si="7"/>
        <v>33</v>
      </c>
      <c r="C48" s="556" t="s">
        <v>485</v>
      </c>
      <c r="D48" s="557" t="s">
        <v>360</v>
      </c>
      <c r="E48" s="495"/>
      <c r="F48" s="495"/>
      <c r="G48" s="513">
        <f t="array" ref="G48">SUM(IF("1521"&amp;C48=KHN&amp;MH,SL))</f>
        <v>100</v>
      </c>
      <c r="H48" s="513">
        <f t="array" ref="H48">SUM(IF("1521"&amp;C48=KHN&amp;MH,TH))</f>
        <v>1212200</v>
      </c>
      <c r="I48" s="513">
        <f t="array" ref="I48">SUM(IF("1521"&amp;C48=KHC&amp;MH,SL))</f>
        <v>100</v>
      </c>
      <c r="J48" s="513">
        <f t="array" ref="J48">SUM(IF("1521"&amp;C48=KHC&amp;MH,TH))</f>
        <v>1212200</v>
      </c>
      <c r="K48" s="495">
        <f t="shared" si="5"/>
        <v>0</v>
      </c>
      <c r="L48" s="495">
        <f t="shared" si="6"/>
        <v>0</v>
      </c>
      <c r="M48" s="300"/>
      <c r="N48" s="300"/>
    </row>
    <row r="49" spans="1:14" s="294" customFormat="1" ht="18" customHeight="1">
      <c r="A49" s="300" t="str">
        <f t="shared" si="4"/>
        <v>NL</v>
      </c>
      <c r="B49" s="555">
        <f t="shared" si="7"/>
        <v>34</v>
      </c>
      <c r="C49" s="556" t="s">
        <v>486</v>
      </c>
      <c r="D49" s="557" t="s">
        <v>360</v>
      </c>
      <c r="E49" s="495"/>
      <c r="F49" s="495"/>
      <c r="G49" s="513">
        <f t="array" ref="G49">SUM(IF("1521"&amp;C49=KHN&amp;MH,SL))</f>
        <v>200</v>
      </c>
      <c r="H49" s="513">
        <f t="array" ref="H49">SUM(IF("1521"&amp;C49=KHN&amp;MH,TH))</f>
        <v>2956800</v>
      </c>
      <c r="I49" s="513">
        <f t="array" ref="I49">SUM(IF("1521"&amp;C49=KHC&amp;MH,SL))</f>
        <v>200</v>
      </c>
      <c r="J49" s="513">
        <f t="array" ref="J49">SUM(IF("1521"&amp;C49=KHC&amp;MH,TH))</f>
        <v>2956800</v>
      </c>
      <c r="K49" s="495">
        <f t="shared" ref="K49:K80" si="10">E49+G49-I49</f>
        <v>0</v>
      </c>
      <c r="L49" s="495">
        <f t="shared" ref="L49:L80" si="11">F49+H49-J49</f>
        <v>0</v>
      </c>
      <c r="M49" s="300"/>
      <c r="N49" s="300"/>
    </row>
    <row r="50" spans="1:14" s="294" customFormat="1" ht="18" customHeight="1">
      <c r="A50" s="300" t="str">
        <f t="shared" si="4"/>
        <v>NL</v>
      </c>
      <c r="B50" s="555">
        <f t="shared" ref="B50:B81" si="12">IF(C50&lt;&gt;"",B49+1,"")</f>
        <v>35</v>
      </c>
      <c r="C50" s="556" t="s">
        <v>491</v>
      </c>
      <c r="D50" s="557" t="s">
        <v>360</v>
      </c>
      <c r="E50" s="495"/>
      <c r="F50" s="495"/>
      <c r="G50" s="513">
        <f t="array" ref="G50">SUM(IF("1521"&amp;C50=KHN&amp;MH,SL))</f>
        <v>346</v>
      </c>
      <c r="H50" s="513">
        <f t="array" ref="H50">SUM(IF("1521"&amp;C50=KHN&amp;MH,TH))</f>
        <v>5275116</v>
      </c>
      <c r="I50" s="513">
        <f t="array" ref="I50">SUM(IF("1521"&amp;C50=KHC&amp;MH,SL))</f>
        <v>346</v>
      </c>
      <c r="J50" s="513">
        <f t="array" ref="J50">SUM(IF("1521"&amp;C50=KHC&amp;MH,TH))</f>
        <v>5275116</v>
      </c>
      <c r="K50" s="495">
        <f t="shared" si="10"/>
        <v>0</v>
      </c>
      <c r="L50" s="495">
        <f t="shared" si="11"/>
        <v>0</v>
      </c>
      <c r="M50" s="300"/>
      <c r="N50" s="300"/>
    </row>
    <row r="51" spans="1:14" s="294" customFormat="1" ht="18" customHeight="1">
      <c r="A51" s="300" t="str">
        <f t="shared" si="4"/>
        <v>NL</v>
      </c>
      <c r="B51" s="555">
        <f t="shared" si="12"/>
        <v>36</v>
      </c>
      <c r="C51" s="556" t="s">
        <v>492</v>
      </c>
      <c r="D51" s="557" t="s">
        <v>360</v>
      </c>
      <c r="E51" s="495"/>
      <c r="F51" s="495"/>
      <c r="G51" s="513">
        <f t="array" ref="G51">SUM(IF("1521"&amp;C51=KHN&amp;MH,SL))</f>
        <v>110</v>
      </c>
      <c r="H51" s="513">
        <f t="array" ref="H51">SUM(IF("1521"&amp;C51=KHN&amp;MH,TH))</f>
        <v>2124760</v>
      </c>
      <c r="I51" s="513">
        <f t="array" ref="I51">SUM(IF("1521"&amp;C51=KHC&amp;MH,SL))</f>
        <v>110</v>
      </c>
      <c r="J51" s="513">
        <f t="array" ref="J51">SUM(IF("1521"&amp;C51=KHC&amp;MH,TH))</f>
        <v>2124760</v>
      </c>
      <c r="K51" s="495">
        <f t="shared" si="10"/>
        <v>0</v>
      </c>
      <c r="L51" s="495">
        <f t="shared" si="11"/>
        <v>0</v>
      </c>
      <c r="M51" s="300"/>
      <c r="N51" s="300"/>
    </row>
    <row r="52" spans="1:14" s="294" customFormat="1" ht="18" customHeight="1">
      <c r="A52" s="300" t="str">
        <f t="shared" si="4"/>
        <v>NL</v>
      </c>
      <c r="B52" s="555">
        <f t="shared" si="12"/>
        <v>37</v>
      </c>
      <c r="C52" s="556" t="s">
        <v>494</v>
      </c>
      <c r="D52" s="557" t="s">
        <v>360</v>
      </c>
      <c r="E52" s="495"/>
      <c r="F52" s="495"/>
      <c r="G52" s="513">
        <f t="array" ref="G52">SUM(IF("1521"&amp;C52=KHN&amp;MH,SL))</f>
        <v>490</v>
      </c>
      <c r="H52" s="513">
        <f t="array" ref="H52">SUM(IF("1521"&amp;C52=KHN&amp;MH,TH))</f>
        <v>3926370</v>
      </c>
      <c r="I52" s="513">
        <f t="array" ref="I52">SUM(IF("1521"&amp;C52=KHC&amp;MH,SL))</f>
        <v>490</v>
      </c>
      <c r="J52" s="513">
        <f t="array" ref="J52">SUM(IF("1521"&amp;C52=KHC&amp;MH,TH))</f>
        <v>3926370</v>
      </c>
      <c r="K52" s="495">
        <f t="shared" si="10"/>
        <v>0</v>
      </c>
      <c r="L52" s="495">
        <f t="shared" si="11"/>
        <v>0</v>
      </c>
      <c r="M52" s="300"/>
      <c r="N52" s="300"/>
    </row>
    <row r="53" spans="1:14" s="294" customFormat="1" ht="18" customHeight="1">
      <c r="A53" s="300" t="str">
        <f t="shared" si="4"/>
        <v>NL</v>
      </c>
      <c r="B53" s="555">
        <f t="shared" si="12"/>
        <v>38</v>
      </c>
      <c r="C53" s="556" t="s">
        <v>495</v>
      </c>
      <c r="D53" s="557" t="s">
        <v>360</v>
      </c>
      <c r="E53" s="495"/>
      <c r="F53" s="495"/>
      <c r="G53" s="513">
        <f t="array" ref="G53">SUM(IF("1521"&amp;C53=KHN&amp;MH,SL))</f>
        <v>840</v>
      </c>
      <c r="H53" s="513">
        <f t="array" ref="H53">SUM(IF("1521"&amp;C53=KHN&amp;MH,TH))</f>
        <v>9181200</v>
      </c>
      <c r="I53" s="513">
        <f t="array" ref="I53">SUM(IF("1521"&amp;C53=KHC&amp;MH,SL))</f>
        <v>840</v>
      </c>
      <c r="J53" s="513">
        <f t="array" ref="J53">SUM(IF("1521"&amp;C53=KHC&amp;MH,TH))</f>
        <v>9181200</v>
      </c>
      <c r="K53" s="495">
        <f t="shared" si="10"/>
        <v>0</v>
      </c>
      <c r="L53" s="495">
        <f t="shared" si="11"/>
        <v>0</v>
      </c>
      <c r="M53" s="300"/>
      <c r="N53" s="300"/>
    </row>
    <row r="54" spans="1:14" s="294" customFormat="1" ht="18" customHeight="1">
      <c r="A54" s="300" t="str">
        <f t="shared" si="4"/>
        <v>NL</v>
      </c>
      <c r="B54" s="555">
        <f t="shared" si="12"/>
        <v>39</v>
      </c>
      <c r="C54" s="556" t="s">
        <v>496</v>
      </c>
      <c r="D54" s="557" t="s">
        <v>360</v>
      </c>
      <c r="E54" s="495"/>
      <c r="F54" s="495"/>
      <c r="G54" s="513">
        <f t="array" ref="G54">SUM(IF("1521"&amp;C54=KHN&amp;MH,SL))</f>
        <v>745</v>
      </c>
      <c r="H54" s="513">
        <f t="array" ref="H54">SUM(IF("1521"&amp;C54=KHN&amp;MH,TH))</f>
        <v>7899235</v>
      </c>
      <c r="I54" s="513">
        <f t="array" ref="I54">SUM(IF("1521"&amp;C54=KHC&amp;MH,SL))</f>
        <v>745</v>
      </c>
      <c r="J54" s="513">
        <f t="array" ref="J54">SUM(IF("1521"&amp;C54=KHC&amp;MH,TH))</f>
        <v>7899235</v>
      </c>
      <c r="K54" s="495">
        <f t="shared" si="10"/>
        <v>0</v>
      </c>
      <c r="L54" s="495">
        <f t="shared" si="11"/>
        <v>0</v>
      </c>
      <c r="M54" s="300"/>
      <c r="N54" s="300"/>
    </row>
    <row r="55" spans="1:14" s="294" customFormat="1" ht="18" customHeight="1">
      <c r="A55" s="300" t="str">
        <f t="shared" si="4"/>
        <v>NL</v>
      </c>
      <c r="B55" s="555">
        <f t="shared" si="12"/>
        <v>40</v>
      </c>
      <c r="C55" s="556" t="s">
        <v>497</v>
      </c>
      <c r="D55" s="557" t="s">
        <v>360</v>
      </c>
      <c r="E55" s="495"/>
      <c r="F55" s="495"/>
      <c r="G55" s="513">
        <f t="array" ref="G55">SUM(IF("1521"&amp;C55=KHN&amp;MH,SL))</f>
        <v>210</v>
      </c>
      <c r="H55" s="513">
        <f t="array" ref="H55">SUM(IF("1521"&amp;C55=KHN&amp;MH,TH))</f>
        <v>1344000</v>
      </c>
      <c r="I55" s="513">
        <f t="array" ref="I55">SUM(IF("1521"&amp;C55=KHC&amp;MH,SL))</f>
        <v>210</v>
      </c>
      <c r="J55" s="513">
        <f t="array" ref="J55">SUM(IF("1521"&amp;C55=KHC&amp;MH,TH))</f>
        <v>1344000</v>
      </c>
      <c r="K55" s="495">
        <f t="shared" si="10"/>
        <v>0</v>
      </c>
      <c r="L55" s="495">
        <f t="shared" si="11"/>
        <v>0</v>
      </c>
      <c r="M55" s="300"/>
      <c r="N55" s="300"/>
    </row>
    <row r="56" spans="1:14" s="294" customFormat="1" ht="18" customHeight="1">
      <c r="A56" s="300" t="str">
        <f t="shared" si="4"/>
        <v>NL</v>
      </c>
      <c r="B56" s="555">
        <f t="shared" si="12"/>
        <v>41</v>
      </c>
      <c r="C56" s="556" t="s">
        <v>498</v>
      </c>
      <c r="D56" s="557" t="s">
        <v>360</v>
      </c>
      <c r="E56" s="495"/>
      <c r="F56" s="495"/>
      <c r="G56" s="513">
        <f t="array" ref="G56">SUM(IF("1521"&amp;C56=KHN&amp;MH,SL))</f>
        <v>58</v>
      </c>
      <c r="H56" s="513">
        <f t="array" ref="H56">SUM(IF("1521"&amp;C56=KHN&amp;MH,TH))</f>
        <v>1559040</v>
      </c>
      <c r="I56" s="513">
        <f t="array" ref="I56">SUM(IF("1521"&amp;C56=KHC&amp;MH,SL))</f>
        <v>58</v>
      </c>
      <c r="J56" s="513">
        <f t="array" ref="J56">SUM(IF("1521"&amp;C56=KHC&amp;MH,TH))</f>
        <v>1559040</v>
      </c>
      <c r="K56" s="495">
        <f t="shared" si="10"/>
        <v>0</v>
      </c>
      <c r="L56" s="495">
        <f t="shared" si="11"/>
        <v>0</v>
      </c>
      <c r="M56" s="300"/>
      <c r="N56" s="300"/>
    </row>
    <row r="57" spans="1:14" s="294" customFormat="1" ht="18" customHeight="1">
      <c r="A57" s="300" t="str">
        <f t="shared" si="4"/>
        <v>NL</v>
      </c>
      <c r="B57" s="555">
        <f t="shared" si="12"/>
        <v>42</v>
      </c>
      <c r="C57" s="556" t="s">
        <v>499</v>
      </c>
      <c r="D57" s="557" t="s">
        <v>360</v>
      </c>
      <c r="E57" s="495"/>
      <c r="F57" s="495"/>
      <c r="G57" s="513">
        <f t="array" ref="G57">SUM(IF("1521"&amp;C57=KHN&amp;MH,SL))</f>
        <v>205</v>
      </c>
      <c r="H57" s="513">
        <f t="array" ref="H57">SUM(IF("1521"&amp;C57=KHN&amp;MH,TH))</f>
        <v>2331465</v>
      </c>
      <c r="I57" s="513">
        <f t="array" ref="I57">SUM(IF("1521"&amp;C57=KHC&amp;MH,SL))</f>
        <v>205</v>
      </c>
      <c r="J57" s="513">
        <f t="array" ref="J57">SUM(IF("1521"&amp;C57=KHC&amp;MH,TH))</f>
        <v>2331465</v>
      </c>
      <c r="K57" s="495">
        <f t="shared" si="10"/>
        <v>0</v>
      </c>
      <c r="L57" s="495">
        <f t="shared" si="11"/>
        <v>0</v>
      </c>
      <c r="M57" s="300"/>
      <c r="N57" s="300"/>
    </row>
    <row r="58" spans="1:14" s="294" customFormat="1" ht="18" customHeight="1">
      <c r="A58" s="300" t="str">
        <f t="shared" si="4"/>
        <v>NL</v>
      </c>
      <c r="B58" s="555">
        <f t="shared" si="12"/>
        <v>43</v>
      </c>
      <c r="C58" s="556" t="s">
        <v>500</v>
      </c>
      <c r="D58" s="557" t="s">
        <v>360</v>
      </c>
      <c r="E58" s="495"/>
      <c r="F58" s="495"/>
      <c r="G58" s="513">
        <f t="array" ref="G58">SUM(IF("1521"&amp;C58=KHN&amp;MH,SL))</f>
        <v>295</v>
      </c>
      <c r="H58" s="513">
        <f t="array" ref="H58">SUM(IF("1521"&amp;C58=KHN&amp;MH,TH))</f>
        <v>2144060</v>
      </c>
      <c r="I58" s="513">
        <f t="array" ref="I58">SUM(IF("1521"&amp;C58=KHC&amp;MH,SL))</f>
        <v>295</v>
      </c>
      <c r="J58" s="513">
        <f t="array" ref="J58">SUM(IF("1521"&amp;C58=KHC&amp;MH,TH))</f>
        <v>2144060</v>
      </c>
      <c r="K58" s="495">
        <f t="shared" si="10"/>
        <v>0</v>
      </c>
      <c r="L58" s="495">
        <f t="shared" si="11"/>
        <v>0</v>
      </c>
      <c r="M58" s="300"/>
      <c r="N58" s="300"/>
    </row>
    <row r="59" spans="1:14" s="294" customFormat="1" ht="18" customHeight="1">
      <c r="A59" s="300" t="str">
        <f t="shared" si="4"/>
        <v>NL</v>
      </c>
      <c r="B59" s="555">
        <f t="shared" si="12"/>
        <v>44</v>
      </c>
      <c r="C59" s="556" t="s">
        <v>519</v>
      </c>
      <c r="D59" s="557" t="s">
        <v>360</v>
      </c>
      <c r="E59" s="495"/>
      <c r="F59" s="495"/>
      <c r="G59" s="513">
        <f t="array" ref="G59">SUM(IF("1521"&amp;C59=KHN&amp;MH,SL))</f>
        <v>180</v>
      </c>
      <c r="H59" s="513">
        <f t="array" ref="H59">SUM(IF("1521"&amp;C59=KHN&amp;MH,TH))</f>
        <v>3534840</v>
      </c>
      <c r="I59" s="513">
        <f t="array" ref="I59">SUM(IF("1521"&amp;C59=KHC&amp;MH,SL))</f>
        <v>180</v>
      </c>
      <c r="J59" s="513">
        <f t="array" ref="J59">SUM(IF("1521"&amp;C59=KHC&amp;MH,TH))</f>
        <v>3534840</v>
      </c>
      <c r="K59" s="495">
        <f t="shared" si="10"/>
        <v>0</v>
      </c>
      <c r="L59" s="495">
        <f t="shared" si="11"/>
        <v>0</v>
      </c>
      <c r="M59" s="300"/>
      <c r="N59" s="300"/>
    </row>
    <row r="60" spans="1:14" s="294" customFormat="1" ht="18" customHeight="1">
      <c r="A60" s="300" t="str">
        <f t="shared" si="4"/>
        <v>NL</v>
      </c>
      <c r="B60" s="555">
        <f t="shared" si="12"/>
        <v>45</v>
      </c>
      <c r="C60" s="556" t="s">
        <v>520</v>
      </c>
      <c r="D60" s="557" t="s">
        <v>360</v>
      </c>
      <c r="E60" s="495"/>
      <c r="F60" s="495"/>
      <c r="G60" s="513">
        <f t="array" ref="G60">SUM(IF("1521"&amp;C60=KHN&amp;MH,SL))</f>
        <v>130</v>
      </c>
      <c r="H60" s="513">
        <f t="array" ref="H60">SUM(IF("1521"&amp;C60=KHN&amp;MH,TH))</f>
        <v>3647670</v>
      </c>
      <c r="I60" s="513">
        <f t="array" ref="I60">SUM(IF("1521"&amp;C60=KHC&amp;MH,SL))</f>
        <v>130</v>
      </c>
      <c r="J60" s="513">
        <f t="array" ref="J60">SUM(IF("1521"&amp;C60=KHC&amp;MH,TH))</f>
        <v>3647670</v>
      </c>
      <c r="K60" s="495">
        <f t="shared" si="10"/>
        <v>0</v>
      </c>
      <c r="L60" s="495">
        <f t="shared" si="11"/>
        <v>0</v>
      </c>
      <c r="M60" s="300"/>
      <c r="N60" s="300"/>
    </row>
    <row r="61" spans="1:14" s="294" customFormat="1" ht="18" customHeight="1">
      <c r="A61" s="300" t="str">
        <f t="shared" si="4"/>
        <v>NL</v>
      </c>
      <c r="B61" s="555">
        <f t="shared" si="12"/>
        <v>46</v>
      </c>
      <c r="C61" s="556" t="s">
        <v>521</v>
      </c>
      <c r="D61" s="557" t="s">
        <v>360</v>
      </c>
      <c r="E61" s="495"/>
      <c r="F61" s="495"/>
      <c r="G61" s="513">
        <f t="array" ref="G61">SUM(IF("1521"&amp;C61=KHN&amp;MH,SL))</f>
        <v>200</v>
      </c>
      <c r="H61" s="513">
        <f t="array" ref="H61">SUM(IF("1521"&amp;C61=KHN&amp;MH,TH))</f>
        <v>5370800</v>
      </c>
      <c r="I61" s="513">
        <f t="array" ref="I61">SUM(IF("1521"&amp;C61=KHC&amp;MH,SL))</f>
        <v>200</v>
      </c>
      <c r="J61" s="513">
        <f t="array" ref="J61">SUM(IF("1521"&amp;C61=KHC&amp;MH,TH))</f>
        <v>5370800</v>
      </c>
      <c r="K61" s="495">
        <f t="shared" si="10"/>
        <v>0</v>
      </c>
      <c r="L61" s="495">
        <f t="shared" si="11"/>
        <v>0</v>
      </c>
      <c r="M61" s="300"/>
      <c r="N61" s="300"/>
    </row>
    <row r="62" spans="1:14" s="294" customFormat="1" ht="18" customHeight="1">
      <c r="A62" s="300" t="str">
        <f t="shared" si="4"/>
        <v>NL</v>
      </c>
      <c r="B62" s="555">
        <f t="shared" si="12"/>
        <v>47</v>
      </c>
      <c r="C62" s="556" t="s">
        <v>522</v>
      </c>
      <c r="D62" s="557" t="s">
        <v>360</v>
      </c>
      <c r="E62" s="495"/>
      <c r="F62" s="495"/>
      <c r="G62" s="513">
        <f t="array" ref="G62">SUM(IF("1521"&amp;C62=KHN&amp;MH,SL))</f>
        <v>52</v>
      </c>
      <c r="H62" s="513">
        <f t="array" ref="H62">SUM(IF("1521"&amp;C62=KHN&amp;MH,TH))</f>
        <v>1708200</v>
      </c>
      <c r="I62" s="513">
        <f t="array" ref="I62">SUM(IF("1521"&amp;C62=KHC&amp;MH,SL))</f>
        <v>52</v>
      </c>
      <c r="J62" s="513">
        <f t="array" ref="J62">SUM(IF("1521"&amp;C62=KHC&amp;MH,TH))</f>
        <v>1708200</v>
      </c>
      <c r="K62" s="495">
        <f t="shared" si="10"/>
        <v>0</v>
      </c>
      <c r="L62" s="495">
        <f t="shared" si="11"/>
        <v>0</v>
      </c>
      <c r="M62" s="300"/>
      <c r="N62" s="300"/>
    </row>
    <row r="63" spans="1:14" s="294" customFormat="1" ht="18" customHeight="1">
      <c r="A63" s="300" t="str">
        <f t="shared" si="4"/>
        <v>NL</v>
      </c>
      <c r="B63" s="555">
        <f t="shared" si="12"/>
        <v>48</v>
      </c>
      <c r="C63" s="556" t="s">
        <v>526</v>
      </c>
      <c r="D63" s="557" t="s">
        <v>360</v>
      </c>
      <c r="E63" s="495"/>
      <c r="F63" s="495"/>
      <c r="G63" s="513">
        <f t="array" ref="G63">SUM(IF("1521"&amp;C63=KHN&amp;MH,SL))</f>
        <v>105</v>
      </c>
      <c r="H63" s="513">
        <f t="array" ref="H63">SUM(IF("1521"&amp;C63=KHN&amp;MH,TH))</f>
        <v>1465170</v>
      </c>
      <c r="I63" s="513">
        <f t="array" ref="I63">SUM(IF("1521"&amp;C63=KHC&amp;MH,SL))</f>
        <v>105</v>
      </c>
      <c r="J63" s="513">
        <f t="array" ref="J63">SUM(IF("1521"&amp;C63=KHC&amp;MH,TH))</f>
        <v>1465170</v>
      </c>
      <c r="K63" s="495">
        <f t="shared" si="10"/>
        <v>0</v>
      </c>
      <c r="L63" s="495">
        <f t="shared" si="11"/>
        <v>0</v>
      </c>
      <c r="M63" s="300"/>
      <c r="N63" s="300"/>
    </row>
    <row r="64" spans="1:14" s="294" customFormat="1" ht="18" customHeight="1">
      <c r="A64" s="300" t="str">
        <f t="shared" si="4"/>
        <v>NL</v>
      </c>
      <c r="B64" s="555">
        <f t="shared" si="12"/>
        <v>49</v>
      </c>
      <c r="C64" s="556" t="s">
        <v>527</v>
      </c>
      <c r="D64" s="557" t="s">
        <v>360</v>
      </c>
      <c r="E64" s="495"/>
      <c r="F64" s="495"/>
      <c r="G64" s="513">
        <f t="array" ref="G64">SUM(IF("1521"&amp;C64=KHN&amp;MH,SL))</f>
        <v>130</v>
      </c>
      <c r="H64" s="513">
        <f t="array" ref="H64">SUM(IF("1521"&amp;C64=KHN&amp;MH,TH))</f>
        <v>2921880</v>
      </c>
      <c r="I64" s="513">
        <f t="array" ref="I64">SUM(IF("1521"&amp;C64=KHC&amp;MH,SL))</f>
        <v>130</v>
      </c>
      <c r="J64" s="513">
        <f t="array" ref="J64">SUM(IF("1521"&amp;C64=KHC&amp;MH,TH))</f>
        <v>2921880</v>
      </c>
      <c r="K64" s="495">
        <f t="shared" si="10"/>
        <v>0</v>
      </c>
      <c r="L64" s="495">
        <f t="shared" si="11"/>
        <v>0</v>
      </c>
      <c r="M64" s="300"/>
      <c r="N64" s="300"/>
    </row>
    <row r="65" spans="1:14" s="294" customFormat="1" ht="18" customHeight="1">
      <c r="A65" s="300" t="str">
        <f t="shared" si="4"/>
        <v>NL</v>
      </c>
      <c r="B65" s="555">
        <f t="shared" si="12"/>
        <v>50</v>
      </c>
      <c r="C65" s="556" t="s">
        <v>528</v>
      </c>
      <c r="D65" s="557" t="s">
        <v>360</v>
      </c>
      <c r="E65" s="495"/>
      <c r="F65" s="495"/>
      <c r="G65" s="513">
        <f t="array" ref="G65">SUM(IF("1521"&amp;C65=KHN&amp;MH,SL))</f>
        <v>105</v>
      </c>
      <c r="H65" s="513">
        <f t="array" ref="H65">SUM(IF("1521"&amp;C65=KHN&amp;MH,TH))</f>
        <v>1782165</v>
      </c>
      <c r="I65" s="513">
        <f t="array" ref="I65">SUM(IF("1521"&amp;C65=KHC&amp;MH,SL))</f>
        <v>105</v>
      </c>
      <c r="J65" s="513">
        <f t="array" ref="J65">SUM(IF("1521"&amp;C65=KHC&amp;MH,TH))</f>
        <v>1782165</v>
      </c>
      <c r="K65" s="495">
        <f t="shared" si="10"/>
        <v>0</v>
      </c>
      <c r="L65" s="495">
        <f t="shared" si="11"/>
        <v>0</v>
      </c>
      <c r="M65" s="300"/>
      <c r="N65" s="300"/>
    </row>
    <row r="66" spans="1:14" s="294" customFormat="1" ht="18" customHeight="1">
      <c r="A66" s="300" t="str">
        <f t="shared" si="4"/>
        <v>NL</v>
      </c>
      <c r="B66" s="555">
        <f t="shared" si="12"/>
        <v>51</v>
      </c>
      <c r="C66" s="556" t="s">
        <v>529</v>
      </c>
      <c r="D66" s="557" t="s">
        <v>360</v>
      </c>
      <c r="E66" s="495"/>
      <c r="F66" s="495"/>
      <c r="G66" s="513">
        <f t="array" ref="G66">SUM(IF("1521"&amp;C66=KHN&amp;MH,SL))</f>
        <v>3</v>
      </c>
      <c r="H66" s="513">
        <f t="array" ref="H66">SUM(IF("1521"&amp;C66=KHN&amp;MH,TH))</f>
        <v>33741</v>
      </c>
      <c r="I66" s="513">
        <f t="array" ref="I66">SUM(IF("1521"&amp;C66=KHC&amp;MH,SL))</f>
        <v>3</v>
      </c>
      <c r="J66" s="513">
        <f t="array" ref="J66">SUM(IF("1521"&amp;C66=KHC&amp;MH,TH))</f>
        <v>33741</v>
      </c>
      <c r="K66" s="495">
        <f t="shared" si="10"/>
        <v>0</v>
      </c>
      <c r="L66" s="495">
        <f t="shared" si="11"/>
        <v>0</v>
      </c>
      <c r="M66" s="300"/>
      <c r="N66" s="300"/>
    </row>
    <row r="67" spans="1:14" s="294" customFormat="1" ht="18" customHeight="1">
      <c r="A67" s="300" t="str">
        <f t="shared" si="4"/>
        <v>NL</v>
      </c>
      <c r="B67" s="555">
        <f t="shared" si="12"/>
        <v>52</v>
      </c>
      <c r="C67" s="556" t="s">
        <v>530</v>
      </c>
      <c r="D67" s="557" t="s">
        <v>360</v>
      </c>
      <c r="E67" s="495"/>
      <c r="F67" s="495"/>
      <c r="G67" s="513">
        <f t="array" ref="G67">SUM(IF("1521"&amp;C67=KHN&amp;MH,SL))</f>
        <v>224</v>
      </c>
      <c r="H67" s="513">
        <f t="array" ref="H67">SUM(IF("1521"&amp;C67=KHN&amp;MH,TH))</f>
        <v>3890432</v>
      </c>
      <c r="I67" s="513">
        <f t="array" ref="I67">SUM(IF("1521"&amp;C67=KHC&amp;MH,SL))</f>
        <v>224</v>
      </c>
      <c r="J67" s="513">
        <f t="array" ref="J67">SUM(IF("1521"&amp;C67=KHC&amp;MH,TH))</f>
        <v>3890432</v>
      </c>
      <c r="K67" s="495">
        <f t="shared" si="10"/>
        <v>0</v>
      </c>
      <c r="L67" s="495">
        <f t="shared" si="11"/>
        <v>0</v>
      </c>
      <c r="M67" s="300"/>
      <c r="N67" s="300"/>
    </row>
    <row r="68" spans="1:14" s="294" customFormat="1" ht="18" customHeight="1">
      <c r="A68" s="300" t="str">
        <f t="shared" si="4"/>
        <v>NL</v>
      </c>
      <c r="B68" s="555">
        <f t="shared" si="12"/>
        <v>53</v>
      </c>
      <c r="C68" s="556" t="s">
        <v>531</v>
      </c>
      <c r="D68" s="557" t="s">
        <v>360</v>
      </c>
      <c r="E68" s="495"/>
      <c r="F68" s="495"/>
      <c r="G68" s="513">
        <f t="array" ref="G68">SUM(IF("1521"&amp;C68=KHN&amp;MH,SL))</f>
        <v>150</v>
      </c>
      <c r="H68" s="513">
        <f t="array" ref="H68">SUM(IF("1521"&amp;C68=KHN&amp;MH,TH))</f>
        <v>3173700</v>
      </c>
      <c r="I68" s="513">
        <f t="array" ref="I68">SUM(IF("1521"&amp;C68=KHC&amp;MH,SL))</f>
        <v>150</v>
      </c>
      <c r="J68" s="513">
        <f t="array" ref="J68">SUM(IF("1521"&amp;C68=KHC&amp;MH,TH))</f>
        <v>3173700</v>
      </c>
      <c r="K68" s="495">
        <f t="shared" si="10"/>
        <v>0</v>
      </c>
      <c r="L68" s="495">
        <f t="shared" si="11"/>
        <v>0</v>
      </c>
      <c r="M68" s="300"/>
      <c r="N68" s="300"/>
    </row>
    <row r="69" spans="1:14" s="294" customFormat="1" ht="18" customHeight="1">
      <c r="A69" s="300" t="str">
        <f t="shared" si="4"/>
        <v>NL</v>
      </c>
      <c r="B69" s="555">
        <f t="shared" si="12"/>
        <v>54</v>
      </c>
      <c r="C69" s="556" t="s">
        <v>532</v>
      </c>
      <c r="D69" s="557" t="s">
        <v>360</v>
      </c>
      <c r="E69" s="495"/>
      <c r="F69" s="495"/>
      <c r="G69" s="513">
        <f t="array" ref="G69">SUM(IF("1521"&amp;C69=KHN&amp;MH,SL))</f>
        <v>45</v>
      </c>
      <c r="H69" s="513">
        <f t="array" ref="H69">SUM(IF("1521"&amp;C69=KHN&amp;MH,TH))</f>
        <v>690525</v>
      </c>
      <c r="I69" s="513">
        <f t="array" ref="I69">SUM(IF("1521"&amp;C69=KHC&amp;MH,SL))</f>
        <v>45</v>
      </c>
      <c r="J69" s="513">
        <f t="array" ref="J69">SUM(IF("1521"&amp;C69=KHC&amp;MH,TH))</f>
        <v>690525</v>
      </c>
      <c r="K69" s="495">
        <f t="shared" si="10"/>
        <v>0</v>
      </c>
      <c r="L69" s="495">
        <f t="shared" si="11"/>
        <v>0</v>
      </c>
      <c r="M69" s="300"/>
      <c r="N69" s="300"/>
    </row>
    <row r="70" spans="1:14" s="294" customFormat="1" ht="18" customHeight="1">
      <c r="A70" s="300" t="str">
        <f t="shared" si="4"/>
        <v>NL</v>
      </c>
      <c r="B70" s="555">
        <f t="shared" si="12"/>
        <v>55</v>
      </c>
      <c r="C70" s="567" t="s">
        <v>533</v>
      </c>
      <c r="D70" s="557" t="s">
        <v>360</v>
      </c>
      <c r="E70" s="495"/>
      <c r="F70" s="495"/>
      <c r="G70" s="513">
        <f t="array" ref="G70">SUM(IF("1521"&amp;C70=KHN&amp;MH,SL))</f>
        <v>185</v>
      </c>
      <c r="H70" s="513">
        <f t="array" ref="H70">SUM(IF("1521"&amp;C70=KHN&amp;MH,TH))</f>
        <v>4138820</v>
      </c>
      <c r="I70" s="513">
        <f t="array" ref="I70">SUM(IF("1521"&amp;C70=KHC&amp;MH,SL))</f>
        <v>185</v>
      </c>
      <c r="J70" s="513">
        <f t="array" ref="J70">SUM(IF("1521"&amp;C70=KHC&amp;MH,TH))</f>
        <v>4138820</v>
      </c>
      <c r="K70" s="495">
        <f t="shared" si="10"/>
        <v>0</v>
      </c>
      <c r="L70" s="495">
        <f t="shared" si="11"/>
        <v>0</v>
      </c>
      <c r="M70" s="300"/>
      <c r="N70" s="300"/>
    </row>
    <row r="71" spans="1:14" s="294" customFormat="1" ht="18" customHeight="1">
      <c r="A71" s="300" t="str">
        <f t="shared" si="4"/>
        <v>NL</v>
      </c>
      <c r="B71" s="555">
        <f t="shared" si="12"/>
        <v>56</v>
      </c>
      <c r="C71" s="567" t="s">
        <v>534</v>
      </c>
      <c r="D71" s="557" t="s">
        <v>360</v>
      </c>
      <c r="E71" s="495"/>
      <c r="F71" s="495"/>
      <c r="G71" s="513">
        <f t="array" ref="G71">SUM(IF("1521"&amp;C71=KHN&amp;MH,SL))</f>
        <v>1458</v>
      </c>
      <c r="H71" s="513">
        <f t="array" ref="H71">SUM(IF("1521"&amp;C71=KHN&amp;MH,TH))</f>
        <v>34999290</v>
      </c>
      <c r="I71" s="513">
        <f t="array" ref="I71">SUM(IF("1521"&amp;C71=KHC&amp;MH,SL))</f>
        <v>1458</v>
      </c>
      <c r="J71" s="513">
        <f t="array" ref="J71">SUM(IF("1521"&amp;C71=KHC&amp;MH,TH))</f>
        <v>34999290</v>
      </c>
      <c r="K71" s="495">
        <f t="shared" si="10"/>
        <v>0</v>
      </c>
      <c r="L71" s="495">
        <f t="shared" si="11"/>
        <v>0</v>
      </c>
      <c r="M71" s="300"/>
      <c r="N71" s="300"/>
    </row>
    <row r="72" spans="1:14" s="294" customFormat="1" ht="18" customHeight="1">
      <c r="A72" s="300" t="str">
        <f t="shared" si="4"/>
        <v>NL</v>
      </c>
      <c r="B72" s="555">
        <f t="shared" si="12"/>
        <v>57</v>
      </c>
      <c r="C72" s="556" t="s">
        <v>539</v>
      </c>
      <c r="D72" s="557" t="s">
        <v>360</v>
      </c>
      <c r="E72" s="495"/>
      <c r="F72" s="495"/>
      <c r="G72" s="513">
        <f t="array" ref="G72">SUM(IF("1521"&amp;C72=KHN&amp;MH,SL))</f>
        <v>206</v>
      </c>
      <c r="H72" s="513">
        <f t="array" ref="H72">SUM(IF("1521"&amp;C72=KHN&amp;MH,TH))</f>
        <v>3788340</v>
      </c>
      <c r="I72" s="513">
        <f t="array" ref="I72">SUM(IF("1521"&amp;C72=KHC&amp;MH,SL))</f>
        <v>206</v>
      </c>
      <c r="J72" s="513">
        <f t="array" ref="J72">SUM(IF("1521"&amp;C72=KHC&amp;MH,TH))</f>
        <v>3788340</v>
      </c>
      <c r="K72" s="495">
        <f t="shared" si="10"/>
        <v>0</v>
      </c>
      <c r="L72" s="495">
        <f t="shared" si="11"/>
        <v>0</v>
      </c>
      <c r="M72" s="300"/>
      <c r="N72" s="300"/>
    </row>
    <row r="73" spans="1:14" s="294" customFormat="1" ht="18" customHeight="1">
      <c r="A73" s="300" t="str">
        <f t="shared" si="4"/>
        <v>NL</v>
      </c>
      <c r="B73" s="555">
        <f t="shared" si="12"/>
        <v>58</v>
      </c>
      <c r="C73" s="556" t="s">
        <v>540</v>
      </c>
      <c r="D73" s="557" t="s">
        <v>360</v>
      </c>
      <c r="E73" s="495"/>
      <c r="F73" s="495"/>
      <c r="G73" s="513">
        <f t="array" ref="G73">SUM(IF("1521"&amp;C73=KHN&amp;MH,SL))</f>
        <v>43</v>
      </c>
      <c r="H73" s="513">
        <f t="array" ref="H73">SUM(IF("1521"&amp;C73=KHN&amp;MH,TH))</f>
        <v>1283249</v>
      </c>
      <c r="I73" s="513">
        <f t="array" ref="I73">SUM(IF("1521"&amp;C73=KHC&amp;MH,SL))</f>
        <v>43</v>
      </c>
      <c r="J73" s="513">
        <f t="array" ref="J73">SUM(IF("1521"&amp;C73=KHC&amp;MH,TH))</f>
        <v>1283249</v>
      </c>
      <c r="K73" s="495">
        <f t="shared" si="10"/>
        <v>0</v>
      </c>
      <c r="L73" s="495">
        <f t="shared" si="11"/>
        <v>0</v>
      </c>
      <c r="M73" s="300"/>
      <c r="N73" s="300"/>
    </row>
    <row r="74" spans="1:14" s="294" customFormat="1" ht="18" customHeight="1">
      <c r="A74" s="300" t="str">
        <f t="shared" si="4"/>
        <v>NL</v>
      </c>
      <c r="B74" s="555">
        <f t="shared" si="12"/>
        <v>59</v>
      </c>
      <c r="C74" s="556" t="s">
        <v>541</v>
      </c>
      <c r="D74" s="557" t="s">
        <v>360</v>
      </c>
      <c r="E74" s="495"/>
      <c r="F74" s="495"/>
      <c r="G74" s="513">
        <f t="array" ref="G74">SUM(IF("1521"&amp;C74=KHN&amp;MH,SL))</f>
        <v>43</v>
      </c>
      <c r="H74" s="513">
        <f t="array" ref="H74">SUM(IF("1521"&amp;C74=KHN&amp;MH,TH))</f>
        <v>1215739</v>
      </c>
      <c r="I74" s="513">
        <f t="array" ref="I74">SUM(IF("1521"&amp;C74=KHC&amp;MH,SL))</f>
        <v>43</v>
      </c>
      <c r="J74" s="513">
        <f t="array" ref="J74">SUM(IF("1521"&amp;C74=KHC&amp;MH,TH))</f>
        <v>1215739</v>
      </c>
      <c r="K74" s="495">
        <f t="shared" si="10"/>
        <v>0</v>
      </c>
      <c r="L74" s="495">
        <f t="shared" si="11"/>
        <v>0</v>
      </c>
      <c r="M74" s="300"/>
      <c r="N74" s="300"/>
    </row>
    <row r="75" spans="1:14" s="294" customFormat="1" ht="18" customHeight="1">
      <c r="A75" s="300" t="str">
        <f t="shared" si="4"/>
        <v>NL</v>
      </c>
      <c r="B75" s="555">
        <f t="shared" si="12"/>
        <v>60</v>
      </c>
      <c r="C75" s="556" t="s">
        <v>542</v>
      </c>
      <c r="D75" s="557" t="s">
        <v>360</v>
      </c>
      <c r="E75" s="495"/>
      <c r="F75" s="495"/>
      <c r="G75" s="513">
        <f t="array" ref="G75">SUM(IF("1521"&amp;C75=KHN&amp;MH,SL))</f>
        <v>95</v>
      </c>
      <c r="H75" s="513">
        <f t="array" ref="H75">SUM(IF("1521"&amp;C75=KHN&amp;MH,TH))</f>
        <v>2810005</v>
      </c>
      <c r="I75" s="513">
        <f t="array" ref="I75">SUM(IF("1521"&amp;C75=KHC&amp;MH,SL))</f>
        <v>95</v>
      </c>
      <c r="J75" s="513">
        <f t="array" ref="J75">SUM(IF("1521"&amp;C75=KHC&amp;MH,TH))</f>
        <v>2810005</v>
      </c>
      <c r="K75" s="495">
        <f t="shared" si="10"/>
        <v>0</v>
      </c>
      <c r="L75" s="495">
        <f t="shared" si="11"/>
        <v>0</v>
      </c>
      <c r="M75" s="300"/>
      <c r="N75" s="300"/>
    </row>
    <row r="76" spans="1:14" s="294" customFormat="1" ht="18" customHeight="1">
      <c r="A76" s="300" t="str">
        <f t="shared" si="4"/>
        <v>NL</v>
      </c>
      <c r="B76" s="555">
        <f t="shared" si="12"/>
        <v>61</v>
      </c>
      <c r="C76" s="556" t="s">
        <v>545</v>
      </c>
      <c r="D76" s="557" t="s">
        <v>360</v>
      </c>
      <c r="E76" s="495"/>
      <c r="F76" s="495"/>
      <c r="G76" s="513">
        <f t="array" ref="G76">SUM(IF("1521"&amp;C76=KHN&amp;MH,SL))</f>
        <v>104</v>
      </c>
      <c r="H76" s="513">
        <f t="array" ref="H76">SUM(IF("1521"&amp;C76=KHN&amp;MH,TH))</f>
        <v>2499120</v>
      </c>
      <c r="I76" s="513">
        <f t="array" ref="I76">SUM(IF("1521"&amp;C76=KHC&amp;MH,SL))</f>
        <v>104</v>
      </c>
      <c r="J76" s="513">
        <f t="array" ref="J76">SUM(IF("1521"&amp;C76=KHC&amp;MH,TH))</f>
        <v>2499120</v>
      </c>
      <c r="K76" s="495">
        <f t="shared" si="10"/>
        <v>0</v>
      </c>
      <c r="L76" s="495">
        <f t="shared" si="11"/>
        <v>0</v>
      </c>
      <c r="M76" s="300"/>
      <c r="N76" s="300"/>
    </row>
    <row r="77" spans="1:14" s="294" customFormat="1" ht="18" customHeight="1">
      <c r="A77" s="300" t="str">
        <f t="shared" si="4"/>
        <v>NL</v>
      </c>
      <c r="B77" s="555">
        <f t="shared" si="12"/>
        <v>62</v>
      </c>
      <c r="C77" s="556" t="s">
        <v>546</v>
      </c>
      <c r="D77" s="557" t="s">
        <v>360</v>
      </c>
      <c r="E77" s="495"/>
      <c r="F77" s="495"/>
      <c r="G77" s="513">
        <f t="array" ref="G77">SUM(IF("1521"&amp;C77=KHN&amp;MH,SL))</f>
        <v>104</v>
      </c>
      <c r="H77" s="513">
        <f t="array" ref="H77">SUM(IF("1521"&amp;C77=KHN&amp;MH,TH))</f>
        <v>2654496</v>
      </c>
      <c r="I77" s="513">
        <f t="array" ref="I77">SUM(IF("1521"&amp;C77=KHC&amp;MH,SL))</f>
        <v>104</v>
      </c>
      <c r="J77" s="513">
        <f t="array" ref="J77">SUM(IF("1521"&amp;C77=KHC&amp;MH,TH))</f>
        <v>2654496</v>
      </c>
      <c r="K77" s="495">
        <f t="shared" si="10"/>
        <v>0</v>
      </c>
      <c r="L77" s="495">
        <f t="shared" si="11"/>
        <v>0</v>
      </c>
      <c r="M77" s="300"/>
      <c r="N77" s="300"/>
    </row>
    <row r="78" spans="1:14" s="294" customFormat="1" ht="18" customHeight="1">
      <c r="A78" s="300" t="str">
        <f t="shared" si="4"/>
        <v>NL</v>
      </c>
      <c r="B78" s="555">
        <f t="shared" si="12"/>
        <v>63</v>
      </c>
      <c r="C78" s="556" t="s">
        <v>547</v>
      </c>
      <c r="D78" s="557" t="s">
        <v>360</v>
      </c>
      <c r="E78" s="495"/>
      <c r="F78" s="495"/>
      <c r="G78" s="513">
        <f t="array" ref="G78">SUM(IF("1521"&amp;C78=KHN&amp;MH,SL))</f>
        <v>104</v>
      </c>
      <c r="H78" s="513">
        <f t="array" ref="H78">SUM(IF("1521"&amp;C78=KHN&amp;MH,TH))</f>
        <v>2857816</v>
      </c>
      <c r="I78" s="513">
        <f t="array" ref="I78">SUM(IF("1521"&amp;C78=KHC&amp;MH,SL))</f>
        <v>104</v>
      </c>
      <c r="J78" s="513">
        <f t="array" ref="J78">SUM(IF("1521"&amp;C78=KHC&amp;MH,TH))</f>
        <v>2857816</v>
      </c>
      <c r="K78" s="495">
        <f t="shared" si="10"/>
        <v>0</v>
      </c>
      <c r="L78" s="495">
        <f t="shared" si="11"/>
        <v>0</v>
      </c>
      <c r="M78" s="300"/>
      <c r="N78" s="300"/>
    </row>
    <row r="79" spans="1:14" s="294" customFormat="1" ht="18" customHeight="1">
      <c r="A79" s="300" t="str">
        <f t="shared" si="4"/>
        <v>NL</v>
      </c>
      <c r="B79" s="555">
        <f t="shared" si="12"/>
        <v>64</v>
      </c>
      <c r="C79" s="556" t="s">
        <v>548</v>
      </c>
      <c r="D79" s="557" t="s">
        <v>360</v>
      </c>
      <c r="E79" s="495"/>
      <c r="F79" s="495"/>
      <c r="G79" s="513">
        <f t="array" ref="G79">SUM(IF("1521"&amp;C79=KHN&amp;MH,SL))</f>
        <v>104</v>
      </c>
      <c r="H79" s="513">
        <f t="array" ref="H79">SUM(IF("1521"&amp;C79=KHN&amp;MH,TH))</f>
        <v>2427360</v>
      </c>
      <c r="I79" s="513">
        <f t="array" ref="I79">SUM(IF("1521"&amp;C79=KHC&amp;MH,SL))</f>
        <v>104</v>
      </c>
      <c r="J79" s="513">
        <f t="array" ref="J79">SUM(IF("1521"&amp;C79=KHC&amp;MH,TH))</f>
        <v>2427360</v>
      </c>
      <c r="K79" s="495">
        <f t="shared" si="10"/>
        <v>0</v>
      </c>
      <c r="L79" s="495">
        <f t="shared" si="11"/>
        <v>0</v>
      </c>
      <c r="M79" s="300"/>
      <c r="N79" s="300"/>
    </row>
    <row r="80" spans="1:14" s="294" customFormat="1" ht="18" customHeight="1">
      <c r="A80" s="300" t="str">
        <f t="shared" ref="A80:A143" si="13">IF(B80&lt;&gt;"","NL","")</f>
        <v>NL</v>
      </c>
      <c r="B80" s="555">
        <f t="shared" si="12"/>
        <v>65</v>
      </c>
      <c r="C80" s="556" t="s">
        <v>549</v>
      </c>
      <c r="D80" s="557" t="s">
        <v>360</v>
      </c>
      <c r="E80" s="495"/>
      <c r="F80" s="495"/>
      <c r="G80" s="513">
        <f t="array" ref="G80">SUM(IF("1521"&amp;C80=KHN&amp;MH,SL))</f>
        <v>104</v>
      </c>
      <c r="H80" s="513">
        <f t="array" ref="H80">SUM(IF("1521"&amp;C80=KHN&amp;MH,TH))</f>
        <v>2104544</v>
      </c>
      <c r="I80" s="513">
        <f t="array" ref="I80">SUM(IF("1521"&amp;C80=KHC&amp;MH,SL))</f>
        <v>104</v>
      </c>
      <c r="J80" s="513">
        <f t="array" ref="J80">SUM(IF("1521"&amp;C80=KHC&amp;MH,TH))</f>
        <v>2104544</v>
      </c>
      <c r="K80" s="495">
        <f t="shared" si="10"/>
        <v>0</v>
      </c>
      <c r="L80" s="495">
        <f t="shared" si="11"/>
        <v>0</v>
      </c>
      <c r="M80" s="300"/>
      <c r="N80" s="300"/>
    </row>
    <row r="81" spans="1:14" s="294" customFormat="1" ht="18" customHeight="1">
      <c r="A81" s="300" t="str">
        <f t="shared" si="13"/>
        <v>NL</v>
      </c>
      <c r="B81" s="555">
        <f t="shared" si="12"/>
        <v>66</v>
      </c>
      <c r="C81" s="556" t="s">
        <v>554</v>
      </c>
      <c r="D81" s="557" t="s">
        <v>360</v>
      </c>
      <c r="E81" s="495"/>
      <c r="F81" s="495"/>
      <c r="G81" s="513">
        <f t="array" ref="G81">SUM(IF("1521"&amp;C81=KHN&amp;MH,SL))</f>
        <v>210</v>
      </c>
      <c r="H81" s="513">
        <f t="array" ref="H81">SUM(IF("1521"&amp;C81=KHN&amp;MH,TH))</f>
        <v>4511010</v>
      </c>
      <c r="I81" s="513">
        <f t="array" ref="I81">SUM(IF("1521"&amp;C81=KHC&amp;MH,SL))</f>
        <v>210</v>
      </c>
      <c r="J81" s="513">
        <f t="array" ref="J81">SUM(IF("1521"&amp;C81=KHC&amp;MH,TH))</f>
        <v>4511010</v>
      </c>
      <c r="K81" s="495">
        <f t="shared" ref="K81:K112" si="14">E81+G81-I81</f>
        <v>0</v>
      </c>
      <c r="L81" s="495">
        <f t="shared" ref="L81:L112" si="15">F81+H81-J81</f>
        <v>0</v>
      </c>
      <c r="M81" s="300"/>
      <c r="N81" s="300"/>
    </row>
    <row r="82" spans="1:14" s="294" customFormat="1" ht="18" customHeight="1">
      <c r="A82" s="300" t="str">
        <f t="shared" si="13"/>
        <v>NL</v>
      </c>
      <c r="B82" s="555">
        <f t="shared" ref="B82:B113" si="16">IF(C82&lt;&gt;"",B81+1,"")</f>
        <v>67</v>
      </c>
      <c r="C82" s="556" t="s">
        <v>555</v>
      </c>
      <c r="D82" s="557" t="s">
        <v>360</v>
      </c>
      <c r="E82" s="495"/>
      <c r="F82" s="495"/>
      <c r="G82" s="513">
        <f t="array" ref="G82">SUM(IF("1521"&amp;C82=KHN&amp;MH,SL))</f>
        <v>840</v>
      </c>
      <c r="H82" s="513">
        <f t="array" ref="H82">SUM(IF("1521"&amp;C82=KHN&amp;MH,TH))</f>
        <v>8688960</v>
      </c>
      <c r="I82" s="513">
        <f t="array" ref="I82">SUM(IF("1521"&amp;C82=KHC&amp;MH,SL))</f>
        <v>840</v>
      </c>
      <c r="J82" s="513">
        <f t="array" ref="J82">SUM(IF("1521"&amp;C82=KHC&amp;MH,TH))</f>
        <v>8688960</v>
      </c>
      <c r="K82" s="495">
        <f t="shared" si="14"/>
        <v>0</v>
      </c>
      <c r="L82" s="495">
        <f t="shared" si="15"/>
        <v>0</v>
      </c>
      <c r="M82" s="300"/>
      <c r="N82" s="300"/>
    </row>
    <row r="83" spans="1:14" s="294" customFormat="1" ht="18" customHeight="1">
      <c r="A83" s="300" t="str">
        <f t="shared" si="13"/>
        <v>NL</v>
      </c>
      <c r="B83" s="555">
        <f t="shared" si="16"/>
        <v>68</v>
      </c>
      <c r="C83" s="556" t="s">
        <v>556</v>
      </c>
      <c r="D83" s="557" t="s">
        <v>360</v>
      </c>
      <c r="E83" s="495"/>
      <c r="F83" s="495"/>
      <c r="G83" s="513">
        <f t="array" ref="G83">SUM(IF("1521"&amp;C83=KHN&amp;MH,SL))</f>
        <v>236</v>
      </c>
      <c r="H83" s="513">
        <f t="array" ref="H83">SUM(IF("1521"&amp;C83=KHN&amp;MH,TH))</f>
        <v>1780148</v>
      </c>
      <c r="I83" s="513">
        <f t="array" ref="I83">SUM(IF("1521"&amp;C83=KHC&amp;MH,SL))</f>
        <v>236</v>
      </c>
      <c r="J83" s="513">
        <f t="array" ref="J83">SUM(IF("1521"&amp;C83=KHC&amp;MH,TH))</f>
        <v>1780148</v>
      </c>
      <c r="K83" s="495">
        <f t="shared" si="14"/>
        <v>0</v>
      </c>
      <c r="L83" s="495">
        <f t="shared" si="15"/>
        <v>0</v>
      </c>
      <c r="M83" s="300"/>
      <c r="N83" s="300"/>
    </row>
    <row r="84" spans="1:14" s="294" customFormat="1" ht="18" customHeight="1">
      <c r="A84" s="300" t="str">
        <f t="shared" si="13"/>
        <v>NL</v>
      </c>
      <c r="B84" s="555">
        <f t="shared" si="16"/>
        <v>69</v>
      </c>
      <c r="C84" s="556" t="s">
        <v>557</v>
      </c>
      <c r="D84" s="557" t="s">
        <v>360</v>
      </c>
      <c r="E84" s="495"/>
      <c r="F84" s="495"/>
      <c r="G84" s="513">
        <f t="array" ref="G84">SUM(IF("1521"&amp;C84=KHN&amp;MH,SL))</f>
        <v>70</v>
      </c>
      <c r="H84" s="513">
        <f t="array" ref="H84">SUM(IF("1521"&amp;C84=KHN&amp;MH,TH))</f>
        <v>1833860</v>
      </c>
      <c r="I84" s="513">
        <f t="array" ref="I84">SUM(IF("1521"&amp;C84=KHC&amp;MH,SL))</f>
        <v>70</v>
      </c>
      <c r="J84" s="513">
        <f t="array" ref="J84">SUM(IF("1521"&amp;C84=KHC&amp;MH,TH))</f>
        <v>1833860</v>
      </c>
      <c r="K84" s="495">
        <f t="shared" si="14"/>
        <v>0</v>
      </c>
      <c r="L84" s="495">
        <f t="shared" si="15"/>
        <v>0</v>
      </c>
      <c r="M84" s="300"/>
      <c r="N84" s="300"/>
    </row>
    <row r="85" spans="1:14" s="294" customFormat="1" ht="18" customHeight="1">
      <c r="A85" s="300" t="str">
        <f t="shared" si="13"/>
        <v>NL</v>
      </c>
      <c r="B85" s="555">
        <f t="shared" si="16"/>
        <v>70</v>
      </c>
      <c r="C85" s="556" t="s">
        <v>558</v>
      </c>
      <c r="D85" s="557" t="s">
        <v>360</v>
      </c>
      <c r="E85" s="495"/>
      <c r="F85" s="495"/>
      <c r="G85" s="513">
        <f t="array" ref="G85">SUM(IF("1521"&amp;C85=KHN&amp;MH,SL))</f>
        <v>100</v>
      </c>
      <c r="H85" s="513">
        <f t="array" ref="H85">SUM(IF("1521"&amp;C85=KHN&amp;MH,TH))</f>
        <v>1678700</v>
      </c>
      <c r="I85" s="513">
        <f t="array" ref="I85">SUM(IF("1521"&amp;C85=KHC&amp;MH,SL))</f>
        <v>100</v>
      </c>
      <c r="J85" s="513">
        <f t="array" ref="J85">SUM(IF("1521"&amp;C85=KHC&amp;MH,TH))</f>
        <v>1678700</v>
      </c>
      <c r="K85" s="495">
        <f t="shared" si="14"/>
        <v>0</v>
      </c>
      <c r="L85" s="495">
        <f t="shared" si="15"/>
        <v>0</v>
      </c>
      <c r="M85" s="300"/>
      <c r="N85" s="300"/>
    </row>
    <row r="86" spans="1:14" s="294" customFormat="1" ht="18" customHeight="1">
      <c r="A86" s="300" t="str">
        <f t="shared" si="13"/>
        <v>NL</v>
      </c>
      <c r="B86" s="555">
        <f t="shared" si="16"/>
        <v>71</v>
      </c>
      <c r="C86" s="556" t="s">
        <v>559</v>
      </c>
      <c r="D86" s="557" t="s">
        <v>360</v>
      </c>
      <c r="E86" s="495"/>
      <c r="F86" s="495"/>
      <c r="G86" s="513">
        <f t="array" ref="G86">SUM(IF("1521"&amp;C86=KHN&amp;MH,SL))</f>
        <v>125</v>
      </c>
      <c r="H86" s="513">
        <f t="array" ref="H86">SUM(IF("1521"&amp;C86=KHN&amp;MH,TH))</f>
        <v>2454875</v>
      </c>
      <c r="I86" s="513">
        <f t="array" ref="I86">SUM(IF("1521"&amp;C86=KHC&amp;MH,SL))</f>
        <v>125</v>
      </c>
      <c r="J86" s="513">
        <f t="array" ref="J86">SUM(IF("1521"&amp;C86=KHC&amp;MH,TH))</f>
        <v>2454875</v>
      </c>
      <c r="K86" s="495">
        <f t="shared" si="14"/>
        <v>0</v>
      </c>
      <c r="L86" s="495">
        <f t="shared" si="15"/>
        <v>0</v>
      </c>
      <c r="M86" s="300"/>
      <c r="N86" s="300"/>
    </row>
    <row r="87" spans="1:14" s="294" customFormat="1" ht="18" customHeight="1">
      <c r="A87" s="300" t="str">
        <f t="shared" si="13"/>
        <v>NL</v>
      </c>
      <c r="B87" s="555">
        <f t="shared" si="16"/>
        <v>72</v>
      </c>
      <c r="C87" s="556" t="s">
        <v>560</v>
      </c>
      <c r="D87" s="557" t="s">
        <v>360</v>
      </c>
      <c r="E87" s="495"/>
      <c r="F87" s="495"/>
      <c r="G87" s="513">
        <f t="array" ref="G87">SUM(IF("1521"&amp;C87=KHN&amp;MH,SL))</f>
        <v>128</v>
      </c>
      <c r="H87" s="513">
        <f t="array" ref="H87">SUM(IF("1521"&amp;C87=KHN&amp;MH,TH))</f>
        <v>4552448</v>
      </c>
      <c r="I87" s="513">
        <f t="array" ref="I87">SUM(IF("1521"&amp;C87=KHC&amp;MH,SL))</f>
        <v>128</v>
      </c>
      <c r="J87" s="513">
        <f t="array" ref="J87">SUM(IF("1521"&amp;C87=KHC&amp;MH,TH))</f>
        <v>4552448</v>
      </c>
      <c r="K87" s="495">
        <f t="shared" si="14"/>
        <v>0</v>
      </c>
      <c r="L87" s="495">
        <f t="shared" si="15"/>
        <v>0</v>
      </c>
      <c r="M87" s="300"/>
      <c r="N87" s="300"/>
    </row>
    <row r="88" spans="1:14" s="294" customFormat="1" ht="18" customHeight="1">
      <c r="A88" s="300" t="str">
        <f t="shared" si="13"/>
        <v>NL</v>
      </c>
      <c r="B88" s="555">
        <f t="shared" si="16"/>
        <v>73</v>
      </c>
      <c r="C88" s="556" t="s">
        <v>561</v>
      </c>
      <c r="D88" s="557" t="s">
        <v>360</v>
      </c>
      <c r="E88" s="495"/>
      <c r="F88" s="495"/>
      <c r="G88" s="513">
        <f t="array" ref="G88">SUM(IF("1521"&amp;C88=KHN&amp;MH,SL))</f>
        <v>40</v>
      </c>
      <c r="H88" s="513">
        <f t="array" ref="H88">SUM(IF("1521"&amp;C88=KHN&amp;MH,TH))</f>
        <v>1307440</v>
      </c>
      <c r="I88" s="513">
        <f t="array" ref="I88">SUM(IF("1521"&amp;C88=KHC&amp;MH,SL))</f>
        <v>40</v>
      </c>
      <c r="J88" s="513">
        <f t="array" ref="J88">SUM(IF("1521"&amp;C88=KHC&amp;MH,TH))</f>
        <v>1307440</v>
      </c>
      <c r="K88" s="495">
        <f t="shared" si="14"/>
        <v>0</v>
      </c>
      <c r="L88" s="495">
        <f t="shared" si="15"/>
        <v>0</v>
      </c>
      <c r="M88" s="300"/>
      <c r="N88" s="300"/>
    </row>
    <row r="89" spans="1:14" s="294" customFormat="1" ht="18" customHeight="1">
      <c r="A89" s="300" t="str">
        <f t="shared" si="13"/>
        <v>NL</v>
      </c>
      <c r="B89" s="555">
        <f t="shared" si="16"/>
        <v>74</v>
      </c>
      <c r="C89" s="567" t="s">
        <v>565</v>
      </c>
      <c r="D89" s="557" t="s">
        <v>360</v>
      </c>
      <c r="E89" s="495"/>
      <c r="F89" s="495"/>
      <c r="G89" s="513">
        <f t="array" ref="G89">SUM(IF("1521"&amp;C89=KHN&amp;MH,SL))</f>
        <v>86</v>
      </c>
      <c r="H89" s="513">
        <f t="array" ref="H89">SUM(IF("1521"&amp;C89=KHN&amp;MH,TH))</f>
        <v>3173916</v>
      </c>
      <c r="I89" s="513">
        <f t="array" ref="I89">SUM(IF("1521"&amp;C89=KHC&amp;MH,SL))</f>
        <v>86</v>
      </c>
      <c r="J89" s="513">
        <f t="array" ref="J89">SUM(IF("1521"&amp;C89=KHC&amp;MH,TH))</f>
        <v>3173916</v>
      </c>
      <c r="K89" s="495">
        <f t="shared" si="14"/>
        <v>0</v>
      </c>
      <c r="L89" s="495">
        <f t="shared" si="15"/>
        <v>0</v>
      </c>
      <c r="M89" s="300"/>
      <c r="N89" s="300"/>
    </row>
    <row r="90" spans="1:14" s="294" customFormat="1" ht="18" customHeight="1">
      <c r="A90" s="300" t="str">
        <f t="shared" si="13"/>
        <v>NL</v>
      </c>
      <c r="B90" s="555">
        <f t="shared" si="16"/>
        <v>75</v>
      </c>
      <c r="C90" s="567" t="s">
        <v>566</v>
      </c>
      <c r="D90" s="557" t="s">
        <v>360</v>
      </c>
      <c r="E90" s="495"/>
      <c r="F90" s="495"/>
      <c r="G90" s="513">
        <f t="array" ref="G90">SUM(IF("1521"&amp;C90=KHN&amp;MH,SL))</f>
        <v>330</v>
      </c>
      <c r="H90" s="513">
        <f t="array" ref="H90">SUM(IF("1521"&amp;C90=KHN&amp;MH,TH))</f>
        <v>7577130</v>
      </c>
      <c r="I90" s="513">
        <f t="array" ref="I90">SUM(IF("1521"&amp;C90=KHC&amp;MH,SL))</f>
        <v>330</v>
      </c>
      <c r="J90" s="513">
        <f t="array" ref="J90">SUM(IF("1521"&amp;C90=KHC&amp;MH,TH))</f>
        <v>7577130</v>
      </c>
      <c r="K90" s="495">
        <f t="shared" si="14"/>
        <v>0</v>
      </c>
      <c r="L90" s="495">
        <f t="shared" si="15"/>
        <v>0</v>
      </c>
      <c r="M90" s="300"/>
      <c r="N90" s="300"/>
    </row>
    <row r="91" spans="1:14" s="294" customFormat="1" ht="18" customHeight="1">
      <c r="A91" s="300" t="str">
        <f t="shared" si="13"/>
        <v>NL</v>
      </c>
      <c r="B91" s="555">
        <f t="shared" si="16"/>
        <v>76</v>
      </c>
      <c r="C91" s="567" t="s">
        <v>567</v>
      </c>
      <c r="D91" s="557" t="s">
        <v>360</v>
      </c>
      <c r="E91" s="495"/>
      <c r="F91" s="495"/>
      <c r="G91" s="513">
        <f t="array" ref="G91">SUM(IF("1521"&amp;C91=KHN&amp;MH,SL))</f>
        <v>148</v>
      </c>
      <c r="H91" s="513">
        <f t="array" ref="H91">SUM(IF("1521"&amp;C91=KHN&amp;MH,TH))</f>
        <v>5178372</v>
      </c>
      <c r="I91" s="513">
        <f t="array" ref="I91">SUM(IF("1521"&amp;C91=KHC&amp;MH,SL))</f>
        <v>148</v>
      </c>
      <c r="J91" s="513">
        <f t="array" ref="J91">SUM(IF("1521"&amp;C91=KHC&amp;MH,TH))</f>
        <v>5178372</v>
      </c>
      <c r="K91" s="495">
        <f t="shared" si="14"/>
        <v>0</v>
      </c>
      <c r="L91" s="495">
        <f t="shared" si="15"/>
        <v>0</v>
      </c>
      <c r="M91" s="300"/>
      <c r="N91" s="300"/>
    </row>
    <row r="92" spans="1:14" s="294" customFormat="1" ht="18" customHeight="1">
      <c r="A92" s="300" t="str">
        <f t="shared" si="13"/>
        <v>NL</v>
      </c>
      <c r="B92" s="555">
        <f t="shared" si="16"/>
        <v>77</v>
      </c>
      <c r="C92" s="567" t="s">
        <v>568</v>
      </c>
      <c r="D92" s="557" t="s">
        <v>360</v>
      </c>
      <c r="E92" s="495"/>
      <c r="F92" s="495"/>
      <c r="G92" s="513">
        <f t="array" ref="G92">SUM(IF("1521"&amp;C92=KHN&amp;MH,SL))</f>
        <v>42</v>
      </c>
      <c r="H92" s="513">
        <f t="array" ref="H92">SUM(IF("1521"&amp;C92=KHN&amp;MH,TH))</f>
        <v>1482642</v>
      </c>
      <c r="I92" s="513">
        <f t="array" ref="I92">SUM(IF("1521"&amp;C92=KHC&amp;MH,SL))</f>
        <v>42</v>
      </c>
      <c r="J92" s="513">
        <f t="array" ref="J92">SUM(IF("1521"&amp;C92=KHC&amp;MH,TH))</f>
        <v>1482642</v>
      </c>
      <c r="K92" s="495">
        <f t="shared" si="14"/>
        <v>0</v>
      </c>
      <c r="L92" s="495">
        <f t="shared" si="15"/>
        <v>0</v>
      </c>
      <c r="M92" s="300"/>
      <c r="N92" s="300"/>
    </row>
    <row r="93" spans="1:14" s="294" customFormat="1" ht="18" customHeight="1">
      <c r="A93" s="300" t="str">
        <f t="shared" si="13"/>
        <v>NL</v>
      </c>
      <c r="B93" s="555">
        <f t="shared" si="16"/>
        <v>78</v>
      </c>
      <c r="C93" s="567" t="s">
        <v>570</v>
      </c>
      <c r="D93" s="557" t="s">
        <v>360</v>
      </c>
      <c r="E93" s="495"/>
      <c r="F93" s="495"/>
      <c r="G93" s="513">
        <f t="array" ref="G93">SUM(IF("1521"&amp;C93=KHN&amp;MH,SL))</f>
        <v>326</v>
      </c>
      <c r="H93" s="513">
        <f t="array" ref="H93">SUM(IF("1521"&amp;C93=KHN&amp;MH,TH))</f>
        <v>7697228</v>
      </c>
      <c r="I93" s="513">
        <f t="array" ref="I93">SUM(IF("1521"&amp;C93=KHC&amp;MH,SL))</f>
        <v>326</v>
      </c>
      <c r="J93" s="513">
        <f t="array" ref="J93">SUM(IF("1521"&amp;C93=KHC&amp;MH,TH))</f>
        <v>7697228</v>
      </c>
      <c r="K93" s="495">
        <f t="shared" si="14"/>
        <v>0</v>
      </c>
      <c r="L93" s="495">
        <f t="shared" si="15"/>
        <v>0</v>
      </c>
      <c r="M93" s="300"/>
      <c r="N93" s="300"/>
    </row>
    <row r="94" spans="1:14" s="294" customFormat="1" ht="18" customHeight="1">
      <c r="A94" s="300" t="str">
        <f t="shared" si="13"/>
        <v>NL</v>
      </c>
      <c r="B94" s="555">
        <f t="shared" si="16"/>
        <v>79</v>
      </c>
      <c r="C94" s="567" t="s">
        <v>572</v>
      </c>
      <c r="D94" s="557" t="s">
        <v>360</v>
      </c>
      <c r="E94" s="495"/>
      <c r="F94" s="495"/>
      <c r="G94" s="513">
        <f t="array" ref="G94">SUM(IF("1521"&amp;C94=KHN&amp;MH,SL))</f>
        <v>415</v>
      </c>
      <c r="H94" s="513">
        <f t="array" ref="H94">SUM(IF("1521"&amp;C94=KHN&amp;MH,TH))</f>
        <v>6913900</v>
      </c>
      <c r="I94" s="513">
        <f t="array" ref="I94">SUM(IF("1521"&amp;C94=KHC&amp;MH,SL))</f>
        <v>415</v>
      </c>
      <c r="J94" s="513">
        <f t="array" ref="J94">SUM(IF("1521"&amp;C94=KHC&amp;MH,TH))</f>
        <v>6913900</v>
      </c>
      <c r="K94" s="495">
        <f t="shared" si="14"/>
        <v>0</v>
      </c>
      <c r="L94" s="495">
        <f t="shared" si="15"/>
        <v>0</v>
      </c>
      <c r="M94" s="300"/>
      <c r="N94" s="300"/>
    </row>
    <row r="95" spans="1:14" s="294" customFormat="1" ht="18" customHeight="1">
      <c r="A95" s="300" t="str">
        <f t="shared" si="13"/>
        <v>NL</v>
      </c>
      <c r="B95" s="555">
        <f t="shared" si="16"/>
        <v>80</v>
      </c>
      <c r="C95" s="567" t="s">
        <v>573</v>
      </c>
      <c r="D95" s="557" t="s">
        <v>360</v>
      </c>
      <c r="E95" s="495"/>
      <c r="F95" s="495"/>
      <c r="G95" s="513">
        <f t="array" ref="G95">SUM(IF("1521"&amp;C95=KHN&amp;MH,SL))</f>
        <v>440</v>
      </c>
      <c r="H95" s="513">
        <f t="array" ref="H95">SUM(IF("1521"&amp;C95=KHN&amp;MH,TH))</f>
        <v>7016240</v>
      </c>
      <c r="I95" s="513">
        <f t="array" ref="I95">SUM(IF("1521"&amp;C95=KHC&amp;MH,SL))</f>
        <v>440</v>
      </c>
      <c r="J95" s="513">
        <f t="array" ref="J95">SUM(IF("1521"&amp;C95=KHC&amp;MH,TH))</f>
        <v>7016240</v>
      </c>
      <c r="K95" s="495">
        <f t="shared" si="14"/>
        <v>0</v>
      </c>
      <c r="L95" s="495">
        <f t="shared" si="15"/>
        <v>0</v>
      </c>
      <c r="M95" s="300"/>
      <c r="N95" s="300"/>
    </row>
    <row r="96" spans="1:14" s="294" customFormat="1" ht="18" customHeight="1">
      <c r="A96" s="300" t="str">
        <f t="shared" si="13"/>
        <v>NL</v>
      </c>
      <c r="B96" s="555">
        <f t="shared" si="16"/>
        <v>81</v>
      </c>
      <c r="C96" s="567" t="s">
        <v>574</v>
      </c>
      <c r="D96" s="557" t="s">
        <v>360</v>
      </c>
      <c r="E96" s="495"/>
      <c r="F96" s="495"/>
      <c r="G96" s="513">
        <f t="array" ref="G96">SUM(IF("1521"&amp;C96=KHN&amp;MH,SL))</f>
        <v>202</v>
      </c>
      <c r="H96" s="513">
        <f t="array" ref="H96">SUM(IF("1521"&amp;C96=KHN&amp;MH,TH))</f>
        <v>5240284</v>
      </c>
      <c r="I96" s="513">
        <f t="array" ref="I96">SUM(IF("1521"&amp;C96=KHC&amp;MH,SL))</f>
        <v>202</v>
      </c>
      <c r="J96" s="513">
        <f t="array" ref="J96">SUM(IF("1521"&amp;C96=KHC&amp;MH,TH))</f>
        <v>5240284</v>
      </c>
      <c r="K96" s="495">
        <f t="shared" si="14"/>
        <v>0</v>
      </c>
      <c r="L96" s="495">
        <f t="shared" si="15"/>
        <v>0</v>
      </c>
      <c r="M96" s="300"/>
      <c r="N96" s="300"/>
    </row>
    <row r="97" spans="1:14" s="294" customFormat="1" ht="18" customHeight="1">
      <c r="A97" s="300" t="str">
        <f t="shared" si="13"/>
        <v>NL</v>
      </c>
      <c r="B97" s="555">
        <f t="shared" si="16"/>
        <v>82</v>
      </c>
      <c r="C97" s="567" t="s">
        <v>575</v>
      </c>
      <c r="D97" s="557" t="s">
        <v>360</v>
      </c>
      <c r="E97" s="495"/>
      <c r="F97" s="495"/>
      <c r="G97" s="513">
        <f t="array" ref="G97">SUM(IF("1521"&amp;C97=KHN&amp;MH,SL))</f>
        <v>424</v>
      </c>
      <c r="H97" s="513">
        <f t="array" ref="H97">SUM(IF("1521"&amp;C97=KHN&amp;MH,TH))</f>
        <v>7366576</v>
      </c>
      <c r="I97" s="513">
        <f t="array" ref="I97">SUM(IF("1521"&amp;C97=KHC&amp;MH,SL))</f>
        <v>412</v>
      </c>
      <c r="J97" s="513">
        <f t="array" ref="J97">SUM(IF("1521"&amp;C97=KHC&amp;MH,TH))</f>
        <v>7158088</v>
      </c>
      <c r="K97" s="495">
        <f t="shared" si="14"/>
        <v>12</v>
      </c>
      <c r="L97" s="495">
        <f t="shared" si="15"/>
        <v>208488</v>
      </c>
      <c r="M97" s="300"/>
      <c r="N97" s="300"/>
    </row>
    <row r="98" spans="1:14" s="294" customFormat="1" ht="18" customHeight="1">
      <c r="A98" s="300" t="str">
        <f t="shared" si="13"/>
        <v>NL</v>
      </c>
      <c r="B98" s="555">
        <f t="shared" si="16"/>
        <v>83</v>
      </c>
      <c r="C98" s="567" t="s">
        <v>576</v>
      </c>
      <c r="D98" s="557" t="s">
        <v>360</v>
      </c>
      <c r="E98" s="495"/>
      <c r="F98" s="495"/>
      <c r="G98" s="513">
        <f t="array" ref="G98">SUM(IF("1521"&amp;C98=KHN&amp;MH,SL))</f>
        <v>22</v>
      </c>
      <c r="H98" s="513">
        <f t="array" ref="H98">SUM(IF("1521"&amp;C98=KHN&amp;MH,TH))</f>
        <v>591668</v>
      </c>
      <c r="I98" s="513">
        <f t="array" ref="I98">SUM(IF("1521"&amp;C98=KHC&amp;MH,SL))</f>
        <v>22</v>
      </c>
      <c r="J98" s="513">
        <f t="array" ref="J98">SUM(IF("1521"&amp;C98=KHC&amp;MH,TH))</f>
        <v>591668</v>
      </c>
      <c r="K98" s="495">
        <f t="shared" si="14"/>
        <v>0</v>
      </c>
      <c r="L98" s="495">
        <f t="shared" si="15"/>
        <v>0</v>
      </c>
      <c r="M98" s="300"/>
      <c r="N98" s="300"/>
    </row>
    <row r="99" spans="1:14" s="294" customFormat="1" ht="18" customHeight="1">
      <c r="A99" s="300" t="str">
        <f t="shared" si="13"/>
        <v>NL</v>
      </c>
      <c r="B99" s="555">
        <f t="shared" si="16"/>
        <v>84</v>
      </c>
      <c r="C99" s="567" t="s">
        <v>577</v>
      </c>
      <c r="D99" s="557" t="s">
        <v>360</v>
      </c>
      <c r="E99" s="495"/>
      <c r="F99" s="495"/>
      <c r="G99" s="513">
        <f t="array" ref="G99">SUM(IF("1521"&amp;C99=KHN&amp;MH,SL))</f>
        <v>55</v>
      </c>
      <c r="H99" s="513">
        <f t="array" ref="H99">SUM(IF("1521"&amp;C99=KHN&amp;MH,TH))</f>
        <v>1335180</v>
      </c>
      <c r="I99" s="513">
        <f t="array" ref="I99">SUM(IF("1521"&amp;C99=KHC&amp;MH,SL))</f>
        <v>55</v>
      </c>
      <c r="J99" s="513">
        <f t="array" ref="J99">SUM(IF("1521"&amp;C99=KHC&amp;MH,TH))</f>
        <v>1335180</v>
      </c>
      <c r="K99" s="495">
        <f t="shared" si="14"/>
        <v>0</v>
      </c>
      <c r="L99" s="495">
        <f t="shared" si="15"/>
        <v>0</v>
      </c>
      <c r="M99" s="300"/>
      <c r="N99" s="300"/>
    </row>
    <row r="100" spans="1:14" s="294" customFormat="1" ht="18" customHeight="1">
      <c r="A100" s="300" t="str">
        <f t="shared" si="13"/>
        <v>NL</v>
      </c>
      <c r="B100" s="555">
        <f t="shared" si="16"/>
        <v>85</v>
      </c>
      <c r="C100" s="567" t="s">
        <v>578</v>
      </c>
      <c r="D100" s="557" t="s">
        <v>360</v>
      </c>
      <c r="E100" s="495"/>
      <c r="F100" s="495"/>
      <c r="G100" s="513">
        <f t="array" ref="G100">SUM(IF("1521"&amp;C100=KHN&amp;MH,SL))</f>
        <v>14</v>
      </c>
      <c r="H100" s="513">
        <f t="array" ref="H100">SUM(IF("1521"&amp;C100=KHN&amp;MH,TH))</f>
        <v>228242</v>
      </c>
      <c r="I100" s="513">
        <f t="array" ref="I100">SUM(IF("1521"&amp;C100=KHC&amp;MH,SL))</f>
        <v>14</v>
      </c>
      <c r="J100" s="513">
        <f t="array" ref="J100">SUM(IF("1521"&amp;C100=KHC&amp;MH,TH))</f>
        <v>228242</v>
      </c>
      <c r="K100" s="495">
        <f t="shared" si="14"/>
        <v>0</v>
      </c>
      <c r="L100" s="495">
        <f t="shared" si="15"/>
        <v>0</v>
      </c>
      <c r="M100" s="300"/>
      <c r="N100" s="300"/>
    </row>
    <row r="101" spans="1:14" s="294" customFormat="1" ht="18" customHeight="1">
      <c r="A101" s="300" t="str">
        <f t="shared" si="13"/>
        <v>NL</v>
      </c>
      <c r="B101" s="555">
        <f t="shared" si="16"/>
        <v>86</v>
      </c>
      <c r="C101" s="567" t="s">
        <v>579</v>
      </c>
      <c r="D101" s="557" t="s">
        <v>360</v>
      </c>
      <c r="E101" s="495"/>
      <c r="F101" s="495"/>
      <c r="G101" s="513">
        <f t="array" ref="G101">SUM(IF("1521"&amp;C101=KHN&amp;MH,SL))</f>
        <v>12</v>
      </c>
      <c r="H101" s="513">
        <f t="array" ref="H101">SUM(IF("1521"&amp;C101=KHN&amp;MH,TH))</f>
        <v>157080</v>
      </c>
      <c r="I101" s="513">
        <f t="array" ref="I101">SUM(IF("1521"&amp;C101=KHC&amp;MH,SL))</f>
        <v>12</v>
      </c>
      <c r="J101" s="513">
        <f t="array" ref="J101">SUM(IF("1521"&amp;C101=KHC&amp;MH,TH))</f>
        <v>157080</v>
      </c>
      <c r="K101" s="495">
        <f t="shared" si="14"/>
        <v>0</v>
      </c>
      <c r="L101" s="495">
        <f t="shared" si="15"/>
        <v>0</v>
      </c>
      <c r="M101" s="300"/>
      <c r="N101" s="300"/>
    </row>
    <row r="102" spans="1:14" s="294" customFormat="1" ht="18" customHeight="1">
      <c r="A102" s="300" t="str">
        <f t="shared" si="13"/>
        <v>NL</v>
      </c>
      <c r="B102" s="555">
        <f t="shared" si="16"/>
        <v>87</v>
      </c>
      <c r="C102" s="567" t="s">
        <v>581</v>
      </c>
      <c r="D102" s="557" t="s">
        <v>360</v>
      </c>
      <c r="E102" s="495"/>
      <c r="F102" s="495"/>
      <c r="G102" s="513">
        <f t="array" ref="G102">SUM(IF("1521"&amp;C102=KHN&amp;MH,SL))</f>
        <v>84</v>
      </c>
      <c r="H102" s="513">
        <f t="array" ref="H102">SUM(IF("1521"&amp;C102=KHN&amp;MH,TH))</f>
        <v>1199520</v>
      </c>
      <c r="I102" s="513">
        <f t="array" ref="I102">SUM(IF("1521"&amp;C102=KHC&amp;MH,SL))</f>
        <v>84</v>
      </c>
      <c r="J102" s="513">
        <f t="array" ref="J102">SUM(IF("1521"&amp;C102=KHC&amp;MH,TH))</f>
        <v>1199520</v>
      </c>
      <c r="K102" s="495">
        <f t="shared" si="14"/>
        <v>0</v>
      </c>
      <c r="L102" s="495">
        <f t="shared" si="15"/>
        <v>0</v>
      </c>
      <c r="M102" s="300"/>
      <c r="N102" s="300"/>
    </row>
    <row r="103" spans="1:14" s="294" customFormat="1" ht="18" customHeight="1">
      <c r="A103" s="300" t="str">
        <f t="shared" si="13"/>
        <v>NL</v>
      </c>
      <c r="B103" s="555">
        <f t="shared" si="16"/>
        <v>88</v>
      </c>
      <c r="C103" s="567" t="s">
        <v>582</v>
      </c>
      <c r="D103" s="557" t="s">
        <v>360</v>
      </c>
      <c r="E103" s="495"/>
      <c r="F103" s="495"/>
      <c r="G103" s="513">
        <f t="array" ref="G103">SUM(IF("1521"&amp;C103=KHN&amp;MH,SL))</f>
        <v>32</v>
      </c>
      <c r="H103" s="513">
        <f t="array" ref="H103">SUM(IF("1521"&amp;C103=KHN&amp;MH,TH))</f>
        <v>875840</v>
      </c>
      <c r="I103" s="513">
        <f t="array" ref="I103">SUM(IF("1521"&amp;C103=KHC&amp;MH,SL))</f>
        <v>32</v>
      </c>
      <c r="J103" s="513">
        <f t="array" ref="J103">SUM(IF("1521"&amp;C103=KHC&amp;MH,TH))</f>
        <v>875840</v>
      </c>
      <c r="K103" s="495">
        <f t="shared" si="14"/>
        <v>0</v>
      </c>
      <c r="L103" s="495">
        <f t="shared" si="15"/>
        <v>0</v>
      </c>
      <c r="M103" s="300"/>
      <c r="N103" s="300"/>
    </row>
    <row r="104" spans="1:14" s="294" customFormat="1" ht="18" customHeight="1">
      <c r="A104" s="300" t="str">
        <f t="shared" si="13"/>
        <v>NL</v>
      </c>
      <c r="B104" s="555">
        <f t="shared" si="16"/>
        <v>89</v>
      </c>
      <c r="C104" s="567" t="s">
        <v>583</v>
      </c>
      <c r="D104" s="557" t="s">
        <v>360</v>
      </c>
      <c r="E104" s="495"/>
      <c r="F104" s="495"/>
      <c r="G104" s="513">
        <f t="array" ref="G104">SUM(IF("1521"&amp;C104=KHN&amp;MH,SL))</f>
        <v>90</v>
      </c>
      <c r="H104" s="513">
        <f t="array" ref="H104">SUM(IF("1521"&amp;C104=KHN&amp;MH,TH))</f>
        <v>2399040</v>
      </c>
      <c r="I104" s="513">
        <f t="array" ref="I104">SUM(IF("1521"&amp;C104=KHC&amp;MH,SL))</f>
        <v>90</v>
      </c>
      <c r="J104" s="513">
        <f t="array" ref="J104">SUM(IF("1521"&amp;C104=KHC&amp;MH,TH))</f>
        <v>2399040</v>
      </c>
      <c r="K104" s="495">
        <f t="shared" si="14"/>
        <v>0</v>
      </c>
      <c r="L104" s="495">
        <f t="shared" si="15"/>
        <v>0</v>
      </c>
      <c r="M104" s="300"/>
      <c r="N104" s="300"/>
    </row>
    <row r="105" spans="1:14" s="294" customFormat="1" ht="18" customHeight="1">
      <c r="A105" s="300" t="str">
        <f t="shared" si="13"/>
        <v>NL</v>
      </c>
      <c r="B105" s="555">
        <f t="shared" si="16"/>
        <v>90</v>
      </c>
      <c r="C105" s="567" t="s">
        <v>584</v>
      </c>
      <c r="D105" s="557" t="s">
        <v>360</v>
      </c>
      <c r="E105" s="495"/>
      <c r="F105" s="495"/>
      <c r="G105" s="513">
        <f t="array" ref="G105">SUM(IF("1521"&amp;C105=KHN&amp;MH,SL))</f>
        <v>132</v>
      </c>
      <c r="H105" s="513">
        <f t="array" ref="H105">SUM(IF("1521"&amp;C105=KHN&amp;MH,TH))</f>
        <v>2784936</v>
      </c>
      <c r="I105" s="513">
        <f t="array" ref="I105">SUM(IF("1521"&amp;C105=KHC&amp;MH,SL))</f>
        <v>132</v>
      </c>
      <c r="J105" s="513">
        <f t="array" ref="J105">SUM(IF("1521"&amp;C105=KHC&amp;MH,TH))</f>
        <v>2784936</v>
      </c>
      <c r="K105" s="495">
        <f t="shared" si="14"/>
        <v>0</v>
      </c>
      <c r="L105" s="495">
        <f t="shared" si="15"/>
        <v>0</v>
      </c>
      <c r="M105" s="300"/>
      <c r="N105" s="300"/>
    </row>
    <row r="106" spans="1:14" s="294" customFormat="1" ht="18" customHeight="1">
      <c r="A106" s="300" t="str">
        <f t="shared" si="13"/>
        <v>NL</v>
      </c>
      <c r="B106" s="555">
        <f t="shared" si="16"/>
        <v>91</v>
      </c>
      <c r="C106" s="567" t="s">
        <v>586</v>
      </c>
      <c r="D106" s="557" t="s">
        <v>360</v>
      </c>
      <c r="E106" s="495"/>
      <c r="F106" s="495"/>
      <c r="G106" s="513">
        <f t="array" ref="G106">SUM(IF("1521"&amp;C106=KHN&amp;MH,SL))</f>
        <v>182</v>
      </c>
      <c r="H106" s="513">
        <f t="array" ref="H106">SUM(IF("1521"&amp;C106=KHN&amp;MH,TH))</f>
        <v>3534076</v>
      </c>
      <c r="I106" s="513">
        <f t="array" ref="I106">SUM(IF("1521"&amp;C106=KHC&amp;MH,SL))</f>
        <v>182</v>
      </c>
      <c r="J106" s="513">
        <f t="array" ref="J106">SUM(IF("1521"&amp;C106=KHC&amp;MH,TH))</f>
        <v>3534076</v>
      </c>
      <c r="K106" s="495">
        <f t="shared" si="14"/>
        <v>0</v>
      </c>
      <c r="L106" s="495">
        <f t="shared" si="15"/>
        <v>0</v>
      </c>
      <c r="M106" s="300"/>
      <c r="N106" s="300"/>
    </row>
    <row r="107" spans="1:14" s="294" customFormat="1" ht="18" customHeight="1">
      <c r="A107" s="300" t="str">
        <f t="shared" si="13"/>
        <v>NL</v>
      </c>
      <c r="B107" s="555">
        <f t="shared" si="16"/>
        <v>92</v>
      </c>
      <c r="C107" s="567" t="s">
        <v>587</v>
      </c>
      <c r="D107" s="557" t="s">
        <v>360</v>
      </c>
      <c r="E107" s="495"/>
      <c r="F107" s="495"/>
      <c r="G107" s="513">
        <f t="array" ref="G107">SUM(IF("1521"&amp;C107=KHN&amp;MH,SL))</f>
        <v>487</v>
      </c>
      <c r="H107" s="513">
        <f t="array" ref="H107">SUM(IF("1521"&amp;C107=KHN&amp;MH,TH))</f>
        <v>10949708</v>
      </c>
      <c r="I107" s="513">
        <f t="array" ref="I107">SUM(IF("1521"&amp;C107=KHC&amp;MH,SL))</f>
        <v>487</v>
      </c>
      <c r="J107" s="513">
        <f t="array" ref="J107">SUM(IF("1521"&amp;C107=KHC&amp;MH,TH))</f>
        <v>10949708</v>
      </c>
      <c r="K107" s="495">
        <f t="shared" si="14"/>
        <v>0</v>
      </c>
      <c r="L107" s="495">
        <f t="shared" si="15"/>
        <v>0</v>
      </c>
      <c r="M107" s="300"/>
      <c r="N107" s="300"/>
    </row>
    <row r="108" spans="1:14" s="294" customFormat="1" ht="18" customHeight="1">
      <c r="A108" s="300" t="str">
        <f t="shared" si="13"/>
        <v>NL</v>
      </c>
      <c r="B108" s="555">
        <f t="shared" si="16"/>
        <v>93</v>
      </c>
      <c r="C108" s="567" t="s">
        <v>588</v>
      </c>
      <c r="D108" s="557" t="s">
        <v>360</v>
      </c>
      <c r="E108" s="495"/>
      <c r="F108" s="495"/>
      <c r="G108" s="513">
        <f t="array" ref="G108">SUM(IF("1521"&amp;C108=KHN&amp;MH,SL))</f>
        <v>234</v>
      </c>
      <c r="H108" s="513">
        <f t="array" ref="H108">SUM(IF("1521"&amp;C108=KHN&amp;MH,TH))</f>
        <v>4304664</v>
      </c>
      <c r="I108" s="513">
        <f t="array" ref="I108">SUM(IF("1521"&amp;C108=KHC&amp;MH,SL))</f>
        <v>234</v>
      </c>
      <c r="J108" s="513">
        <f t="array" ref="J108">SUM(IF("1521"&amp;C108=KHC&amp;MH,TH))</f>
        <v>4304664</v>
      </c>
      <c r="K108" s="495">
        <f t="shared" si="14"/>
        <v>0</v>
      </c>
      <c r="L108" s="495">
        <f t="shared" si="15"/>
        <v>0</v>
      </c>
      <c r="M108" s="300"/>
      <c r="N108" s="300"/>
    </row>
    <row r="109" spans="1:14" s="294" customFormat="1" ht="18" customHeight="1">
      <c r="A109" s="300" t="str">
        <f t="shared" si="13"/>
        <v>NL</v>
      </c>
      <c r="B109" s="555">
        <f t="shared" si="16"/>
        <v>94</v>
      </c>
      <c r="C109" s="567" t="s">
        <v>589</v>
      </c>
      <c r="D109" s="557" t="s">
        <v>360</v>
      </c>
      <c r="E109" s="495"/>
      <c r="F109" s="495"/>
      <c r="G109" s="513">
        <f t="array" ref="G109">SUM(IF("1521"&amp;C109=KHN&amp;MH,SL))</f>
        <v>45</v>
      </c>
      <c r="H109" s="513">
        <f t="array" ref="H109">SUM(IF("1521"&amp;C109=KHN&amp;MH,TH))</f>
        <v>1340640</v>
      </c>
      <c r="I109" s="513">
        <f t="array" ref="I109">SUM(IF("1521"&amp;C109=KHC&amp;MH,SL))</f>
        <v>45</v>
      </c>
      <c r="J109" s="513">
        <f t="array" ref="J109">SUM(IF("1521"&amp;C109=KHC&amp;MH,TH))</f>
        <v>1340640</v>
      </c>
      <c r="K109" s="495">
        <f t="shared" si="14"/>
        <v>0</v>
      </c>
      <c r="L109" s="495">
        <f t="shared" si="15"/>
        <v>0</v>
      </c>
      <c r="M109" s="300"/>
      <c r="N109" s="300"/>
    </row>
    <row r="110" spans="1:14" s="294" customFormat="1" ht="18" customHeight="1">
      <c r="A110" s="300" t="str">
        <f t="shared" si="13"/>
        <v>NL</v>
      </c>
      <c r="B110" s="555">
        <f t="shared" si="16"/>
        <v>95</v>
      </c>
      <c r="C110" s="567" t="s">
        <v>590</v>
      </c>
      <c r="D110" s="557" t="s">
        <v>360</v>
      </c>
      <c r="E110" s="495"/>
      <c r="F110" s="495"/>
      <c r="G110" s="513">
        <f t="array" ref="G110">SUM(IF("1521"&amp;C110=KHN&amp;MH,SL))</f>
        <v>391</v>
      </c>
      <c r="H110" s="513">
        <f t="array" ref="H110">SUM(IF("1521"&amp;C110=KHN&amp;MH,TH))</f>
        <v>7499380</v>
      </c>
      <c r="I110" s="513">
        <f t="array" ref="I110">SUM(IF("1521"&amp;C110=KHC&amp;MH,SL))</f>
        <v>391</v>
      </c>
      <c r="J110" s="513">
        <f t="array" ref="J110">SUM(IF("1521"&amp;C110=KHC&amp;MH,TH))</f>
        <v>7499380</v>
      </c>
      <c r="K110" s="495">
        <f t="shared" si="14"/>
        <v>0</v>
      </c>
      <c r="L110" s="495">
        <f t="shared" si="15"/>
        <v>0</v>
      </c>
      <c r="M110" s="300"/>
      <c r="N110" s="300"/>
    </row>
    <row r="111" spans="1:14" s="294" customFormat="1" ht="18" customHeight="1">
      <c r="A111" s="300" t="str">
        <f t="shared" si="13"/>
        <v>NL</v>
      </c>
      <c r="B111" s="555">
        <f t="shared" si="16"/>
        <v>96</v>
      </c>
      <c r="C111" s="567" t="s">
        <v>591</v>
      </c>
      <c r="D111" s="557" t="s">
        <v>360</v>
      </c>
      <c r="E111" s="495"/>
      <c r="F111" s="495"/>
      <c r="G111" s="513">
        <f t="array" ref="G111">SUM(IF("1521"&amp;C111=KHN&amp;MH,SL))</f>
        <v>20</v>
      </c>
      <c r="H111" s="513">
        <f t="array" ref="H111">SUM(IF("1521"&amp;C111=KHN&amp;MH,TH))</f>
        <v>627200</v>
      </c>
      <c r="I111" s="513">
        <f t="array" ref="I111">SUM(IF("1521"&amp;C111=KHC&amp;MH,SL))</f>
        <v>20</v>
      </c>
      <c r="J111" s="513">
        <f t="array" ref="J111">SUM(IF("1521"&amp;C111=KHC&amp;MH,TH))</f>
        <v>627200</v>
      </c>
      <c r="K111" s="495">
        <f t="shared" si="14"/>
        <v>0</v>
      </c>
      <c r="L111" s="495">
        <f t="shared" si="15"/>
        <v>0</v>
      </c>
      <c r="M111" s="300"/>
      <c r="N111" s="300"/>
    </row>
    <row r="112" spans="1:14" s="294" customFormat="1" ht="18" customHeight="1">
      <c r="A112" s="300" t="str">
        <f t="shared" si="13"/>
        <v>NL</v>
      </c>
      <c r="B112" s="555">
        <f t="shared" si="16"/>
        <v>97</v>
      </c>
      <c r="C112" s="567" t="s">
        <v>592</v>
      </c>
      <c r="D112" s="557" t="s">
        <v>360</v>
      </c>
      <c r="E112" s="495"/>
      <c r="F112" s="495"/>
      <c r="G112" s="513">
        <f t="array" ref="G112">SUM(IF("1521"&amp;C112=KHN&amp;MH,SL))</f>
        <v>58</v>
      </c>
      <c r="H112" s="513">
        <f t="array" ref="H112">SUM(IF("1521"&amp;C112=KHN&amp;MH,TH))</f>
        <v>1651608</v>
      </c>
      <c r="I112" s="513">
        <f t="array" ref="I112">SUM(IF("1521"&amp;C112=KHC&amp;MH,SL))</f>
        <v>58</v>
      </c>
      <c r="J112" s="513">
        <f t="array" ref="J112">SUM(IF("1521"&amp;C112=KHC&amp;MH,TH))</f>
        <v>1651608</v>
      </c>
      <c r="K112" s="495">
        <f t="shared" si="14"/>
        <v>0</v>
      </c>
      <c r="L112" s="495">
        <f t="shared" si="15"/>
        <v>0</v>
      </c>
      <c r="M112" s="300"/>
      <c r="N112" s="300"/>
    </row>
    <row r="113" spans="1:14" s="294" customFormat="1" ht="18" customHeight="1">
      <c r="A113" s="300" t="str">
        <f t="shared" si="13"/>
        <v>NL</v>
      </c>
      <c r="B113" s="555">
        <f t="shared" si="16"/>
        <v>98</v>
      </c>
      <c r="C113" s="567" t="s">
        <v>593</v>
      </c>
      <c r="D113" s="557" t="s">
        <v>360</v>
      </c>
      <c r="E113" s="495"/>
      <c r="F113" s="495"/>
      <c r="G113" s="513">
        <f t="array" ref="G113">SUM(IF("1521"&amp;C113=KHN&amp;MH,SL))</f>
        <v>92</v>
      </c>
      <c r="H113" s="513">
        <f t="array" ref="H113">SUM(IF("1521"&amp;C113=KHN&amp;MH,TH))</f>
        <v>2765336</v>
      </c>
      <c r="I113" s="513">
        <f t="array" ref="I113">SUM(IF("1521"&amp;C113=KHC&amp;MH,SL))</f>
        <v>92</v>
      </c>
      <c r="J113" s="513">
        <f t="array" ref="J113">SUM(IF("1521"&amp;C113=KHC&amp;MH,TH))</f>
        <v>2765336</v>
      </c>
      <c r="K113" s="495">
        <f t="shared" ref="K113:K146" si="17">E113+G113-I113</f>
        <v>0</v>
      </c>
      <c r="L113" s="495">
        <f t="shared" ref="L113:L146" si="18">F113+H113-J113</f>
        <v>0</v>
      </c>
      <c r="M113" s="300"/>
      <c r="N113" s="300"/>
    </row>
    <row r="114" spans="1:14" s="294" customFormat="1" ht="18" customHeight="1">
      <c r="A114" s="300" t="str">
        <f t="shared" si="13"/>
        <v>NL</v>
      </c>
      <c r="B114" s="555">
        <f t="shared" ref="B114:B145" si="19">IF(C114&lt;&gt;"",B113+1,"")</f>
        <v>99</v>
      </c>
      <c r="C114" s="567" t="s">
        <v>595</v>
      </c>
      <c r="D114" s="557" t="s">
        <v>360</v>
      </c>
      <c r="E114" s="495"/>
      <c r="F114" s="495"/>
      <c r="G114" s="513">
        <f t="array" ref="G114">SUM(IF("1521"&amp;C114=KHN&amp;MH,SL))</f>
        <v>20</v>
      </c>
      <c r="H114" s="513">
        <f t="array" ref="H114">SUM(IF("1521"&amp;C114=KHN&amp;MH,TH))</f>
        <v>571200</v>
      </c>
      <c r="I114" s="513">
        <f t="array" ref="I114">SUM(IF("1521"&amp;C114=KHC&amp;MH,SL))</f>
        <v>20</v>
      </c>
      <c r="J114" s="513">
        <f t="array" ref="J114">SUM(IF("1521"&amp;C114=KHC&amp;MH,TH))</f>
        <v>571200</v>
      </c>
      <c r="K114" s="495">
        <f t="shared" si="17"/>
        <v>0</v>
      </c>
      <c r="L114" s="495">
        <f t="shared" si="18"/>
        <v>0</v>
      </c>
      <c r="M114" s="300"/>
      <c r="N114" s="300"/>
    </row>
    <row r="115" spans="1:14" s="294" customFormat="1" ht="18" customHeight="1">
      <c r="A115" s="300" t="str">
        <f t="shared" si="13"/>
        <v>NL</v>
      </c>
      <c r="B115" s="555">
        <f t="shared" si="19"/>
        <v>100</v>
      </c>
      <c r="C115" s="567" t="s">
        <v>596</v>
      </c>
      <c r="D115" s="557" t="s">
        <v>360</v>
      </c>
      <c r="E115" s="495"/>
      <c r="F115" s="495"/>
      <c r="G115" s="513">
        <f t="array" ref="G115">SUM(IF("1521"&amp;C115=KHN&amp;MH,SL))</f>
        <v>10</v>
      </c>
      <c r="H115" s="513">
        <f t="array" ref="H115">SUM(IF("1521"&amp;C115=KHN&amp;MH,TH))</f>
        <v>328440</v>
      </c>
      <c r="I115" s="513">
        <f t="array" ref="I115">SUM(IF("1521"&amp;C115=KHC&amp;MH,SL))</f>
        <v>10</v>
      </c>
      <c r="J115" s="513">
        <f t="array" ref="J115">SUM(IF("1521"&amp;C115=KHC&amp;MH,TH))</f>
        <v>328440</v>
      </c>
      <c r="K115" s="495">
        <f t="shared" si="17"/>
        <v>0</v>
      </c>
      <c r="L115" s="495">
        <f t="shared" si="18"/>
        <v>0</v>
      </c>
      <c r="M115" s="300"/>
      <c r="N115" s="300"/>
    </row>
    <row r="116" spans="1:14" s="294" customFormat="1" ht="18" customHeight="1">
      <c r="A116" s="300" t="str">
        <f t="shared" si="13"/>
        <v>NL</v>
      </c>
      <c r="B116" s="555">
        <f t="shared" si="19"/>
        <v>101</v>
      </c>
      <c r="C116" s="567" t="s">
        <v>597</v>
      </c>
      <c r="D116" s="557" t="s">
        <v>360</v>
      </c>
      <c r="E116" s="495"/>
      <c r="F116" s="495"/>
      <c r="G116" s="513">
        <f t="array" ref="G116">SUM(IF("1521"&amp;C116=KHN&amp;MH,SL))</f>
        <v>192</v>
      </c>
      <c r="H116" s="513">
        <f t="array" ref="H116">SUM(IF("1521"&amp;C116=KHN&amp;MH,TH))</f>
        <v>3924480</v>
      </c>
      <c r="I116" s="513">
        <f t="array" ref="I116">SUM(IF("1521"&amp;C116=KHC&amp;MH,SL))</f>
        <v>192</v>
      </c>
      <c r="J116" s="513">
        <f t="array" ref="J116">SUM(IF("1521"&amp;C116=KHC&amp;MH,TH))</f>
        <v>3924480</v>
      </c>
      <c r="K116" s="495">
        <f t="shared" si="17"/>
        <v>0</v>
      </c>
      <c r="L116" s="495">
        <f t="shared" si="18"/>
        <v>0</v>
      </c>
      <c r="M116" s="300"/>
      <c r="N116" s="300"/>
    </row>
    <row r="117" spans="1:14" s="294" customFormat="1" ht="18" customHeight="1">
      <c r="A117" s="300" t="str">
        <f t="shared" si="13"/>
        <v>NL</v>
      </c>
      <c r="B117" s="555">
        <f t="shared" si="19"/>
        <v>102</v>
      </c>
      <c r="C117" s="567" t="s">
        <v>598</v>
      </c>
      <c r="D117" s="557" t="s">
        <v>360</v>
      </c>
      <c r="E117" s="495"/>
      <c r="F117" s="495"/>
      <c r="G117" s="513">
        <f t="array" ref="G117">SUM(IF("1521"&amp;C117=KHN&amp;MH,SL))</f>
        <v>20</v>
      </c>
      <c r="H117" s="513">
        <f t="array" ref="H117">SUM(IF("1521"&amp;C117=KHN&amp;MH,TH))</f>
        <v>632800</v>
      </c>
      <c r="I117" s="513">
        <f t="array" ref="I117">SUM(IF("1521"&amp;C117=KHC&amp;MH,SL))</f>
        <v>20</v>
      </c>
      <c r="J117" s="513">
        <f t="array" ref="J117">SUM(IF("1521"&amp;C117=KHC&amp;MH,TH))</f>
        <v>632800</v>
      </c>
      <c r="K117" s="495">
        <f t="shared" si="17"/>
        <v>0</v>
      </c>
      <c r="L117" s="495">
        <f t="shared" si="18"/>
        <v>0</v>
      </c>
      <c r="M117" s="300"/>
      <c r="N117" s="300"/>
    </row>
    <row r="118" spans="1:14" s="294" customFormat="1" ht="18" customHeight="1">
      <c r="A118" s="300" t="str">
        <f t="shared" si="13"/>
        <v>NL</v>
      </c>
      <c r="B118" s="555">
        <f t="shared" si="19"/>
        <v>103</v>
      </c>
      <c r="C118" s="567" t="s">
        <v>599</v>
      </c>
      <c r="D118" s="557" t="s">
        <v>360</v>
      </c>
      <c r="E118" s="495"/>
      <c r="F118" s="495"/>
      <c r="G118" s="513">
        <f t="array" ref="G118">SUM(IF("1521"&amp;C118=KHN&amp;MH,SL))</f>
        <v>55</v>
      </c>
      <c r="H118" s="513">
        <f t="array" ref="H118">SUM(IF("1521"&amp;C118=KHN&amp;MH,TH))</f>
        <v>1314830</v>
      </c>
      <c r="I118" s="513">
        <f t="array" ref="I118">SUM(IF("1521"&amp;C118=KHC&amp;MH,SL))</f>
        <v>55</v>
      </c>
      <c r="J118" s="513">
        <f t="array" ref="J118">SUM(IF("1521"&amp;C118=KHC&amp;MH,TH))</f>
        <v>1314830</v>
      </c>
      <c r="K118" s="495">
        <f t="shared" si="17"/>
        <v>0</v>
      </c>
      <c r="L118" s="495">
        <f t="shared" si="18"/>
        <v>0</v>
      </c>
      <c r="M118" s="300"/>
      <c r="N118" s="300"/>
    </row>
    <row r="119" spans="1:14" s="294" customFormat="1" ht="18" customHeight="1">
      <c r="A119" s="300" t="str">
        <f t="shared" si="13"/>
        <v>NL</v>
      </c>
      <c r="B119" s="555">
        <f t="shared" si="19"/>
        <v>104</v>
      </c>
      <c r="C119" s="567" t="s">
        <v>601</v>
      </c>
      <c r="D119" s="557" t="s">
        <v>360</v>
      </c>
      <c r="E119" s="495"/>
      <c r="F119" s="495"/>
      <c r="G119" s="513">
        <f t="array" ref="G119">SUM(IF("1521"&amp;C119=KHN&amp;MH,SL))</f>
        <v>100</v>
      </c>
      <c r="H119" s="513">
        <f t="array" ref="H119">SUM(IF("1521"&amp;C119=KHN&amp;MH,TH))</f>
        <v>2368800</v>
      </c>
      <c r="I119" s="513">
        <f t="array" ref="I119">SUM(IF("1521"&amp;C119=KHC&amp;MH,SL))</f>
        <v>100</v>
      </c>
      <c r="J119" s="513">
        <f t="array" ref="J119">SUM(IF("1521"&amp;C119=KHC&amp;MH,TH))</f>
        <v>2368800</v>
      </c>
      <c r="K119" s="495">
        <f t="shared" si="17"/>
        <v>0</v>
      </c>
      <c r="L119" s="495">
        <f t="shared" si="18"/>
        <v>0</v>
      </c>
      <c r="M119" s="300"/>
      <c r="N119" s="300"/>
    </row>
    <row r="120" spans="1:14" s="294" customFormat="1" ht="18" customHeight="1">
      <c r="A120" s="300" t="str">
        <f t="shared" si="13"/>
        <v>NL</v>
      </c>
      <c r="B120" s="555">
        <f t="shared" si="19"/>
        <v>105</v>
      </c>
      <c r="C120" s="567" t="s">
        <v>602</v>
      </c>
      <c r="D120" s="557" t="s">
        <v>360</v>
      </c>
      <c r="E120" s="495"/>
      <c r="F120" s="495"/>
      <c r="G120" s="513">
        <f t="array" ref="G120">SUM(IF("1521"&amp;C120=KHN&amp;MH,SL))</f>
        <v>94</v>
      </c>
      <c r="H120" s="513">
        <f t="array" ref="H120">SUM(IF("1521"&amp;C120=KHN&amp;MH,TH))</f>
        <v>2724120</v>
      </c>
      <c r="I120" s="513">
        <f t="array" ref="I120">SUM(IF("1521"&amp;C120=KHC&amp;MH,SL))</f>
        <v>94</v>
      </c>
      <c r="J120" s="513">
        <f t="array" ref="J120">SUM(IF("1521"&amp;C120=KHC&amp;MH,TH))</f>
        <v>2724120</v>
      </c>
      <c r="K120" s="495">
        <f t="shared" si="17"/>
        <v>0</v>
      </c>
      <c r="L120" s="495">
        <f t="shared" si="18"/>
        <v>0</v>
      </c>
      <c r="M120" s="300"/>
      <c r="N120" s="300"/>
    </row>
    <row r="121" spans="1:14" s="294" customFormat="1" ht="18" customHeight="1">
      <c r="A121" s="300" t="str">
        <f t="shared" si="13"/>
        <v>NL</v>
      </c>
      <c r="B121" s="555">
        <f t="shared" si="19"/>
        <v>106</v>
      </c>
      <c r="C121" s="567" t="s">
        <v>603</v>
      </c>
      <c r="D121" s="557" t="s">
        <v>360</v>
      </c>
      <c r="E121" s="495"/>
      <c r="F121" s="495"/>
      <c r="G121" s="513">
        <f t="array" ref="G121">SUM(IF("1521"&amp;C121=KHN&amp;MH,SL))</f>
        <v>640</v>
      </c>
      <c r="H121" s="513">
        <f t="array" ref="H121">SUM(IF("1521"&amp;C121=KHN&amp;MH,TH))</f>
        <v>15344000</v>
      </c>
      <c r="I121" s="513">
        <f t="array" ref="I121">SUM(IF("1521"&amp;C121=KHC&amp;MH,SL))</f>
        <v>640</v>
      </c>
      <c r="J121" s="513">
        <f t="array" ref="J121">SUM(IF("1521"&amp;C121=KHC&amp;MH,TH))</f>
        <v>15344000</v>
      </c>
      <c r="K121" s="495">
        <f t="shared" si="17"/>
        <v>0</v>
      </c>
      <c r="L121" s="495">
        <f t="shared" si="18"/>
        <v>0</v>
      </c>
      <c r="M121" s="300"/>
      <c r="N121" s="300"/>
    </row>
    <row r="122" spans="1:14" s="294" customFormat="1" ht="18" customHeight="1">
      <c r="A122" s="300" t="str">
        <f t="shared" si="13"/>
        <v>NL</v>
      </c>
      <c r="B122" s="555">
        <f t="shared" si="19"/>
        <v>107</v>
      </c>
      <c r="C122" s="567" t="s">
        <v>604</v>
      </c>
      <c r="D122" s="557" t="s">
        <v>360</v>
      </c>
      <c r="E122" s="495"/>
      <c r="F122" s="495"/>
      <c r="G122" s="513">
        <f t="array" ref="G122">SUM(IF("1521"&amp;C122=KHN&amp;MH,SL))</f>
        <v>170</v>
      </c>
      <c r="H122" s="513">
        <f t="array" ref="H122">SUM(IF("1521"&amp;C122=KHN&amp;MH,TH))</f>
        <v>2839510</v>
      </c>
      <c r="I122" s="513">
        <f t="array" ref="I122">SUM(IF("1521"&amp;C122=KHC&amp;MH,SL))</f>
        <v>170</v>
      </c>
      <c r="J122" s="513">
        <f t="array" ref="J122">SUM(IF("1521"&amp;C122=KHC&amp;MH,TH))</f>
        <v>2839510</v>
      </c>
      <c r="K122" s="495">
        <f t="shared" si="17"/>
        <v>0</v>
      </c>
      <c r="L122" s="495">
        <f t="shared" si="18"/>
        <v>0</v>
      </c>
      <c r="M122" s="300"/>
      <c r="N122" s="300"/>
    </row>
    <row r="123" spans="1:14" s="294" customFormat="1" ht="18" customHeight="1">
      <c r="A123" s="300" t="str">
        <f t="shared" si="13"/>
        <v>NL</v>
      </c>
      <c r="B123" s="555">
        <f t="shared" si="19"/>
        <v>108</v>
      </c>
      <c r="C123" s="567" t="s">
        <v>605</v>
      </c>
      <c r="D123" s="557" t="s">
        <v>360</v>
      </c>
      <c r="E123" s="495"/>
      <c r="F123" s="495"/>
      <c r="G123" s="513">
        <f t="array" ref="G123">SUM(IF("1521"&amp;C123=KHN&amp;MH,SL))</f>
        <v>194</v>
      </c>
      <c r="H123" s="513">
        <f t="array" ref="H123">SUM(IF("1521"&amp;C123=KHN&amp;MH,TH))</f>
        <v>6399090</v>
      </c>
      <c r="I123" s="513">
        <f t="array" ref="I123">SUM(IF("1521"&amp;C123=KHC&amp;MH,SL))</f>
        <v>194</v>
      </c>
      <c r="J123" s="513">
        <f t="array" ref="J123">SUM(IF("1521"&amp;C123=KHC&amp;MH,TH))</f>
        <v>6399090</v>
      </c>
      <c r="K123" s="495">
        <f t="shared" si="17"/>
        <v>0</v>
      </c>
      <c r="L123" s="495">
        <f t="shared" si="18"/>
        <v>0</v>
      </c>
      <c r="M123" s="300"/>
      <c r="N123" s="300"/>
    </row>
    <row r="124" spans="1:14" s="294" customFormat="1" ht="18" customHeight="1">
      <c r="A124" s="300" t="str">
        <f t="shared" si="13"/>
        <v>NL</v>
      </c>
      <c r="B124" s="555">
        <f t="shared" si="19"/>
        <v>109</v>
      </c>
      <c r="C124" s="556" t="s">
        <v>606</v>
      </c>
      <c r="D124" s="557" t="s">
        <v>360</v>
      </c>
      <c r="E124" s="495"/>
      <c r="F124" s="495"/>
      <c r="G124" s="513">
        <f t="array" ref="G124">SUM(IF("1521"&amp;C124=KHN&amp;MH,SL))</f>
        <v>94</v>
      </c>
      <c r="H124" s="513">
        <f t="array" ref="H124">SUM(IF("1521"&amp;C124=KHN&amp;MH,TH))</f>
        <v>2554450</v>
      </c>
      <c r="I124" s="513">
        <f t="array" ref="I124">SUM(IF("1521"&amp;C124=KHC&amp;MH,SL))</f>
        <v>94</v>
      </c>
      <c r="J124" s="513">
        <f t="array" ref="J124">SUM(IF("1521"&amp;C124=KHC&amp;MH,TH))</f>
        <v>2554450</v>
      </c>
      <c r="K124" s="495">
        <f t="shared" si="17"/>
        <v>0</v>
      </c>
      <c r="L124" s="495">
        <f t="shared" si="18"/>
        <v>0</v>
      </c>
      <c r="M124" s="300"/>
      <c r="N124" s="300"/>
    </row>
    <row r="125" spans="1:14" s="294" customFormat="1" ht="18" customHeight="1">
      <c r="A125" s="300" t="str">
        <f t="shared" si="13"/>
        <v>NL</v>
      </c>
      <c r="B125" s="555">
        <f t="shared" si="19"/>
        <v>110</v>
      </c>
      <c r="C125" s="556" t="s">
        <v>607</v>
      </c>
      <c r="D125" s="557" t="s">
        <v>360</v>
      </c>
      <c r="E125" s="495"/>
      <c r="F125" s="495"/>
      <c r="G125" s="513">
        <f t="array" ref="G125">SUM(IF("1521"&amp;C125=KHN&amp;MH,SL))</f>
        <v>260</v>
      </c>
      <c r="H125" s="513">
        <f t="array" ref="H125">SUM(IF("1521"&amp;C125=KHN&amp;MH,TH))</f>
        <v>2588040</v>
      </c>
      <c r="I125" s="513">
        <f t="array" ref="I125">SUM(IF("1521"&amp;C125=KHC&amp;MH,SL))</f>
        <v>260</v>
      </c>
      <c r="J125" s="513">
        <f t="array" ref="J125">SUM(IF("1521"&amp;C125=KHC&amp;MH,TH))</f>
        <v>2588040</v>
      </c>
      <c r="K125" s="495">
        <f t="shared" si="17"/>
        <v>0</v>
      </c>
      <c r="L125" s="495">
        <f t="shared" si="18"/>
        <v>0</v>
      </c>
      <c r="M125" s="300"/>
      <c r="N125" s="300"/>
    </row>
    <row r="126" spans="1:14" s="294" customFormat="1" ht="18" customHeight="1">
      <c r="A126" s="300" t="str">
        <f t="shared" si="13"/>
        <v>NL</v>
      </c>
      <c r="B126" s="555">
        <f t="shared" si="19"/>
        <v>111</v>
      </c>
      <c r="C126" s="556" t="s">
        <v>608</v>
      </c>
      <c r="D126" s="557" t="s">
        <v>360</v>
      </c>
      <c r="E126" s="495"/>
      <c r="F126" s="495"/>
      <c r="G126" s="513">
        <f t="array" ref="G126">SUM(IF("1521"&amp;C126=KHN&amp;MH,SL))</f>
        <v>2300</v>
      </c>
      <c r="H126" s="513">
        <f t="array" ref="H126">SUM(IF("1521"&amp;C126=KHN&amp;MH,TH))</f>
        <v>49346500</v>
      </c>
      <c r="I126" s="513">
        <f t="array" ref="I126">SUM(IF("1521"&amp;C126=KHC&amp;MH,SL))</f>
        <v>2300</v>
      </c>
      <c r="J126" s="513">
        <f t="array" ref="J126">SUM(IF("1521"&amp;C126=KHC&amp;MH,TH))</f>
        <v>49346500</v>
      </c>
      <c r="K126" s="495">
        <f t="shared" si="17"/>
        <v>0</v>
      </c>
      <c r="L126" s="495">
        <f t="shared" si="18"/>
        <v>0</v>
      </c>
      <c r="M126" s="300"/>
      <c r="N126" s="300"/>
    </row>
    <row r="127" spans="1:14" s="294" customFormat="1" ht="18" customHeight="1">
      <c r="A127" s="300" t="str">
        <f t="shared" si="13"/>
        <v>NL</v>
      </c>
      <c r="B127" s="555">
        <f t="shared" si="19"/>
        <v>112</v>
      </c>
      <c r="C127" s="556" t="s">
        <v>609</v>
      </c>
      <c r="D127" s="557" t="s">
        <v>360</v>
      </c>
      <c r="E127" s="495"/>
      <c r="F127" s="495"/>
      <c r="G127" s="513">
        <f t="array" ref="G127">SUM(IF("1521"&amp;C127=KHN&amp;MH,SL))</f>
        <v>260</v>
      </c>
      <c r="H127" s="513">
        <f t="array" ref="H127">SUM(IF("1521"&amp;C127=KHN&amp;MH,TH))</f>
        <v>2960100</v>
      </c>
      <c r="I127" s="513">
        <f t="array" ref="I127">SUM(IF("1521"&amp;C127=KHC&amp;MH,SL))</f>
        <v>260</v>
      </c>
      <c r="J127" s="513">
        <f t="array" ref="J127">SUM(IF("1521"&amp;C127=KHC&amp;MH,TH))</f>
        <v>2960100</v>
      </c>
      <c r="K127" s="495">
        <f t="shared" si="17"/>
        <v>0</v>
      </c>
      <c r="L127" s="495">
        <f t="shared" si="18"/>
        <v>0</v>
      </c>
      <c r="M127" s="300"/>
      <c r="N127" s="300"/>
    </row>
    <row r="128" spans="1:14" s="294" customFormat="1" ht="18" customHeight="1">
      <c r="A128" s="300" t="str">
        <f t="shared" si="13"/>
        <v>NL</v>
      </c>
      <c r="B128" s="555">
        <f t="shared" si="19"/>
        <v>113</v>
      </c>
      <c r="C128" s="556" t="s">
        <v>612</v>
      </c>
      <c r="D128" s="557" t="s">
        <v>360</v>
      </c>
      <c r="E128" s="495"/>
      <c r="F128" s="495"/>
      <c r="G128" s="513">
        <f t="array" ref="G128">SUM(IF("1521"&amp;C128=KHN&amp;MH,SL))</f>
        <v>510</v>
      </c>
      <c r="H128" s="513">
        <f t="array" ref="H128">SUM(IF("1521"&amp;C128=KHN&amp;MH,TH))</f>
        <v>3675570</v>
      </c>
      <c r="I128" s="513">
        <f t="array" ref="I128">SUM(IF("1521"&amp;C128=KHC&amp;MH,SL))</f>
        <v>510</v>
      </c>
      <c r="J128" s="513">
        <f t="array" ref="J128">SUM(IF("1521"&amp;C128=KHC&amp;MH,TH))</f>
        <v>3675570</v>
      </c>
      <c r="K128" s="495">
        <f t="shared" si="17"/>
        <v>0</v>
      </c>
      <c r="L128" s="495">
        <f t="shared" si="18"/>
        <v>0</v>
      </c>
      <c r="M128" s="300"/>
      <c r="N128" s="300"/>
    </row>
    <row r="129" spans="1:14" s="294" customFormat="1" ht="18" customHeight="1">
      <c r="A129" s="300" t="str">
        <f t="shared" si="13"/>
        <v>NL</v>
      </c>
      <c r="B129" s="555">
        <f t="shared" si="19"/>
        <v>114</v>
      </c>
      <c r="C129" s="556" t="s">
        <v>613</v>
      </c>
      <c r="D129" s="557" t="s">
        <v>360</v>
      </c>
      <c r="E129" s="495"/>
      <c r="F129" s="495"/>
      <c r="G129" s="513">
        <f t="array" ref="G129">SUM(IF("1521"&amp;C129=KHN&amp;MH,SL))</f>
        <v>123</v>
      </c>
      <c r="H129" s="513">
        <f t="array" ref="H129">SUM(IF("1521"&amp;C129=KHN&amp;MH,TH))</f>
        <v>4404876</v>
      </c>
      <c r="I129" s="513">
        <f t="array" ref="I129">SUM(IF("1521"&amp;C129=KHC&amp;MH,SL))</f>
        <v>123</v>
      </c>
      <c r="J129" s="513">
        <f t="array" ref="J129">SUM(IF("1521"&amp;C129=KHC&amp;MH,TH))</f>
        <v>4404876</v>
      </c>
      <c r="K129" s="495">
        <f t="shared" si="17"/>
        <v>0</v>
      </c>
      <c r="L129" s="495">
        <f t="shared" si="18"/>
        <v>0</v>
      </c>
      <c r="M129" s="300"/>
      <c r="N129" s="300"/>
    </row>
    <row r="130" spans="1:14" s="294" customFormat="1" ht="18" customHeight="1">
      <c r="A130" s="300" t="str">
        <f t="shared" si="13"/>
        <v>NL</v>
      </c>
      <c r="B130" s="555">
        <f t="shared" si="19"/>
        <v>115</v>
      </c>
      <c r="C130" s="556" t="s">
        <v>615</v>
      </c>
      <c r="D130" s="557" t="s">
        <v>360</v>
      </c>
      <c r="E130" s="495"/>
      <c r="F130" s="495"/>
      <c r="G130" s="513">
        <f t="array" ref="G130">SUM(IF("1521"&amp;C130=KHN&amp;MH,SL))</f>
        <v>120</v>
      </c>
      <c r="H130" s="513">
        <f t="array" ref="H130">SUM(IF("1521"&amp;C130=KHN&amp;MH,TH))</f>
        <v>2951400</v>
      </c>
      <c r="I130" s="513">
        <f t="array" ref="I130">SUM(IF("1521"&amp;C130=KHC&amp;MH,SL))</f>
        <v>120</v>
      </c>
      <c r="J130" s="513">
        <f t="array" ref="J130">SUM(IF("1521"&amp;C130=KHC&amp;MH,TH))</f>
        <v>2951400</v>
      </c>
      <c r="K130" s="495">
        <f t="shared" si="17"/>
        <v>0</v>
      </c>
      <c r="L130" s="495">
        <f t="shared" si="18"/>
        <v>0</v>
      </c>
      <c r="M130" s="300"/>
      <c r="N130" s="300"/>
    </row>
    <row r="131" spans="1:14" s="294" customFormat="1" ht="18" customHeight="1">
      <c r="A131" s="300" t="str">
        <f t="shared" si="13"/>
        <v>NL</v>
      </c>
      <c r="B131" s="555">
        <f t="shared" si="19"/>
        <v>116</v>
      </c>
      <c r="C131" s="567" t="s">
        <v>616</v>
      </c>
      <c r="D131" s="557" t="s">
        <v>360</v>
      </c>
      <c r="E131" s="495"/>
      <c r="F131" s="495"/>
      <c r="G131" s="513">
        <f t="array" ref="G131">SUM(IF("1521"&amp;C131=KHN&amp;MH,SL))</f>
        <v>113</v>
      </c>
      <c r="H131" s="513">
        <f t="array" ref="H131">SUM(IF("1521"&amp;C131=KHN&amp;MH,TH))</f>
        <v>3082979</v>
      </c>
      <c r="I131" s="513">
        <f t="array" ref="I131">SUM(IF("1521"&amp;C131=KHC&amp;MH,SL))</f>
        <v>113</v>
      </c>
      <c r="J131" s="513">
        <f t="array" ref="J131">SUM(IF("1521"&amp;C131=KHC&amp;MH,TH))</f>
        <v>3082979</v>
      </c>
      <c r="K131" s="495">
        <f t="shared" si="17"/>
        <v>0</v>
      </c>
      <c r="L131" s="495">
        <f t="shared" si="18"/>
        <v>0</v>
      </c>
      <c r="M131" s="300"/>
      <c r="N131" s="300"/>
    </row>
    <row r="132" spans="1:14" s="294" customFormat="1" ht="18" customHeight="1">
      <c r="A132" s="300" t="str">
        <f t="shared" si="13"/>
        <v>NL</v>
      </c>
      <c r="B132" s="555">
        <f t="shared" si="19"/>
        <v>117</v>
      </c>
      <c r="C132" s="567" t="s">
        <v>617</v>
      </c>
      <c r="D132" s="557" t="s">
        <v>623</v>
      </c>
      <c r="E132" s="495"/>
      <c r="F132" s="495"/>
      <c r="G132" s="513">
        <f t="array" ref="G132">SUM(IF("1521"&amp;C132=KHN&amp;MH,SL))</f>
        <v>125</v>
      </c>
      <c r="H132" s="513">
        <f t="array" ref="H132">SUM(IF("1521"&amp;C132=KHN&amp;MH,TH))</f>
        <v>3969000</v>
      </c>
      <c r="I132" s="513">
        <f t="array" ref="I132">SUM(IF("1521"&amp;C132=KHC&amp;MH,SL))</f>
        <v>125</v>
      </c>
      <c r="J132" s="513">
        <f t="array" ref="J132">SUM(IF("1521"&amp;C132=KHC&amp;MH,TH))</f>
        <v>3969000</v>
      </c>
      <c r="K132" s="495">
        <f t="shared" si="17"/>
        <v>0</v>
      </c>
      <c r="L132" s="495">
        <f t="shared" si="18"/>
        <v>0</v>
      </c>
      <c r="M132" s="300"/>
      <c r="N132" s="300"/>
    </row>
    <row r="133" spans="1:14" s="294" customFormat="1" ht="18" customHeight="1">
      <c r="A133" s="300" t="str">
        <f t="shared" si="13"/>
        <v>NL</v>
      </c>
      <c r="B133" s="555">
        <f t="shared" si="19"/>
        <v>118</v>
      </c>
      <c r="C133" s="567" t="s">
        <v>618</v>
      </c>
      <c r="D133" s="557" t="s">
        <v>623</v>
      </c>
      <c r="E133" s="495"/>
      <c r="F133" s="495"/>
      <c r="G133" s="513">
        <f t="array" ref="G133">SUM(IF("1521"&amp;C133=KHN&amp;MH,SL))</f>
        <v>120</v>
      </c>
      <c r="H133" s="513">
        <f t="array" ref="H133">SUM(IF("1521"&amp;C133=KHN&amp;MH,TH))</f>
        <v>4158360</v>
      </c>
      <c r="I133" s="513">
        <f t="array" ref="I133">SUM(IF("1521"&amp;C133=KHC&amp;MH,SL))</f>
        <v>120</v>
      </c>
      <c r="J133" s="513">
        <f t="array" ref="J133">SUM(IF("1521"&amp;C133=KHC&amp;MH,TH))</f>
        <v>4158360</v>
      </c>
      <c r="K133" s="495">
        <f t="shared" si="17"/>
        <v>0</v>
      </c>
      <c r="L133" s="495">
        <f t="shared" si="18"/>
        <v>0</v>
      </c>
      <c r="M133" s="300"/>
      <c r="N133" s="300"/>
    </row>
    <row r="134" spans="1:14" s="294" customFormat="1" ht="18" customHeight="1">
      <c r="A134" s="300" t="str">
        <f t="shared" si="13"/>
        <v>NL</v>
      </c>
      <c r="B134" s="555">
        <f t="shared" si="19"/>
        <v>119</v>
      </c>
      <c r="C134" s="567" t="s">
        <v>619</v>
      </c>
      <c r="D134" s="557" t="s">
        <v>623</v>
      </c>
      <c r="E134" s="495"/>
      <c r="F134" s="495"/>
      <c r="G134" s="513">
        <f t="array" ref="G134">SUM(IF("1521"&amp;C134=KHN&amp;MH,SL))</f>
        <v>476</v>
      </c>
      <c r="H134" s="513">
        <f t="array" ref="H134">SUM(IF("1521"&amp;C134=KHN&amp;MH,TH))</f>
        <v>9652328</v>
      </c>
      <c r="I134" s="513">
        <f t="array" ref="I134">SUM(IF("1521"&amp;C134=KHC&amp;MH,SL))</f>
        <v>476</v>
      </c>
      <c r="J134" s="513">
        <f t="array" ref="J134">SUM(IF("1521"&amp;C134=KHC&amp;MH,TH))</f>
        <v>9652328</v>
      </c>
      <c r="K134" s="495">
        <f t="shared" si="17"/>
        <v>0</v>
      </c>
      <c r="L134" s="495">
        <f t="shared" si="18"/>
        <v>0</v>
      </c>
      <c r="M134" s="300"/>
      <c r="N134" s="300"/>
    </row>
    <row r="135" spans="1:14" s="294" customFormat="1" ht="18" customHeight="1">
      <c r="A135" s="300" t="str">
        <f t="shared" si="13"/>
        <v>NL</v>
      </c>
      <c r="B135" s="555">
        <f t="shared" si="19"/>
        <v>120</v>
      </c>
      <c r="C135" s="567" t="s">
        <v>620</v>
      </c>
      <c r="D135" s="557" t="s">
        <v>623</v>
      </c>
      <c r="E135" s="495"/>
      <c r="F135" s="495"/>
      <c r="G135" s="513">
        <f t="array" ref="G135">SUM(IF("1521"&amp;C135=KHN&amp;MH,SL))</f>
        <v>120</v>
      </c>
      <c r="H135" s="513">
        <f t="array" ref="H135">SUM(IF("1521"&amp;C135=KHN&amp;MH,TH))</f>
        <v>3075720</v>
      </c>
      <c r="I135" s="513">
        <f t="array" ref="I135">SUM(IF("1521"&amp;C135=KHC&amp;MH,SL))</f>
        <v>120</v>
      </c>
      <c r="J135" s="513">
        <f t="array" ref="J135">SUM(IF("1521"&amp;C135=KHC&amp;MH,TH))</f>
        <v>3075720</v>
      </c>
      <c r="K135" s="495">
        <f t="shared" si="17"/>
        <v>0</v>
      </c>
      <c r="L135" s="495">
        <f t="shared" si="18"/>
        <v>0</v>
      </c>
      <c r="M135" s="300"/>
      <c r="N135" s="300"/>
    </row>
    <row r="136" spans="1:14" s="294" customFormat="1" ht="18" customHeight="1">
      <c r="A136" s="300" t="str">
        <f t="shared" si="13"/>
        <v>NL</v>
      </c>
      <c r="B136" s="555">
        <f t="shared" si="19"/>
        <v>121</v>
      </c>
      <c r="C136" s="567" t="s">
        <v>621</v>
      </c>
      <c r="D136" s="557" t="s">
        <v>623</v>
      </c>
      <c r="E136" s="495"/>
      <c r="F136" s="495"/>
      <c r="G136" s="513">
        <f t="array" ref="G136">SUM(IF("1521"&amp;C136=KHN&amp;MH,SL))</f>
        <v>662</v>
      </c>
      <c r="H136" s="513">
        <f t="array" ref="H136">SUM(IF("1521"&amp;C136=KHN&amp;MH,TH))</f>
        <v>19964596</v>
      </c>
      <c r="I136" s="513">
        <f t="array" ref="I136">SUM(IF("1521"&amp;C136=KHC&amp;MH,SL))</f>
        <v>662</v>
      </c>
      <c r="J136" s="513">
        <f t="array" ref="J136">SUM(IF("1521"&amp;C136=KHC&amp;MH,TH))</f>
        <v>19964596</v>
      </c>
      <c r="K136" s="495">
        <f t="shared" si="17"/>
        <v>0</v>
      </c>
      <c r="L136" s="495">
        <f t="shared" si="18"/>
        <v>0</v>
      </c>
      <c r="M136" s="300"/>
      <c r="N136" s="300"/>
    </row>
    <row r="137" spans="1:14" s="294" customFormat="1" ht="18" customHeight="1">
      <c r="A137" s="300" t="str">
        <f t="shared" si="13"/>
        <v>NL</v>
      </c>
      <c r="B137" s="555">
        <f t="shared" si="19"/>
        <v>122</v>
      </c>
      <c r="C137" s="567" t="s">
        <v>622</v>
      </c>
      <c r="D137" s="557" t="s">
        <v>623</v>
      </c>
      <c r="E137" s="495"/>
      <c r="F137" s="495"/>
      <c r="G137" s="513">
        <f t="array" ref="G137">SUM(IF("1521"&amp;C137=KHN&amp;MH,SL))</f>
        <v>500</v>
      </c>
      <c r="H137" s="513">
        <f t="array" ref="H137">SUM(IF("1521"&amp;C137=KHN&amp;MH,TH))</f>
        <v>16439000</v>
      </c>
      <c r="I137" s="513">
        <f t="array" ref="I137">SUM(IF("1521"&amp;C137=KHC&amp;MH,SL))</f>
        <v>500</v>
      </c>
      <c r="J137" s="513">
        <f t="array" ref="J137">SUM(IF("1521"&amp;C137=KHC&amp;MH,TH))</f>
        <v>16439000</v>
      </c>
      <c r="K137" s="495">
        <f t="shared" si="17"/>
        <v>0</v>
      </c>
      <c r="L137" s="495">
        <f t="shared" si="18"/>
        <v>0</v>
      </c>
      <c r="M137" s="300"/>
      <c r="N137" s="300"/>
    </row>
    <row r="138" spans="1:14" s="294" customFormat="1" ht="18" customHeight="1">
      <c r="A138" s="300" t="str">
        <f t="shared" si="13"/>
        <v>NL</v>
      </c>
      <c r="B138" s="555">
        <f t="shared" si="19"/>
        <v>123</v>
      </c>
      <c r="C138" s="567" t="s">
        <v>625</v>
      </c>
      <c r="D138" s="557" t="s">
        <v>623</v>
      </c>
      <c r="E138" s="495"/>
      <c r="F138" s="495"/>
      <c r="G138" s="513">
        <f t="array" ref="G138">SUM(IF("1521"&amp;C138=KHN&amp;MH,SL))</f>
        <v>1460</v>
      </c>
      <c r="H138" s="513">
        <f t="array" ref="H138">SUM(IF("1521"&amp;C138=KHN&amp;MH,TH))</f>
        <v>28272900</v>
      </c>
      <c r="I138" s="513">
        <f t="array" ref="I138">SUM(IF("1521"&amp;C138=KHC&amp;MH,SL))</f>
        <v>1460</v>
      </c>
      <c r="J138" s="513">
        <f t="array" ref="J138">SUM(IF("1521"&amp;C138=KHC&amp;MH,TH))</f>
        <v>28272900</v>
      </c>
      <c r="K138" s="495">
        <f t="shared" si="17"/>
        <v>0</v>
      </c>
      <c r="L138" s="495">
        <f t="shared" si="18"/>
        <v>0</v>
      </c>
      <c r="M138" s="300"/>
      <c r="N138" s="300"/>
    </row>
    <row r="139" spans="1:14" s="294" customFormat="1" ht="18" customHeight="1">
      <c r="A139" s="300" t="str">
        <f t="shared" si="13"/>
        <v>NL</v>
      </c>
      <c r="B139" s="555">
        <f t="shared" si="19"/>
        <v>124</v>
      </c>
      <c r="C139" s="567" t="s">
        <v>626</v>
      </c>
      <c r="D139" s="557" t="s">
        <v>623</v>
      </c>
      <c r="E139" s="495"/>
      <c r="F139" s="495"/>
      <c r="G139" s="513">
        <f t="array" ref="G139">SUM(IF("1521"&amp;C139=KHN&amp;MH,SL))</f>
        <v>720</v>
      </c>
      <c r="H139" s="513">
        <f t="array" ref="H139">SUM(IF("1521"&amp;C139=KHN&amp;MH,TH))</f>
        <v>11881440</v>
      </c>
      <c r="I139" s="513">
        <f t="array" ref="I139">SUM(IF("1521"&amp;C139=KHC&amp;MH,SL))</f>
        <v>720</v>
      </c>
      <c r="J139" s="513">
        <f t="array" ref="J139">SUM(IF("1521"&amp;C139=KHC&amp;MH,TH))</f>
        <v>11881440</v>
      </c>
      <c r="K139" s="495">
        <f t="shared" si="17"/>
        <v>0</v>
      </c>
      <c r="L139" s="495">
        <f t="shared" si="18"/>
        <v>0</v>
      </c>
      <c r="M139" s="300"/>
      <c r="N139" s="300"/>
    </row>
    <row r="140" spans="1:14" s="294" customFormat="1" ht="18" customHeight="1">
      <c r="A140" s="300" t="str">
        <f t="shared" si="13"/>
        <v>NL</v>
      </c>
      <c r="B140" s="555">
        <f t="shared" si="19"/>
        <v>125</v>
      </c>
      <c r="C140" s="567" t="s">
        <v>627</v>
      </c>
      <c r="D140" s="557" t="s">
        <v>360</v>
      </c>
      <c r="E140" s="495"/>
      <c r="F140" s="495"/>
      <c r="G140" s="513">
        <f t="array" ref="G140">SUM(IF("1521"&amp;C140=KHN&amp;MH,SL))</f>
        <v>100</v>
      </c>
      <c r="H140" s="513">
        <f t="array" ref="H140">SUM(IF("1521"&amp;C140=KHN&amp;MH,TH))</f>
        <v>1544300</v>
      </c>
      <c r="I140" s="513">
        <f t="array" ref="I140">SUM(IF("1521"&amp;C140=KHC&amp;MH,SL))</f>
        <v>100</v>
      </c>
      <c r="J140" s="513">
        <f t="array" ref="J140">SUM(IF("1521"&amp;C140=KHC&amp;MH,TH))</f>
        <v>1544300</v>
      </c>
      <c r="K140" s="495">
        <f t="shared" si="17"/>
        <v>0</v>
      </c>
      <c r="L140" s="495">
        <f t="shared" si="18"/>
        <v>0</v>
      </c>
      <c r="M140" s="300"/>
      <c r="N140" s="300"/>
    </row>
    <row r="141" spans="1:14" s="294" customFormat="1" ht="18" customHeight="1">
      <c r="A141" s="300" t="str">
        <f t="shared" si="13"/>
        <v>NL</v>
      </c>
      <c r="B141" s="555">
        <f t="shared" si="19"/>
        <v>126</v>
      </c>
      <c r="C141" s="567" t="s">
        <v>628</v>
      </c>
      <c r="D141" s="557" t="s">
        <v>360</v>
      </c>
      <c r="E141" s="495"/>
      <c r="F141" s="495"/>
      <c r="G141" s="513">
        <f t="array" ref="G141">SUM(IF("1521"&amp;C141=KHN&amp;MH,SL))</f>
        <v>255</v>
      </c>
      <c r="H141" s="513">
        <f t="array" ref="H141">SUM(IF("1521"&amp;C141=KHN&amp;MH,TH))</f>
        <v>3596775</v>
      </c>
      <c r="I141" s="513">
        <f t="array" ref="I141">SUM(IF("1521"&amp;C141=KHC&amp;MH,SL))</f>
        <v>255</v>
      </c>
      <c r="J141" s="513">
        <f t="array" ref="J141">SUM(IF("1521"&amp;C141=KHC&amp;MH,TH))</f>
        <v>3596775</v>
      </c>
      <c r="K141" s="495">
        <f t="shared" si="17"/>
        <v>0</v>
      </c>
      <c r="L141" s="495">
        <f t="shared" si="18"/>
        <v>0</v>
      </c>
      <c r="M141" s="300"/>
      <c r="N141" s="300"/>
    </row>
    <row r="142" spans="1:14" s="294" customFormat="1" ht="18" customHeight="1">
      <c r="A142" s="300" t="str">
        <f t="shared" si="13"/>
        <v>NL</v>
      </c>
      <c r="B142" s="555">
        <f t="shared" si="19"/>
        <v>127</v>
      </c>
      <c r="C142" s="567" t="s">
        <v>629</v>
      </c>
      <c r="D142" s="557" t="s">
        <v>360</v>
      </c>
      <c r="E142" s="495"/>
      <c r="F142" s="495"/>
      <c r="G142" s="513">
        <f t="array" ref="G142">SUM(IF("1521"&amp;C142=KHN&amp;MH,SL))</f>
        <v>1200</v>
      </c>
      <c r="H142" s="513">
        <f t="array" ref="H142">SUM(IF("1521"&amp;C142=KHN&amp;MH,TH))</f>
        <v>22794000</v>
      </c>
      <c r="I142" s="513">
        <f t="array" ref="I142">SUM(IF("1521"&amp;C142=KHC&amp;MH,SL))</f>
        <v>1200</v>
      </c>
      <c r="J142" s="513">
        <f t="array" ref="J142">SUM(IF("1521"&amp;C142=KHC&amp;MH,TH))</f>
        <v>22794000</v>
      </c>
      <c r="K142" s="495">
        <f t="shared" si="17"/>
        <v>0</v>
      </c>
      <c r="L142" s="495">
        <f t="shared" si="18"/>
        <v>0</v>
      </c>
      <c r="M142" s="300"/>
      <c r="N142" s="300"/>
    </row>
    <row r="143" spans="1:14" s="294" customFormat="1" ht="18" customHeight="1">
      <c r="A143" s="300" t="str">
        <f t="shared" si="13"/>
        <v>NL</v>
      </c>
      <c r="B143" s="555">
        <f t="shared" si="19"/>
        <v>128</v>
      </c>
      <c r="C143" s="567" t="s">
        <v>630</v>
      </c>
      <c r="D143" s="557" t="s">
        <v>360</v>
      </c>
      <c r="E143" s="495"/>
      <c r="F143" s="495"/>
      <c r="G143" s="513">
        <f t="array" ref="G143">SUM(IF("1521"&amp;C143=KHN&amp;MH,SL))</f>
        <v>1320</v>
      </c>
      <c r="H143" s="513">
        <f t="array" ref="H143">SUM(IF("1521"&amp;C143=KHN&amp;MH,TH))</f>
        <v>17622000</v>
      </c>
      <c r="I143" s="513">
        <f t="array" ref="I143">SUM(IF("1521"&amp;C143=KHC&amp;MH,SL))</f>
        <v>1320</v>
      </c>
      <c r="J143" s="513">
        <f t="array" ref="J143">SUM(IF("1521"&amp;C143=KHC&amp;MH,TH))</f>
        <v>17622000</v>
      </c>
      <c r="K143" s="495">
        <f t="shared" si="17"/>
        <v>0</v>
      </c>
      <c r="L143" s="495">
        <f t="shared" si="18"/>
        <v>0</v>
      </c>
      <c r="M143" s="300"/>
      <c r="N143" s="300"/>
    </row>
    <row r="144" spans="1:14" s="294" customFormat="1" ht="18" customHeight="1">
      <c r="A144" s="300" t="str">
        <f t="shared" ref="A144:A148" si="20">IF(B144&lt;&gt;"","NL","")</f>
        <v>NL</v>
      </c>
      <c r="B144" s="555">
        <f t="shared" si="19"/>
        <v>129</v>
      </c>
      <c r="C144" s="567" t="s">
        <v>631</v>
      </c>
      <c r="D144" s="557" t="s">
        <v>360</v>
      </c>
      <c r="E144" s="495"/>
      <c r="F144" s="495"/>
      <c r="G144" s="513">
        <f t="array" ref="G144">SUM(IF("1521"&amp;C144=KHN&amp;MH,SL))</f>
        <v>1050</v>
      </c>
      <c r="H144" s="513">
        <f t="array" ref="H144">SUM(IF("1521"&amp;C144=KHN&amp;MH,TH))</f>
        <v>13641600</v>
      </c>
      <c r="I144" s="513">
        <f t="array" ref="I144">SUM(IF("1521"&amp;C144=KHC&amp;MH,SL))</f>
        <v>1050</v>
      </c>
      <c r="J144" s="513">
        <f t="array" ref="J144">SUM(IF("1521"&amp;C144=KHC&amp;MH,TH))</f>
        <v>13641600</v>
      </c>
      <c r="K144" s="495">
        <f t="shared" si="17"/>
        <v>0</v>
      </c>
      <c r="L144" s="495">
        <f t="shared" si="18"/>
        <v>0</v>
      </c>
      <c r="M144" s="300"/>
      <c r="N144" s="300"/>
    </row>
    <row r="145" spans="1:14" s="294" customFormat="1" ht="18" customHeight="1">
      <c r="A145" s="300" t="str">
        <f t="shared" si="20"/>
        <v>NL</v>
      </c>
      <c r="B145" s="555">
        <f t="shared" si="19"/>
        <v>130</v>
      </c>
      <c r="C145" s="567" t="s">
        <v>632</v>
      </c>
      <c r="D145" s="557" t="s">
        <v>623</v>
      </c>
      <c r="E145" s="495"/>
      <c r="F145" s="495"/>
      <c r="G145" s="513">
        <f t="array" ref="G145">SUM(IF("1521"&amp;C145=KHN&amp;MH,SL))</f>
        <v>1700</v>
      </c>
      <c r="H145" s="513">
        <f t="array" ref="H145">SUM(IF("1521"&amp;C145=KHN&amp;MH,TH))</f>
        <v>22873500</v>
      </c>
      <c r="I145" s="513">
        <f t="array" ref="I145">SUM(IF("1521"&amp;C145=KHC&amp;MH,SL))</f>
        <v>1700</v>
      </c>
      <c r="J145" s="513">
        <f t="array" ref="J145">SUM(IF("1521"&amp;C145=KHC&amp;MH,TH))</f>
        <v>22873500</v>
      </c>
      <c r="K145" s="495">
        <f t="shared" si="17"/>
        <v>0</v>
      </c>
      <c r="L145" s="495">
        <f t="shared" si="18"/>
        <v>0</v>
      </c>
      <c r="M145" s="300"/>
      <c r="N145" s="300"/>
    </row>
    <row r="146" spans="1:14" s="294" customFormat="1" ht="18" customHeight="1">
      <c r="A146" s="300" t="str">
        <f t="shared" si="20"/>
        <v>NL</v>
      </c>
      <c r="B146" s="555">
        <f t="shared" ref="B146" si="21">IF(C146&lt;&gt;"",B145+1,"")</f>
        <v>131</v>
      </c>
      <c r="C146" s="567" t="s">
        <v>633</v>
      </c>
      <c r="D146" s="557" t="s">
        <v>623</v>
      </c>
      <c r="E146" s="495"/>
      <c r="F146" s="495"/>
      <c r="G146" s="513">
        <f t="array" ref="G146">SUM(IF("1521"&amp;C146=KHN&amp;MH,SL))</f>
        <v>2500</v>
      </c>
      <c r="H146" s="513">
        <f t="array" ref="H146">SUM(IF("1521"&amp;C146=KHN&amp;MH,TH))</f>
        <v>41577500</v>
      </c>
      <c r="I146" s="513">
        <f t="array" ref="I146">SUM(IF("1521"&amp;C146=KHC&amp;MH,SL))</f>
        <v>2500</v>
      </c>
      <c r="J146" s="513">
        <f t="array" ref="J146">SUM(IF("1521"&amp;C146=KHC&amp;MH,TH))</f>
        <v>41577500</v>
      </c>
      <c r="K146" s="495">
        <f t="shared" si="17"/>
        <v>0</v>
      </c>
      <c r="L146" s="495">
        <f t="shared" si="18"/>
        <v>0</v>
      </c>
      <c r="M146" s="300"/>
      <c r="N146" s="300"/>
    </row>
    <row r="147" spans="1:14" s="294" customFormat="1" ht="19.5" customHeight="1">
      <c r="A147" s="300" t="str">
        <f t="shared" si="20"/>
        <v/>
      </c>
      <c r="B147" s="555" t="str">
        <f>IF(C147&lt;&gt;"",B72+1,"")</f>
        <v/>
      </c>
      <c r="C147" s="568"/>
      <c r="D147" s="569"/>
      <c r="E147" s="570"/>
      <c r="F147" s="570"/>
      <c r="G147" s="570"/>
      <c r="H147" s="570"/>
      <c r="I147" s="570"/>
      <c r="J147" s="570"/>
      <c r="K147" s="495"/>
      <c r="L147" s="495"/>
      <c r="M147" s="300"/>
      <c r="N147" s="300"/>
    </row>
    <row r="148" spans="1:14" s="294" customFormat="1" ht="19.5" customHeight="1">
      <c r="A148" s="300" t="str">
        <f t="shared" si="20"/>
        <v/>
      </c>
      <c r="B148" s="554"/>
      <c r="C148" s="560" t="s">
        <v>323</v>
      </c>
      <c r="D148" s="554"/>
      <c r="E148" s="503">
        <f>SUM(E16:E147)</f>
        <v>0</v>
      </c>
      <c r="F148" s="503">
        <f t="shared" ref="F148:L148" si="22">SUM(F16:F147)</f>
        <v>0</v>
      </c>
      <c r="G148" s="503">
        <f t="shared" si="22"/>
        <v>51553</v>
      </c>
      <c r="H148" s="503">
        <f t="shared" si="22"/>
        <v>805145217</v>
      </c>
      <c r="I148" s="503">
        <f t="shared" si="22"/>
        <v>51471</v>
      </c>
      <c r="J148" s="503">
        <f t="shared" si="22"/>
        <v>803751979</v>
      </c>
      <c r="K148" s="503">
        <f t="shared" si="22"/>
        <v>82</v>
      </c>
      <c r="L148" s="503">
        <f t="shared" si="22"/>
        <v>1393238</v>
      </c>
      <c r="M148" s="300"/>
      <c r="N148" s="300"/>
    </row>
    <row r="149" spans="1:14" s="294" customFormat="1" ht="19.5" customHeight="1">
      <c r="A149" s="300"/>
      <c r="B149" s="561"/>
      <c r="C149" s="562"/>
      <c r="D149" s="561"/>
      <c r="E149" s="563">
        <f>F148-F149</f>
        <v>0</v>
      </c>
      <c r="F149" s="563">
        <f>CDPS!C18</f>
        <v>0</v>
      </c>
      <c r="G149" s="563">
        <f>H148-H149</f>
        <v>0</v>
      </c>
      <c r="H149" s="563">
        <f>CDPS!E18</f>
        <v>805145217</v>
      </c>
      <c r="I149" s="563">
        <f>J148-J149</f>
        <v>0</v>
      </c>
      <c r="J149" s="563">
        <f>CDPS!F18</f>
        <v>803751979</v>
      </c>
      <c r="K149" s="563">
        <f>L148-L149</f>
        <v>0</v>
      </c>
      <c r="L149" s="563">
        <f>CDPS!G18</f>
        <v>1393238</v>
      </c>
      <c r="M149" s="300"/>
      <c r="N149" s="300"/>
    </row>
    <row r="150" spans="1:14" s="294" customFormat="1" ht="19.5" customHeight="1">
      <c r="A150" s="300" t="str">
        <f t="shared" ref="A150:A213" si="23">IF(B150&lt;&gt;"","TP","")</f>
        <v>TP</v>
      </c>
      <c r="B150" s="571">
        <f t="shared" ref="B150:B213" si="24">IF(C150&lt;&gt;"",B149+1,"")</f>
        <v>1</v>
      </c>
      <c r="C150" s="566" t="s">
        <v>937</v>
      </c>
      <c r="D150" s="572" t="s">
        <v>910</v>
      </c>
      <c r="E150" s="513"/>
      <c r="F150" s="513"/>
      <c r="G150" s="513">
        <f t="array" ref="G150">SUM(IF("155"&amp;C150=KHN&amp;MH,SL))</f>
        <v>600</v>
      </c>
      <c r="H150" s="513">
        <f t="array" ref="H150">SUM(IF("155"&amp;C150=KHN&amp;MH,TH))</f>
        <v>1600380</v>
      </c>
      <c r="I150" s="513">
        <f t="array" ref="I150">SUM(IF("155"&amp;C150=KHC&amp;MH,SL))</f>
        <v>600</v>
      </c>
      <c r="J150" s="513">
        <f t="array" ref="J150">SUM(IF("155"&amp;C150=KHC&amp;MH,TH))</f>
        <v>1600380</v>
      </c>
      <c r="K150" s="513">
        <f t="shared" ref="K150:K213" si="25">E150+G150-I150</f>
        <v>0</v>
      </c>
      <c r="L150" s="513">
        <f t="shared" ref="L150:L213" si="26">F150+H150-J150</f>
        <v>0</v>
      </c>
      <c r="M150" s="300"/>
      <c r="N150" s="300"/>
    </row>
    <row r="151" spans="1:14" s="294" customFormat="1" ht="19.5" customHeight="1">
      <c r="A151" s="300" t="str">
        <f t="shared" si="23"/>
        <v>TP</v>
      </c>
      <c r="B151" s="571">
        <f t="shared" si="24"/>
        <v>2</v>
      </c>
      <c r="C151" s="566" t="s">
        <v>936</v>
      </c>
      <c r="D151" s="572" t="s">
        <v>910</v>
      </c>
      <c r="E151" s="495"/>
      <c r="F151" s="495"/>
      <c r="G151" s="513">
        <f t="array" ref="G151">SUM(IF("155"&amp;C151=KHN&amp;MH,SL))</f>
        <v>120</v>
      </c>
      <c r="H151" s="513">
        <f t="array" ref="H151">SUM(IF("155"&amp;C151=KHN&amp;MH,TH))</f>
        <v>533629</v>
      </c>
      <c r="I151" s="513">
        <f t="array" ref="I151">SUM(IF("155"&amp;C151=KHC&amp;MH,SL))</f>
        <v>120</v>
      </c>
      <c r="J151" s="513">
        <f t="array" ref="J151">SUM(IF("155"&amp;C151=KHC&amp;MH,TH))</f>
        <v>533629</v>
      </c>
      <c r="K151" s="495">
        <f t="shared" si="25"/>
        <v>0</v>
      </c>
      <c r="L151" s="495">
        <f t="shared" si="26"/>
        <v>0</v>
      </c>
      <c r="M151" s="300"/>
      <c r="N151" s="300"/>
    </row>
    <row r="152" spans="1:14" s="294" customFormat="1" ht="18" customHeight="1">
      <c r="A152" s="300" t="str">
        <f t="shared" si="23"/>
        <v>TP</v>
      </c>
      <c r="B152" s="571">
        <f t="shared" si="24"/>
        <v>3</v>
      </c>
      <c r="C152" s="566" t="s">
        <v>933</v>
      </c>
      <c r="D152" s="572" t="s">
        <v>911</v>
      </c>
      <c r="E152" s="495"/>
      <c r="F152" s="495"/>
      <c r="G152" s="513">
        <f t="array" ref="G152">SUM(IF("155"&amp;C152=KHN&amp;MH,SL))</f>
        <v>124</v>
      </c>
      <c r="H152" s="513">
        <f t="array" ref="H152">SUM(IF("155"&amp;C152=KHN&amp;MH,TH))</f>
        <v>1022802</v>
      </c>
      <c r="I152" s="513">
        <f t="array" ref="I152">SUM(IF("155"&amp;C152=KHC&amp;MH,SL))</f>
        <v>124</v>
      </c>
      <c r="J152" s="513">
        <f t="array" ref="J152">SUM(IF("155"&amp;C152=KHC&amp;MH,TH))</f>
        <v>1022802</v>
      </c>
      <c r="K152" s="495">
        <f t="shared" si="25"/>
        <v>0</v>
      </c>
      <c r="L152" s="495">
        <f t="shared" si="26"/>
        <v>0</v>
      </c>
      <c r="M152" s="300"/>
      <c r="N152" s="300"/>
    </row>
    <row r="153" spans="1:14" s="294" customFormat="1" ht="18" customHeight="1">
      <c r="A153" s="300" t="str">
        <f t="shared" si="23"/>
        <v>TP</v>
      </c>
      <c r="B153" s="571">
        <f t="shared" si="24"/>
        <v>4</v>
      </c>
      <c r="C153" s="566" t="s">
        <v>934</v>
      </c>
      <c r="D153" s="572" t="s">
        <v>911</v>
      </c>
      <c r="E153" s="495"/>
      <c r="F153" s="495"/>
      <c r="G153" s="513">
        <f t="array" ref="G153">SUM(IF("155"&amp;C153=KHN&amp;MH,SL))</f>
        <v>1292</v>
      </c>
      <c r="H153" s="513">
        <f t="array" ref="H153">SUM(IF("155"&amp;C153=KHN&amp;MH,TH))</f>
        <v>13821048</v>
      </c>
      <c r="I153" s="513">
        <f t="array" ref="I153">SUM(IF("155"&amp;C153=KHC&amp;MH,SL))</f>
        <v>1292</v>
      </c>
      <c r="J153" s="513">
        <f t="array" ref="J153">SUM(IF("155"&amp;C153=KHC&amp;MH,TH))</f>
        <v>13821048</v>
      </c>
      <c r="K153" s="495">
        <f t="shared" si="25"/>
        <v>0</v>
      </c>
      <c r="L153" s="495">
        <f t="shared" si="26"/>
        <v>0</v>
      </c>
      <c r="M153" s="300"/>
      <c r="N153" s="300"/>
    </row>
    <row r="154" spans="1:14" s="294" customFormat="1" ht="18.75" customHeight="1">
      <c r="A154" s="300" t="str">
        <f t="shared" si="23"/>
        <v>TP</v>
      </c>
      <c r="B154" s="571">
        <f t="shared" si="24"/>
        <v>5</v>
      </c>
      <c r="C154" s="566" t="s">
        <v>935</v>
      </c>
      <c r="D154" s="572" t="s">
        <v>1373</v>
      </c>
      <c r="E154" s="495"/>
      <c r="F154" s="495"/>
      <c r="G154" s="513">
        <f t="array" ref="G154">SUM(IF("155"&amp;C154=KHN&amp;MH,SL))</f>
        <v>27</v>
      </c>
      <c r="H154" s="513">
        <f t="array" ref="H154">SUM(IF("155"&amp;C154=KHN&amp;MH,TH))</f>
        <v>488811</v>
      </c>
      <c r="I154" s="513">
        <f t="array" ref="I154">SUM(IF("155"&amp;C154=KHC&amp;MH,SL))</f>
        <v>27</v>
      </c>
      <c r="J154" s="513">
        <f t="array" ref="J154">SUM(IF("155"&amp;C154=KHC&amp;MH,TH))</f>
        <v>488811</v>
      </c>
      <c r="K154" s="495">
        <f t="shared" si="25"/>
        <v>0</v>
      </c>
      <c r="L154" s="495">
        <f t="shared" si="26"/>
        <v>0</v>
      </c>
      <c r="M154" s="300"/>
      <c r="N154" s="300"/>
    </row>
    <row r="155" spans="1:14" s="294" customFormat="1" ht="18.75" customHeight="1">
      <c r="A155" s="300" t="str">
        <f t="shared" si="23"/>
        <v>TP</v>
      </c>
      <c r="B155" s="571">
        <f t="shared" si="24"/>
        <v>6</v>
      </c>
      <c r="C155" s="566" t="s">
        <v>732</v>
      </c>
      <c r="D155" s="572" t="s">
        <v>910</v>
      </c>
      <c r="E155" s="495"/>
      <c r="F155" s="495"/>
      <c r="G155" s="513">
        <f t="array" ref="G155">SUM(IF("155"&amp;C155=KHN&amp;MH,SL))</f>
        <v>958</v>
      </c>
      <c r="H155" s="513">
        <f t="array" ref="H155">SUM(IF("155"&amp;C155=KHN&amp;MH,TH))</f>
        <v>3134941</v>
      </c>
      <c r="I155" s="513">
        <f t="array" ref="I155">SUM(IF("155"&amp;C155=KHC&amp;MH,SL))</f>
        <v>958</v>
      </c>
      <c r="J155" s="513">
        <f t="array" ref="J155">SUM(IF("155"&amp;C155=KHC&amp;MH,TH))</f>
        <v>3134941</v>
      </c>
      <c r="K155" s="495">
        <f t="shared" si="25"/>
        <v>0</v>
      </c>
      <c r="L155" s="495">
        <f t="shared" si="26"/>
        <v>0</v>
      </c>
      <c r="M155" s="300"/>
      <c r="N155" s="300"/>
    </row>
    <row r="156" spans="1:14" s="294" customFormat="1" ht="18.75" customHeight="1">
      <c r="A156" s="300" t="str">
        <f t="shared" si="23"/>
        <v>TP</v>
      </c>
      <c r="B156" s="571">
        <f t="shared" si="24"/>
        <v>7</v>
      </c>
      <c r="C156" s="566" t="s">
        <v>838</v>
      </c>
      <c r="D156" s="572" t="s">
        <v>910</v>
      </c>
      <c r="E156" s="495"/>
      <c r="F156" s="495"/>
      <c r="G156" s="513">
        <f t="array" ref="G156">SUM(IF("155"&amp;C156=KHN&amp;MH,SL))</f>
        <v>102</v>
      </c>
      <c r="H156" s="513">
        <f t="array" ref="H156">SUM(IF("155"&amp;C156=KHN&amp;MH,TH))</f>
        <v>365569</v>
      </c>
      <c r="I156" s="513">
        <f t="array" ref="I156">SUM(IF("155"&amp;C156=KHC&amp;MH,SL))</f>
        <v>102</v>
      </c>
      <c r="J156" s="513">
        <f t="array" ref="J156">SUM(IF("155"&amp;C156=KHC&amp;MH,TH))</f>
        <v>365569</v>
      </c>
      <c r="K156" s="495">
        <f t="shared" si="25"/>
        <v>0</v>
      </c>
      <c r="L156" s="495">
        <f t="shared" si="26"/>
        <v>0</v>
      </c>
      <c r="M156" s="300"/>
      <c r="N156" s="300"/>
    </row>
    <row r="157" spans="1:14" s="294" customFormat="1" ht="18.75" customHeight="1">
      <c r="A157" s="300" t="str">
        <f t="shared" si="23"/>
        <v>TP</v>
      </c>
      <c r="B157" s="571">
        <f t="shared" si="24"/>
        <v>8</v>
      </c>
      <c r="C157" s="566" t="s">
        <v>837</v>
      </c>
      <c r="D157" s="572" t="s">
        <v>910</v>
      </c>
      <c r="E157" s="495"/>
      <c r="F157" s="495"/>
      <c r="G157" s="513">
        <f t="array" ref="G157">SUM(IF("155"&amp;C157=KHN&amp;MH,SL))</f>
        <v>239</v>
      </c>
      <c r="H157" s="513">
        <f t="array" ref="H157">SUM(IF("155"&amp;C157=KHN&amp;MH,TH))</f>
        <v>1388235</v>
      </c>
      <c r="I157" s="513">
        <f t="array" ref="I157">SUM(IF("155"&amp;C157=KHC&amp;MH,SL))</f>
        <v>239</v>
      </c>
      <c r="J157" s="513">
        <f t="array" ref="J157">SUM(IF("155"&amp;C157=KHC&amp;MH,TH))</f>
        <v>1388235</v>
      </c>
      <c r="K157" s="495">
        <f t="shared" si="25"/>
        <v>0</v>
      </c>
      <c r="L157" s="495">
        <f t="shared" si="26"/>
        <v>0</v>
      </c>
      <c r="M157" s="300"/>
      <c r="N157" s="300"/>
    </row>
    <row r="158" spans="1:14" s="294" customFormat="1" ht="18.75" customHeight="1">
      <c r="A158" s="300" t="str">
        <f t="shared" si="23"/>
        <v>TP</v>
      </c>
      <c r="B158" s="571">
        <f t="shared" si="24"/>
        <v>9</v>
      </c>
      <c r="C158" s="566" t="s">
        <v>1023</v>
      </c>
      <c r="D158" s="572" t="s">
        <v>910</v>
      </c>
      <c r="E158" s="495"/>
      <c r="F158" s="495"/>
      <c r="G158" s="513">
        <f t="array" ref="G158">SUM(IF("155"&amp;C158=KHN&amp;MH,SL))</f>
        <v>86</v>
      </c>
      <c r="H158" s="513">
        <f t="array" ref="H158">SUM(IF("155"&amp;C158=KHN&amp;MH,TH))</f>
        <v>232454</v>
      </c>
      <c r="I158" s="513">
        <f t="array" ref="I158">SUM(IF("155"&amp;C158=KHC&amp;MH,SL))</f>
        <v>86</v>
      </c>
      <c r="J158" s="513">
        <f t="array" ref="J158">SUM(IF("155"&amp;C158=KHC&amp;MH,TH))</f>
        <v>232454</v>
      </c>
      <c r="K158" s="495">
        <f t="shared" si="25"/>
        <v>0</v>
      </c>
      <c r="L158" s="495">
        <f t="shared" si="26"/>
        <v>0</v>
      </c>
      <c r="M158" s="300"/>
      <c r="N158" s="300"/>
    </row>
    <row r="159" spans="1:14" s="294" customFormat="1" ht="18.75" customHeight="1">
      <c r="A159" s="300" t="str">
        <f t="shared" si="23"/>
        <v>TP</v>
      </c>
      <c r="B159" s="571">
        <f t="shared" si="24"/>
        <v>10</v>
      </c>
      <c r="C159" s="566" t="s">
        <v>1022</v>
      </c>
      <c r="D159" s="572" t="s">
        <v>910</v>
      </c>
      <c r="E159" s="495"/>
      <c r="F159" s="495"/>
      <c r="G159" s="513">
        <f t="array" ref="G159">SUM(IF("155"&amp;C159=KHN&amp;MH,SL))</f>
        <v>240</v>
      </c>
      <c r="H159" s="513">
        <f t="array" ref="H159">SUM(IF("155"&amp;C159=KHN&amp;MH,TH))</f>
        <v>643584</v>
      </c>
      <c r="I159" s="513">
        <f t="array" ref="I159">SUM(IF("155"&amp;C159=KHC&amp;MH,SL))</f>
        <v>240</v>
      </c>
      <c r="J159" s="513">
        <f t="array" ref="J159">SUM(IF("155"&amp;C159=KHC&amp;MH,TH))</f>
        <v>643584</v>
      </c>
      <c r="K159" s="495">
        <f t="shared" si="25"/>
        <v>0</v>
      </c>
      <c r="L159" s="495">
        <f t="shared" si="26"/>
        <v>0</v>
      </c>
      <c r="M159" s="300"/>
      <c r="N159" s="300"/>
    </row>
    <row r="160" spans="1:14" s="294" customFormat="1" ht="18.75" customHeight="1">
      <c r="A160" s="300" t="str">
        <f t="shared" si="23"/>
        <v>TP</v>
      </c>
      <c r="B160" s="571">
        <f t="shared" si="24"/>
        <v>11</v>
      </c>
      <c r="C160" s="573" t="s">
        <v>1154</v>
      </c>
      <c r="D160" s="572" t="s">
        <v>910</v>
      </c>
      <c r="E160" s="495"/>
      <c r="F160" s="495"/>
      <c r="G160" s="513">
        <f t="array" ref="G160">SUM(IF("155"&amp;C160=KHN&amp;MH,SL))</f>
        <v>170</v>
      </c>
      <c r="H160" s="513">
        <f t="array" ref="H160">SUM(IF("155"&amp;C160=KHN&amp;MH,TH))</f>
        <v>455873</v>
      </c>
      <c r="I160" s="513">
        <f t="array" ref="I160">SUM(IF("155"&amp;C160=KHC&amp;MH,SL))</f>
        <v>170</v>
      </c>
      <c r="J160" s="513">
        <f t="array" ref="J160">SUM(IF("155"&amp;C160=KHC&amp;MH,TH))</f>
        <v>455873</v>
      </c>
      <c r="K160" s="495">
        <f t="shared" si="25"/>
        <v>0</v>
      </c>
      <c r="L160" s="495">
        <f t="shared" si="26"/>
        <v>0</v>
      </c>
      <c r="M160" s="300"/>
      <c r="N160" s="300"/>
    </row>
    <row r="161" spans="1:14" s="294" customFormat="1" ht="18.75" customHeight="1">
      <c r="A161" s="300" t="str">
        <f t="shared" si="23"/>
        <v>TP</v>
      </c>
      <c r="B161" s="571">
        <f t="shared" si="24"/>
        <v>12</v>
      </c>
      <c r="C161" s="566" t="s">
        <v>845</v>
      </c>
      <c r="D161" s="572" t="s">
        <v>910</v>
      </c>
      <c r="E161" s="495"/>
      <c r="F161" s="495"/>
      <c r="G161" s="513">
        <f t="array" ref="G161">SUM(IF("155"&amp;C161=KHN&amp;MH,SL))</f>
        <v>68</v>
      </c>
      <c r="H161" s="513">
        <f t="array" ref="H161">SUM(IF("155"&amp;C161=KHN&amp;MH,TH))</f>
        <v>168080</v>
      </c>
      <c r="I161" s="513">
        <f t="array" ref="I161">SUM(IF("155"&amp;C161=KHC&amp;MH,SL))</f>
        <v>68</v>
      </c>
      <c r="J161" s="513">
        <f t="array" ref="J161">SUM(IF("155"&amp;C161=KHC&amp;MH,TH))</f>
        <v>168080</v>
      </c>
      <c r="K161" s="495">
        <f t="shared" si="25"/>
        <v>0</v>
      </c>
      <c r="L161" s="495">
        <f t="shared" si="26"/>
        <v>0</v>
      </c>
      <c r="M161" s="300"/>
      <c r="N161" s="300"/>
    </row>
    <row r="162" spans="1:14" s="294" customFormat="1" ht="18.75" customHeight="1">
      <c r="A162" s="300" t="str">
        <f t="shared" si="23"/>
        <v>TP</v>
      </c>
      <c r="B162" s="571">
        <f t="shared" si="24"/>
        <v>13</v>
      </c>
      <c r="C162" s="566" t="s">
        <v>846</v>
      </c>
      <c r="D162" s="572" t="s">
        <v>910</v>
      </c>
      <c r="E162" s="495"/>
      <c r="F162" s="495"/>
      <c r="G162" s="513">
        <f t="array" ref="G162">SUM(IF("155"&amp;C162=KHN&amp;MH,SL))</f>
        <v>300</v>
      </c>
      <c r="H162" s="513">
        <f t="array" ref="H162">SUM(IF("155"&amp;C162=KHN&amp;MH,TH))</f>
        <v>741529</v>
      </c>
      <c r="I162" s="513">
        <f t="array" ref="I162">SUM(IF("155"&amp;C162=KHC&amp;MH,SL))</f>
        <v>300</v>
      </c>
      <c r="J162" s="513">
        <f t="array" ref="J162">SUM(IF("155"&amp;C162=KHC&amp;MH,TH))</f>
        <v>741529</v>
      </c>
      <c r="K162" s="495">
        <f t="shared" si="25"/>
        <v>0</v>
      </c>
      <c r="L162" s="495">
        <f t="shared" si="26"/>
        <v>0</v>
      </c>
      <c r="M162" s="300"/>
      <c r="N162" s="300"/>
    </row>
    <row r="163" spans="1:14" s="294" customFormat="1" ht="18.75" customHeight="1">
      <c r="A163" s="300" t="str">
        <f t="shared" si="23"/>
        <v>TP</v>
      </c>
      <c r="B163" s="571">
        <f t="shared" si="24"/>
        <v>14</v>
      </c>
      <c r="C163" s="566" t="s">
        <v>847</v>
      </c>
      <c r="D163" s="572" t="s">
        <v>910</v>
      </c>
      <c r="E163" s="495"/>
      <c r="F163" s="495"/>
      <c r="G163" s="513">
        <f t="array" ref="G163">SUM(IF("155"&amp;C163=KHN&amp;MH,SL))</f>
        <v>40</v>
      </c>
      <c r="H163" s="513">
        <f t="array" ref="H163">SUM(IF("155"&amp;C163=KHN&amp;MH,TH))</f>
        <v>98871</v>
      </c>
      <c r="I163" s="513">
        <f t="array" ref="I163">SUM(IF("155"&amp;C163=KHC&amp;MH,SL))</f>
        <v>40</v>
      </c>
      <c r="J163" s="513">
        <f t="array" ref="J163">SUM(IF("155"&amp;C163=KHC&amp;MH,TH))</f>
        <v>98871</v>
      </c>
      <c r="K163" s="495">
        <f t="shared" si="25"/>
        <v>0</v>
      </c>
      <c r="L163" s="495">
        <f t="shared" si="26"/>
        <v>0</v>
      </c>
      <c r="M163" s="300"/>
      <c r="N163" s="300"/>
    </row>
    <row r="164" spans="1:14" s="294" customFormat="1" ht="18.75" customHeight="1">
      <c r="A164" s="300" t="str">
        <f t="shared" si="23"/>
        <v>TP</v>
      </c>
      <c r="B164" s="571">
        <f t="shared" si="24"/>
        <v>15</v>
      </c>
      <c r="C164" s="566" t="s">
        <v>849</v>
      </c>
      <c r="D164" s="572" t="s">
        <v>910</v>
      </c>
      <c r="E164" s="495"/>
      <c r="F164" s="495"/>
      <c r="G164" s="513">
        <f t="array" ref="G164">SUM(IF("155"&amp;C164=KHN&amp;MH,SL))</f>
        <v>140</v>
      </c>
      <c r="H164" s="513">
        <f t="array" ref="H164">SUM(IF("155"&amp;C164=KHN&amp;MH,TH))</f>
        <v>501762</v>
      </c>
      <c r="I164" s="513">
        <f t="array" ref="I164">SUM(IF("155"&amp;C164=KHC&amp;MH,SL))</f>
        <v>140</v>
      </c>
      <c r="J164" s="513">
        <f t="array" ref="J164">SUM(IF("155"&amp;C164=KHC&amp;MH,TH))</f>
        <v>501762</v>
      </c>
      <c r="K164" s="495">
        <f t="shared" si="25"/>
        <v>0</v>
      </c>
      <c r="L164" s="495">
        <f t="shared" si="26"/>
        <v>0</v>
      </c>
      <c r="M164" s="300"/>
      <c r="N164" s="300"/>
    </row>
    <row r="165" spans="1:14" s="294" customFormat="1" ht="18.75" customHeight="1">
      <c r="A165" s="300" t="str">
        <f t="shared" si="23"/>
        <v>TP</v>
      </c>
      <c r="B165" s="571">
        <f t="shared" si="24"/>
        <v>16</v>
      </c>
      <c r="C165" s="566" t="s">
        <v>848</v>
      </c>
      <c r="D165" s="572" t="s">
        <v>910</v>
      </c>
      <c r="E165" s="495"/>
      <c r="F165" s="495"/>
      <c r="G165" s="513">
        <f t="array" ref="G165">SUM(IF("155"&amp;C165=KHN&amp;MH,SL))</f>
        <v>34</v>
      </c>
      <c r="H165" s="513">
        <f t="array" ref="H165">SUM(IF("155"&amp;C165=KHN&amp;MH,TH))</f>
        <v>121856</v>
      </c>
      <c r="I165" s="513">
        <f t="array" ref="I165">SUM(IF("155"&amp;C165=KHC&amp;MH,SL))</f>
        <v>34</v>
      </c>
      <c r="J165" s="513">
        <f t="array" ref="J165">SUM(IF("155"&amp;C165=KHC&amp;MH,TH))</f>
        <v>121856</v>
      </c>
      <c r="K165" s="495">
        <f t="shared" si="25"/>
        <v>0</v>
      </c>
      <c r="L165" s="495">
        <f t="shared" si="26"/>
        <v>0</v>
      </c>
      <c r="M165" s="300"/>
      <c r="N165" s="300"/>
    </row>
    <row r="166" spans="1:14" s="294" customFormat="1" ht="18.75" customHeight="1">
      <c r="A166" s="300" t="str">
        <f t="shared" si="23"/>
        <v>TP</v>
      </c>
      <c r="B166" s="571">
        <f t="shared" si="24"/>
        <v>17</v>
      </c>
      <c r="C166" s="566" t="s">
        <v>844</v>
      </c>
      <c r="D166" s="572" t="s">
        <v>910</v>
      </c>
      <c r="E166" s="495"/>
      <c r="F166" s="495"/>
      <c r="G166" s="513">
        <f t="array" ref="G166">SUM(IF("155"&amp;C166=KHN&amp;MH,SL))</f>
        <v>50</v>
      </c>
      <c r="H166" s="513">
        <f t="array" ref="H166">SUM(IF("155"&amp;C166=KHN&amp;MH,TH))</f>
        <v>290426</v>
      </c>
      <c r="I166" s="513">
        <f t="array" ref="I166">SUM(IF("155"&amp;C166=KHC&amp;MH,SL))</f>
        <v>50</v>
      </c>
      <c r="J166" s="513">
        <f t="array" ref="J166">SUM(IF("155"&amp;C166=KHC&amp;MH,TH))</f>
        <v>290426</v>
      </c>
      <c r="K166" s="495">
        <f t="shared" si="25"/>
        <v>0</v>
      </c>
      <c r="L166" s="495">
        <f t="shared" si="26"/>
        <v>0</v>
      </c>
      <c r="M166" s="300"/>
      <c r="N166" s="300"/>
    </row>
    <row r="167" spans="1:14" s="294" customFormat="1" ht="18.75" customHeight="1">
      <c r="A167" s="300" t="str">
        <f t="shared" si="23"/>
        <v>TP</v>
      </c>
      <c r="B167" s="571">
        <f t="shared" si="24"/>
        <v>18</v>
      </c>
      <c r="C167" s="566" t="s">
        <v>974</v>
      </c>
      <c r="D167" s="572" t="s">
        <v>360</v>
      </c>
      <c r="E167" s="495"/>
      <c r="F167" s="495"/>
      <c r="G167" s="513">
        <f t="array" ref="G167">SUM(IF("155"&amp;C167=KHN&amp;MH,SL))</f>
        <v>104</v>
      </c>
      <c r="H167" s="513">
        <f t="array" ref="H167">SUM(IF("155"&amp;C167=KHN&amp;MH,TH))</f>
        <v>1106969</v>
      </c>
      <c r="I167" s="513">
        <f t="array" ref="I167">SUM(IF("155"&amp;C167=KHC&amp;MH,SL))</f>
        <v>104</v>
      </c>
      <c r="J167" s="513">
        <f t="array" ref="J167">SUM(IF("155"&amp;C167=KHC&amp;MH,TH))</f>
        <v>1106969</v>
      </c>
      <c r="K167" s="495">
        <f t="shared" si="25"/>
        <v>0</v>
      </c>
      <c r="L167" s="495">
        <f t="shared" si="26"/>
        <v>0</v>
      </c>
      <c r="M167" s="300"/>
      <c r="N167" s="300"/>
    </row>
    <row r="168" spans="1:14" s="294" customFormat="1" ht="18.75" customHeight="1">
      <c r="A168" s="300" t="str">
        <f t="shared" si="23"/>
        <v>TP</v>
      </c>
      <c r="B168" s="571">
        <f t="shared" si="24"/>
        <v>19</v>
      </c>
      <c r="C168" s="567" t="s">
        <v>1285</v>
      </c>
      <c r="D168" s="572" t="s">
        <v>1373</v>
      </c>
      <c r="E168" s="495"/>
      <c r="F168" s="495"/>
      <c r="G168" s="513">
        <f t="array" ref="G168">SUM(IF("155"&amp;C168=KHN&amp;MH,SL))</f>
        <v>5000</v>
      </c>
      <c r="H168" s="513">
        <f t="array" ref="H168">SUM(IF("155"&amp;C168=KHN&amp;MH,TH))</f>
        <v>6541729</v>
      </c>
      <c r="I168" s="513">
        <f t="array" ref="I168">SUM(IF("155"&amp;C168=KHC&amp;MH,SL))</f>
        <v>5000</v>
      </c>
      <c r="J168" s="513">
        <f t="array" ref="J168">SUM(IF("155"&amp;C168=KHC&amp;MH,TH))</f>
        <v>6541729</v>
      </c>
      <c r="K168" s="495">
        <f t="shared" si="25"/>
        <v>0</v>
      </c>
      <c r="L168" s="495">
        <f t="shared" si="26"/>
        <v>0</v>
      </c>
      <c r="M168" s="300"/>
      <c r="N168" s="300"/>
    </row>
    <row r="169" spans="1:14" s="294" customFormat="1" ht="18.75" customHeight="1">
      <c r="A169" s="300" t="str">
        <f t="shared" si="23"/>
        <v>TP</v>
      </c>
      <c r="B169" s="571">
        <f t="shared" si="24"/>
        <v>20</v>
      </c>
      <c r="C169" s="566" t="s">
        <v>814</v>
      </c>
      <c r="D169" s="572" t="s">
        <v>360</v>
      </c>
      <c r="E169" s="495"/>
      <c r="F169" s="495"/>
      <c r="G169" s="513">
        <f t="array" ref="G169">SUM(IF("155"&amp;C169=KHN&amp;MH,SL))</f>
        <v>254</v>
      </c>
      <c r="H169" s="513">
        <f t="array" ref="H169">SUM(IF("155"&amp;C169=KHN&amp;MH,TH))</f>
        <v>630052</v>
      </c>
      <c r="I169" s="513">
        <f t="array" ref="I169">SUM(IF("155"&amp;C169=KHC&amp;MH,SL))</f>
        <v>254</v>
      </c>
      <c r="J169" s="513">
        <f t="array" ref="J169">SUM(IF("155"&amp;C169=KHC&amp;MH,TH))</f>
        <v>630052</v>
      </c>
      <c r="K169" s="495">
        <f t="shared" si="25"/>
        <v>0</v>
      </c>
      <c r="L169" s="495">
        <f t="shared" si="26"/>
        <v>0</v>
      </c>
      <c r="M169" s="300"/>
      <c r="N169" s="300"/>
    </row>
    <row r="170" spans="1:14" s="294" customFormat="1" ht="18.75" customHeight="1">
      <c r="A170" s="300" t="str">
        <f t="shared" si="23"/>
        <v>TP</v>
      </c>
      <c r="B170" s="571">
        <f t="shared" si="24"/>
        <v>21</v>
      </c>
      <c r="C170" s="566" t="s">
        <v>878</v>
      </c>
      <c r="D170" s="572" t="s">
        <v>1373</v>
      </c>
      <c r="E170" s="495"/>
      <c r="F170" s="495"/>
      <c r="G170" s="513">
        <f t="array" ref="G170">SUM(IF("155"&amp;C170=KHN&amp;MH,SL))</f>
        <v>2</v>
      </c>
      <c r="H170" s="513">
        <f t="array" ref="H170">SUM(IF("155"&amp;C170=KHN&amp;MH,TH))</f>
        <v>11617</v>
      </c>
      <c r="I170" s="513">
        <f t="array" ref="I170">SUM(IF("155"&amp;C170=KHC&amp;MH,SL))</f>
        <v>2</v>
      </c>
      <c r="J170" s="513">
        <f t="array" ref="J170">SUM(IF("155"&amp;C170=KHC&amp;MH,TH))</f>
        <v>11617</v>
      </c>
      <c r="K170" s="495">
        <f t="shared" si="25"/>
        <v>0</v>
      </c>
      <c r="L170" s="495">
        <f t="shared" si="26"/>
        <v>0</v>
      </c>
      <c r="M170" s="300"/>
      <c r="N170" s="300"/>
    </row>
    <row r="171" spans="1:14" s="294" customFormat="1" ht="18.75" customHeight="1">
      <c r="A171" s="300" t="str">
        <f t="shared" si="23"/>
        <v>TP</v>
      </c>
      <c r="B171" s="571">
        <f t="shared" si="24"/>
        <v>22</v>
      </c>
      <c r="C171" s="567" t="s">
        <v>1319</v>
      </c>
      <c r="D171" s="572" t="s">
        <v>1373</v>
      </c>
      <c r="E171" s="495"/>
      <c r="F171" s="495"/>
      <c r="G171" s="513">
        <f t="array" ref="G171">SUM(IF("155"&amp;C171=KHN&amp;MH,SL))</f>
        <v>76</v>
      </c>
      <c r="H171" s="513">
        <f t="array" ref="H171">SUM(IF("155"&amp;C171=KHN&amp;MH,TH))</f>
        <v>414675</v>
      </c>
      <c r="I171" s="513">
        <f t="array" ref="I171">SUM(IF("155"&amp;C171=KHC&amp;MH,SL))</f>
        <v>76</v>
      </c>
      <c r="J171" s="513">
        <f t="array" ref="J171">SUM(IF("155"&amp;C171=KHC&amp;MH,TH))</f>
        <v>414675</v>
      </c>
      <c r="K171" s="495">
        <f t="shared" si="25"/>
        <v>0</v>
      </c>
      <c r="L171" s="495">
        <f t="shared" si="26"/>
        <v>0</v>
      </c>
      <c r="M171" s="300"/>
      <c r="N171" s="300"/>
    </row>
    <row r="172" spans="1:14" s="294" customFormat="1" ht="18.75" customHeight="1">
      <c r="A172" s="300" t="str">
        <f t="shared" si="23"/>
        <v>TP</v>
      </c>
      <c r="B172" s="571">
        <f t="shared" si="24"/>
        <v>23</v>
      </c>
      <c r="C172" s="566" t="s">
        <v>963</v>
      </c>
      <c r="D172" s="572" t="s">
        <v>1373</v>
      </c>
      <c r="E172" s="495"/>
      <c r="F172" s="495"/>
      <c r="G172" s="513">
        <f t="array" ref="G172">SUM(IF("155"&amp;C172=KHN&amp;MH,SL))</f>
        <v>499</v>
      </c>
      <c r="H172" s="513">
        <f t="array" ref="H172">SUM(IF("155"&amp;C172=KHN&amp;MH,TH))</f>
        <v>3689805</v>
      </c>
      <c r="I172" s="513">
        <f t="array" ref="I172">SUM(IF("155"&amp;C172=KHC&amp;MH,SL))</f>
        <v>499</v>
      </c>
      <c r="J172" s="513">
        <f t="array" ref="J172">SUM(IF("155"&amp;C172=KHC&amp;MH,TH))</f>
        <v>3689805</v>
      </c>
      <c r="K172" s="495">
        <f t="shared" si="25"/>
        <v>0</v>
      </c>
      <c r="L172" s="495">
        <f t="shared" si="26"/>
        <v>0</v>
      </c>
      <c r="M172" s="300"/>
      <c r="N172" s="300"/>
    </row>
    <row r="173" spans="1:14" s="294" customFormat="1" ht="18.75" customHeight="1">
      <c r="A173" s="300" t="str">
        <f t="shared" si="23"/>
        <v>TP</v>
      </c>
      <c r="B173" s="571">
        <f t="shared" si="24"/>
        <v>24</v>
      </c>
      <c r="C173" s="567" t="s">
        <v>1240</v>
      </c>
      <c r="D173" s="572" t="s">
        <v>1373</v>
      </c>
      <c r="E173" s="495"/>
      <c r="F173" s="495"/>
      <c r="G173" s="513">
        <f t="array" ref="G173">SUM(IF("155"&amp;C173=KHN&amp;MH,SL))</f>
        <v>2</v>
      </c>
      <c r="H173" s="513">
        <f t="array" ref="H173">SUM(IF("155"&amp;C173=KHN&amp;MH,TH))</f>
        <v>7045</v>
      </c>
      <c r="I173" s="513">
        <f t="array" ref="I173">SUM(IF("155"&amp;C173=KHC&amp;MH,SL))</f>
        <v>2</v>
      </c>
      <c r="J173" s="513">
        <f t="array" ref="J173">SUM(IF("155"&amp;C173=KHC&amp;MH,TH))</f>
        <v>7045</v>
      </c>
      <c r="K173" s="495">
        <f t="shared" si="25"/>
        <v>0</v>
      </c>
      <c r="L173" s="495">
        <f t="shared" si="26"/>
        <v>0</v>
      </c>
      <c r="M173" s="300"/>
      <c r="N173" s="300"/>
    </row>
    <row r="174" spans="1:14" s="294" customFormat="1" ht="18.75" customHeight="1">
      <c r="A174" s="300" t="str">
        <f t="shared" si="23"/>
        <v>TP</v>
      </c>
      <c r="B174" s="571">
        <f t="shared" si="24"/>
        <v>25</v>
      </c>
      <c r="C174" s="566" t="s">
        <v>871</v>
      </c>
      <c r="D174" s="572" t="s">
        <v>1373</v>
      </c>
      <c r="E174" s="495"/>
      <c r="F174" s="495"/>
      <c r="G174" s="513">
        <f t="array" ref="G174">SUM(IF("155"&amp;C174=KHN&amp;MH,SL))</f>
        <v>1</v>
      </c>
      <c r="H174" s="513">
        <f t="array" ref="H174">SUM(IF("155"&amp;C174=KHN&amp;MH,TH))</f>
        <v>5809</v>
      </c>
      <c r="I174" s="513">
        <f t="array" ref="I174">SUM(IF("155"&amp;C174=KHC&amp;MH,SL))</f>
        <v>1</v>
      </c>
      <c r="J174" s="513">
        <f t="array" ref="J174">SUM(IF("155"&amp;C174=KHC&amp;MH,TH))</f>
        <v>5809</v>
      </c>
      <c r="K174" s="495">
        <f t="shared" si="25"/>
        <v>0</v>
      </c>
      <c r="L174" s="495">
        <f t="shared" si="26"/>
        <v>0</v>
      </c>
      <c r="M174" s="300"/>
      <c r="N174" s="300"/>
    </row>
    <row r="175" spans="1:14" s="294" customFormat="1" ht="18.75" customHeight="1">
      <c r="A175" s="300" t="str">
        <f t="shared" si="23"/>
        <v>TP</v>
      </c>
      <c r="B175" s="571">
        <f t="shared" si="24"/>
        <v>26</v>
      </c>
      <c r="C175" s="566" t="s">
        <v>879</v>
      </c>
      <c r="D175" s="572" t="s">
        <v>1373</v>
      </c>
      <c r="E175" s="495"/>
      <c r="F175" s="495"/>
      <c r="G175" s="513">
        <f t="array" ref="G175">SUM(IF("155"&amp;C175=KHN&amp;MH,SL))</f>
        <v>2</v>
      </c>
      <c r="H175" s="513">
        <f t="array" ref="H175">SUM(IF("155"&amp;C175=KHN&amp;MH,TH))</f>
        <v>21109</v>
      </c>
      <c r="I175" s="513">
        <f t="array" ref="I175">SUM(IF("155"&amp;C175=KHC&amp;MH,SL))</f>
        <v>2</v>
      </c>
      <c r="J175" s="513">
        <f t="array" ref="J175">SUM(IF("155"&amp;C175=KHC&amp;MH,TH))</f>
        <v>21109</v>
      </c>
      <c r="K175" s="495">
        <f t="shared" si="25"/>
        <v>0</v>
      </c>
      <c r="L175" s="495">
        <f t="shared" si="26"/>
        <v>0</v>
      </c>
      <c r="M175" s="300"/>
      <c r="N175" s="300"/>
    </row>
    <row r="176" spans="1:14" s="294" customFormat="1" ht="18.75" customHeight="1">
      <c r="A176" s="300" t="str">
        <f t="shared" si="23"/>
        <v>TP</v>
      </c>
      <c r="B176" s="571">
        <f t="shared" si="24"/>
        <v>27</v>
      </c>
      <c r="C176" s="567" t="s">
        <v>1249</v>
      </c>
      <c r="D176" s="572" t="s">
        <v>1373</v>
      </c>
      <c r="E176" s="495"/>
      <c r="F176" s="495"/>
      <c r="G176" s="513">
        <f t="array" ref="G176">SUM(IF("155"&amp;C176=KHN&amp;MH,SL))</f>
        <v>154</v>
      </c>
      <c r="H176" s="513">
        <f t="array" ref="H176">SUM(IF("155"&amp;C176=KHN&amp;MH,TH))</f>
        <v>1254149</v>
      </c>
      <c r="I176" s="513">
        <f t="array" ref="I176">SUM(IF("155"&amp;C176=KHC&amp;MH,SL))</f>
        <v>154</v>
      </c>
      <c r="J176" s="513">
        <f t="array" ref="J176">SUM(IF("155"&amp;C176=KHC&amp;MH,TH))</f>
        <v>1254149</v>
      </c>
      <c r="K176" s="495">
        <f t="shared" si="25"/>
        <v>0</v>
      </c>
      <c r="L176" s="495">
        <f t="shared" si="26"/>
        <v>0</v>
      </c>
      <c r="M176" s="300"/>
      <c r="N176" s="300"/>
    </row>
    <row r="177" spans="1:14" s="294" customFormat="1" ht="18.75" customHeight="1">
      <c r="A177" s="300" t="str">
        <f t="shared" si="23"/>
        <v>TP</v>
      </c>
      <c r="B177" s="571">
        <f t="shared" si="24"/>
        <v>28</v>
      </c>
      <c r="C177" s="566" t="s">
        <v>946</v>
      </c>
      <c r="D177" s="572" t="s">
        <v>1373</v>
      </c>
      <c r="E177" s="495"/>
      <c r="F177" s="495"/>
      <c r="G177" s="513">
        <f t="array" ref="G177">SUM(IF("155"&amp;C177=KHN&amp;MH,SL))</f>
        <v>1</v>
      </c>
      <c r="H177" s="513">
        <f t="array" ref="H177">SUM(IF("155"&amp;C177=KHN&amp;MH,TH))</f>
        <v>4447</v>
      </c>
      <c r="I177" s="513">
        <f t="array" ref="I177">SUM(IF("155"&amp;C177=KHC&amp;MH,SL))</f>
        <v>1</v>
      </c>
      <c r="J177" s="513">
        <f t="array" ref="J177">SUM(IF("155"&amp;C177=KHC&amp;MH,TH))</f>
        <v>4447</v>
      </c>
      <c r="K177" s="495">
        <f t="shared" si="25"/>
        <v>0</v>
      </c>
      <c r="L177" s="495">
        <f t="shared" si="26"/>
        <v>0</v>
      </c>
      <c r="M177" s="300"/>
      <c r="N177" s="300"/>
    </row>
    <row r="178" spans="1:14" s="294" customFormat="1" ht="18.75" customHeight="1">
      <c r="A178" s="300" t="str">
        <f t="shared" si="23"/>
        <v>TP</v>
      </c>
      <c r="B178" s="571">
        <f t="shared" si="24"/>
        <v>29</v>
      </c>
      <c r="C178" s="567" t="s">
        <v>1298</v>
      </c>
      <c r="D178" s="572" t="s">
        <v>1373</v>
      </c>
      <c r="E178" s="495"/>
      <c r="F178" s="495"/>
      <c r="G178" s="513">
        <f t="array" ref="G178">SUM(IF("155"&amp;C178=KHN&amp;MH,SL))</f>
        <v>5</v>
      </c>
      <c r="H178" s="513">
        <f t="array" ref="H178">SUM(IF("155"&amp;C178=KHN&amp;MH,TH))</f>
        <v>39370</v>
      </c>
      <c r="I178" s="513">
        <f t="array" ref="I178">SUM(IF("155"&amp;C178=KHC&amp;MH,SL))</f>
        <v>5</v>
      </c>
      <c r="J178" s="513">
        <f t="array" ref="J178">SUM(IF("155"&amp;C178=KHC&amp;MH,TH))</f>
        <v>39370</v>
      </c>
      <c r="K178" s="495">
        <f t="shared" si="25"/>
        <v>0</v>
      </c>
      <c r="L178" s="495">
        <f t="shared" si="26"/>
        <v>0</v>
      </c>
      <c r="M178" s="300"/>
      <c r="N178" s="300"/>
    </row>
    <row r="179" spans="1:14" s="294" customFormat="1" ht="18.75" customHeight="1">
      <c r="A179" s="300" t="str">
        <f t="shared" si="23"/>
        <v>TP</v>
      </c>
      <c r="B179" s="571">
        <f t="shared" si="24"/>
        <v>30</v>
      </c>
      <c r="C179" s="566" t="s">
        <v>947</v>
      </c>
      <c r="D179" s="572" t="s">
        <v>1373</v>
      </c>
      <c r="E179" s="495"/>
      <c r="F179" s="495"/>
      <c r="G179" s="513">
        <f t="array" ref="G179">SUM(IF("155"&amp;C179=KHN&amp;MH,SL))</f>
        <v>3</v>
      </c>
      <c r="H179" s="513">
        <f t="array" ref="H179">SUM(IF("155"&amp;C179=KHN&amp;MH,TH))</f>
        <v>20014</v>
      </c>
      <c r="I179" s="513">
        <f t="array" ref="I179">SUM(IF("155"&amp;C179=KHC&amp;MH,SL))</f>
        <v>3</v>
      </c>
      <c r="J179" s="513">
        <f t="array" ref="J179">SUM(IF("155"&amp;C179=KHC&amp;MH,TH))</f>
        <v>20014</v>
      </c>
      <c r="K179" s="495">
        <f t="shared" si="25"/>
        <v>0</v>
      </c>
      <c r="L179" s="495">
        <f t="shared" si="26"/>
        <v>0</v>
      </c>
      <c r="M179" s="300"/>
      <c r="N179" s="300"/>
    </row>
    <row r="180" spans="1:14" s="294" customFormat="1" ht="18.75" customHeight="1">
      <c r="A180" s="300" t="str">
        <f t="shared" si="23"/>
        <v>TP</v>
      </c>
      <c r="B180" s="571">
        <f t="shared" si="24"/>
        <v>31</v>
      </c>
      <c r="C180" s="566" t="s">
        <v>981</v>
      </c>
      <c r="D180" s="572" t="s">
        <v>1373</v>
      </c>
      <c r="E180" s="495"/>
      <c r="F180" s="495"/>
      <c r="G180" s="513">
        <f t="array" ref="G180">SUM(IF("155"&amp;C180=KHN&amp;MH,SL))</f>
        <v>1</v>
      </c>
      <c r="H180" s="513">
        <f t="array" ref="H180">SUM(IF("155"&amp;C180=KHN&amp;MH,TH))</f>
        <v>6671</v>
      </c>
      <c r="I180" s="513">
        <f t="array" ref="I180">SUM(IF("155"&amp;C180=KHC&amp;MH,SL))</f>
        <v>1</v>
      </c>
      <c r="J180" s="513">
        <f t="array" ref="J180">SUM(IF("155"&amp;C180=KHC&amp;MH,TH))</f>
        <v>6671</v>
      </c>
      <c r="K180" s="495">
        <f t="shared" si="25"/>
        <v>0</v>
      </c>
      <c r="L180" s="495">
        <f t="shared" si="26"/>
        <v>0</v>
      </c>
      <c r="M180" s="300"/>
      <c r="N180" s="300"/>
    </row>
    <row r="181" spans="1:14" s="294" customFormat="1" ht="18.75" customHeight="1">
      <c r="A181" s="300" t="str">
        <f t="shared" si="23"/>
        <v>TP</v>
      </c>
      <c r="B181" s="571">
        <f t="shared" si="24"/>
        <v>32</v>
      </c>
      <c r="C181" s="567" t="s">
        <v>1250</v>
      </c>
      <c r="D181" s="572" t="s">
        <v>1373</v>
      </c>
      <c r="E181" s="495"/>
      <c r="F181" s="495"/>
      <c r="G181" s="513">
        <f t="array" ref="G181">SUM(IF("155"&amp;C181=KHN&amp;MH,SL))</f>
        <v>235</v>
      </c>
      <c r="H181" s="513">
        <f t="array" ref="H181">SUM(IF("155"&amp;C181=KHN&amp;MH,TH))</f>
        <v>2252384</v>
      </c>
      <c r="I181" s="513">
        <f t="array" ref="I181">SUM(IF("155"&amp;C181=KHC&amp;MH,SL))</f>
        <v>235</v>
      </c>
      <c r="J181" s="513">
        <f t="array" ref="J181">SUM(IF("155"&amp;C181=KHC&amp;MH,TH))</f>
        <v>2252384</v>
      </c>
      <c r="K181" s="495">
        <f t="shared" si="25"/>
        <v>0</v>
      </c>
      <c r="L181" s="495">
        <f t="shared" si="26"/>
        <v>0</v>
      </c>
      <c r="M181" s="300"/>
      <c r="N181" s="300"/>
    </row>
    <row r="182" spans="1:14" s="294" customFormat="1" ht="18.75" customHeight="1">
      <c r="A182" s="300" t="str">
        <f t="shared" si="23"/>
        <v>TP</v>
      </c>
      <c r="B182" s="571">
        <f t="shared" si="24"/>
        <v>33</v>
      </c>
      <c r="C182" s="566" t="s">
        <v>733</v>
      </c>
      <c r="D182" s="572" t="s">
        <v>1373</v>
      </c>
      <c r="E182" s="495"/>
      <c r="F182" s="495"/>
      <c r="G182" s="513">
        <f t="array" ref="G182">SUM(IF("155"&amp;C182=KHN&amp;MH,SL))</f>
        <v>9</v>
      </c>
      <c r="H182" s="513">
        <f t="array" ref="H182">SUM(IF("155"&amp;C182=KHN&amp;MH,TH))</f>
        <v>46100</v>
      </c>
      <c r="I182" s="513">
        <f t="array" ref="I182">SUM(IF("155"&amp;C182=KHC&amp;MH,SL))</f>
        <v>9</v>
      </c>
      <c r="J182" s="513">
        <f t="array" ref="J182">SUM(IF("155"&amp;C182=KHC&amp;MH,TH))</f>
        <v>46100</v>
      </c>
      <c r="K182" s="495">
        <f t="shared" si="25"/>
        <v>0</v>
      </c>
      <c r="L182" s="495">
        <f t="shared" si="26"/>
        <v>0</v>
      </c>
      <c r="M182" s="300"/>
      <c r="N182" s="300"/>
    </row>
    <row r="183" spans="1:14" s="294" customFormat="1" ht="18.75" customHeight="1">
      <c r="A183" s="300" t="str">
        <f t="shared" si="23"/>
        <v>TP</v>
      </c>
      <c r="B183" s="571">
        <f t="shared" si="24"/>
        <v>34</v>
      </c>
      <c r="C183" s="566" t="s">
        <v>872</v>
      </c>
      <c r="D183" s="572" t="s">
        <v>1373</v>
      </c>
      <c r="E183" s="495"/>
      <c r="F183" s="495"/>
      <c r="G183" s="513">
        <f t="array" ref="G183">SUM(IF("155"&amp;C183=KHN&amp;MH,SL))</f>
        <v>14</v>
      </c>
      <c r="H183" s="513">
        <f t="array" ref="H183">SUM(IF("155"&amp;C183=KHN&amp;MH,TH))</f>
        <v>88262</v>
      </c>
      <c r="I183" s="513">
        <f t="array" ref="I183">SUM(IF("155"&amp;C183=KHC&amp;MH,SL))</f>
        <v>14</v>
      </c>
      <c r="J183" s="513">
        <f t="array" ref="J183">SUM(IF("155"&amp;C183=KHC&amp;MH,TH))</f>
        <v>88262</v>
      </c>
      <c r="K183" s="495">
        <f t="shared" si="25"/>
        <v>0</v>
      </c>
      <c r="L183" s="495">
        <f t="shared" si="26"/>
        <v>0</v>
      </c>
      <c r="M183" s="300"/>
      <c r="N183" s="300"/>
    </row>
    <row r="184" spans="1:14" s="294" customFormat="1" ht="18.75" customHeight="1">
      <c r="A184" s="300" t="str">
        <f t="shared" si="23"/>
        <v>TP</v>
      </c>
      <c r="B184" s="571">
        <f t="shared" si="24"/>
        <v>35</v>
      </c>
      <c r="C184" s="567" t="s">
        <v>1254</v>
      </c>
      <c r="D184" s="572" t="s">
        <v>1373</v>
      </c>
      <c r="E184" s="495"/>
      <c r="F184" s="495"/>
      <c r="G184" s="513">
        <f t="array" ref="G184">SUM(IF("155"&amp;C184=KHN&amp;MH,SL))</f>
        <v>28</v>
      </c>
      <c r="H184" s="513">
        <f t="array" ref="H184">SUM(IF("155"&amp;C184=KHN&amp;MH,TH))</f>
        <v>278091</v>
      </c>
      <c r="I184" s="513">
        <f t="array" ref="I184">SUM(IF("155"&amp;C184=KHC&amp;MH,SL))</f>
        <v>28</v>
      </c>
      <c r="J184" s="513">
        <f t="array" ref="J184">SUM(IF("155"&amp;C184=KHC&amp;MH,TH))</f>
        <v>278091</v>
      </c>
      <c r="K184" s="495">
        <f t="shared" si="25"/>
        <v>0</v>
      </c>
      <c r="L184" s="495">
        <f t="shared" si="26"/>
        <v>0</v>
      </c>
      <c r="M184" s="300"/>
      <c r="N184" s="300"/>
    </row>
    <row r="185" spans="1:14" s="294" customFormat="1" ht="18.75" customHeight="1">
      <c r="A185" s="300" t="str">
        <f t="shared" si="23"/>
        <v>TP</v>
      </c>
      <c r="B185" s="571">
        <f t="shared" si="24"/>
        <v>36</v>
      </c>
      <c r="C185" s="567" t="s">
        <v>1259</v>
      </c>
      <c r="D185" s="572" t="s">
        <v>1373</v>
      </c>
      <c r="E185" s="495"/>
      <c r="F185" s="495"/>
      <c r="G185" s="513">
        <f t="array" ref="G185">SUM(IF("155"&amp;C185=KHN&amp;MH,SL))</f>
        <v>123</v>
      </c>
      <c r="H185" s="513">
        <f t="array" ref="H185">SUM(IF("155"&amp;C185=KHN&amp;MH,TH))</f>
        <v>1219976</v>
      </c>
      <c r="I185" s="513">
        <f t="array" ref="I185">SUM(IF("155"&amp;C185=KHC&amp;MH,SL))</f>
        <v>123</v>
      </c>
      <c r="J185" s="513">
        <f t="array" ref="J185">SUM(IF("155"&amp;C185=KHC&amp;MH,TH))</f>
        <v>1219976</v>
      </c>
      <c r="K185" s="495">
        <f t="shared" si="25"/>
        <v>0</v>
      </c>
      <c r="L185" s="495">
        <f t="shared" si="26"/>
        <v>0</v>
      </c>
      <c r="M185" s="300"/>
      <c r="N185" s="300"/>
    </row>
    <row r="186" spans="1:14" s="294" customFormat="1" ht="18.75" customHeight="1">
      <c r="A186" s="300" t="str">
        <f t="shared" si="23"/>
        <v>TP</v>
      </c>
      <c r="B186" s="571">
        <f t="shared" si="24"/>
        <v>37</v>
      </c>
      <c r="C186" s="566" t="s">
        <v>721</v>
      </c>
      <c r="D186" s="572" t="s">
        <v>1373</v>
      </c>
      <c r="E186" s="495"/>
      <c r="F186" s="495"/>
      <c r="G186" s="513">
        <f t="array" ref="G186">SUM(IF("155"&amp;C186=KHN&amp;MH,SL))</f>
        <v>9</v>
      </c>
      <c r="H186" s="513">
        <f t="array" ref="H186">SUM(IF("155"&amp;C186=KHN&amp;MH,TH))</f>
        <v>73471</v>
      </c>
      <c r="I186" s="513">
        <f t="array" ref="I186">SUM(IF("155"&amp;C186=KHC&amp;MH,SL))</f>
        <v>9</v>
      </c>
      <c r="J186" s="513">
        <f t="array" ref="J186">SUM(IF("155"&amp;C186=KHC&amp;MH,TH))</f>
        <v>73471</v>
      </c>
      <c r="K186" s="495">
        <f t="shared" si="25"/>
        <v>0</v>
      </c>
      <c r="L186" s="495">
        <f t="shared" si="26"/>
        <v>0</v>
      </c>
      <c r="M186" s="300"/>
      <c r="N186" s="300"/>
    </row>
    <row r="187" spans="1:14" s="294" customFormat="1" ht="18.75" customHeight="1">
      <c r="A187" s="300" t="str">
        <f t="shared" si="23"/>
        <v>TP</v>
      </c>
      <c r="B187" s="571">
        <f t="shared" si="24"/>
        <v>38</v>
      </c>
      <c r="C187" s="567" t="s">
        <v>1274</v>
      </c>
      <c r="D187" s="572" t="s">
        <v>1373</v>
      </c>
      <c r="E187" s="495"/>
      <c r="F187" s="495"/>
      <c r="G187" s="513">
        <f t="array" ref="G187">SUM(IF("155"&amp;C187=KHN&amp;MH,SL))</f>
        <v>171</v>
      </c>
      <c r="H187" s="513">
        <f t="array" ref="H187">SUM(IF("155"&amp;C187=KHN&amp;MH,TH))</f>
        <v>2833831</v>
      </c>
      <c r="I187" s="513">
        <f t="array" ref="I187">SUM(IF("155"&amp;C187=KHC&amp;MH,SL))</f>
        <v>171</v>
      </c>
      <c r="J187" s="513">
        <f t="array" ref="J187">SUM(IF("155"&amp;C187=KHC&amp;MH,TH))</f>
        <v>2833831</v>
      </c>
      <c r="K187" s="495">
        <f t="shared" si="25"/>
        <v>0</v>
      </c>
      <c r="L187" s="495">
        <f t="shared" si="26"/>
        <v>0</v>
      </c>
      <c r="M187" s="300"/>
      <c r="N187" s="300"/>
    </row>
    <row r="188" spans="1:14" s="294" customFormat="1" ht="18.75" customHeight="1">
      <c r="A188" s="300" t="str">
        <f t="shared" si="23"/>
        <v>TP</v>
      </c>
      <c r="B188" s="571">
        <f t="shared" si="24"/>
        <v>39</v>
      </c>
      <c r="C188" s="567" t="s">
        <v>1276</v>
      </c>
      <c r="D188" s="572" t="s">
        <v>1373</v>
      </c>
      <c r="E188" s="495"/>
      <c r="F188" s="495"/>
      <c r="G188" s="513">
        <f t="array" ref="G188">SUM(IF("155"&amp;C188=KHN&amp;MH,SL))</f>
        <v>201</v>
      </c>
      <c r="H188" s="513">
        <f t="array" ref="H188">SUM(IF("155"&amp;C188=KHN&amp;MH,TH))</f>
        <v>3656749</v>
      </c>
      <c r="I188" s="513">
        <f t="array" ref="I188">SUM(IF("155"&amp;C188=KHC&amp;MH,SL))</f>
        <v>201</v>
      </c>
      <c r="J188" s="513">
        <f t="array" ref="J188">SUM(IF("155"&amp;C188=KHC&amp;MH,TH))</f>
        <v>3656749</v>
      </c>
      <c r="K188" s="495">
        <f t="shared" si="25"/>
        <v>0</v>
      </c>
      <c r="L188" s="495">
        <f t="shared" si="26"/>
        <v>0</v>
      </c>
      <c r="M188" s="300"/>
      <c r="N188" s="300"/>
    </row>
    <row r="189" spans="1:14" s="294" customFormat="1" ht="18.75" customHeight="1">
      <c r="A189" s="300" t="str">
        <f t="shared" si="23"/>
        <v>TP</v>
      </c>
      <c r="B189" s="571">
        <f t="shared" si="24"/>
        <v>40</v>
      </c>
      <c r="C189" s="566" t="s">
        <v>944</v>
      </c>
      <c r="D189" s="572" t="s">
        <v>1373</v>
      </c>
      <c r="E189" s="495"/>
      <c r="F189" s="495"/>
      <c r="G189" s="513">
        <f t="array" ref="G189">SUM(IF("155"&amp;C189=KHN&amp;MH,SL))</f>
        <v>164</v>
      </c>
      <c r="H189" s="513">
        <f t="array" ref="H189">SUM(IF("155"&amp;C189=KHN&amp;MH,TH))</f>
        <v>1212681</v>
      </c>
      <c r="I189" s="513">
        <f t="array" ref="I189">SUM(IF("155"&amp;C189=KHC&amp;MH,SL))</f>
        <v>164</v>
      </c>
      <c r="J189" s="513">
        <f t="array" ref="J189">SUM(IF("155"&amp;C189=KHC&amp;MH,TH))</f>
        <v>1212681</v>
      </c>
      <c r="K189" s="495">
        <f t="shared" si="25"/>
        <v>0</v>
      </c>
      <c r="L189" s="495">
        <f t="shared" si="26"/>
        <v>0</v>
      </c>
      <c r="M189" s="300"/>
      <c r="N189" s="300"/>
    </row>
    <row r="190" spans="1:14" s="294" customFormat="1" ht="18.75" customHeight="1">
      <c r="A190" s="300" t="str">
        <f t="shared" si="23"/>
        <v>TP</v>
      </c>
      <c r="B190" s="571">
        <f t="shared" si="24"/>
        <v>41</v>
      </c>
      <c r="C190" s="566" t="s">
        <v>943</v>
      </c>
      <c r="D190" s="572" t="s">
        <v>1373</v>
      </c>
      <c r="E190" s="495"/>
      <c r="F190" s="495"/>
      <c r="G190" s="513">
        <f t="array" ref="G190">SUM(IF("155"&amp;C190=KHN&amp;MH,SL))</f>
        <v>660</v>
      </c>
      <c r="H190" s="513">
        <f t="array" ref="H190">SUM(IF("155"&amp;C190=KHN&amp;MH,TH))</f>
        <v>5001998</v>
      </c>
      <c r="I190" s="513">
        <f t="array" ref="I190">SUM(IF("155"&amp;C190=KHC&amp;MH,SL))</f>
        <v>660</v>
      </c>
      <c r="J190" s="513">
        <f t="array" ref="J190">SUM(IF("155"&amp;C190=KHC&amp;MH,TH))</f>
        <v>5001998</v>
      </c>
      <c r="K190" s="495">
        <f t="shared" si="25"/>
        <v>0</v>
      </c>
      <c r="L190" s="495">
        <f t="shared" si="26"/>
        <v>0</v>
      </c>
      <c r="M190" s="300"/>
      <c r="N190" s="300"/>
    </row>
    <row r="191" spans="1:14" s="294" customFormat="1" ht="18.75" customHeight="1">
      <c r="A191" s="300" t="str">
        <f t="shared" si="23"/>
        <v>TP</v>
      </c>
      <c r="B191" s="571">
        <f t="shared" si="24"/>
        <v>42</v>
      </c>
      <c r="C191" s="567" t="s">
        <v>1321</v>
      </c>
      <c r="D191" s="572" t="s">
        <v>1373</v>
      </c>
      <c r="E191" s="495"/>
      <c r="F191" s="495"/>
      <c r="G191" s="513">
        <f t="array" ref="G191">SUM(IF("155"&amp;C191=KHN&amp;MH,SL))</f>
        <v>261</v>
      </c>
      <c r="H191" s="513">
        <f t="array" ref="H191">SUM(IF("155"&amp;C191=KHN&amp;MH,TH))</f>
        <v>2588730</v>
      </c>
      <c r="I191" s="513">
        <f t="array" ref="I191">SUM(IF("155"&amp;C191=KHC&amp;MH,SL))</f>
        <v>261</v>
      </c>
      <c r="J191" s="513">
        <f t="array" ref="J191">SUM(IF("155"&amp;C191=KHC&amp;MH,TH))</f>
        <v>2588730</v>
      </c>
      <c r="K191" s="495">
        <f t="shared" si="25"/>
        <v>0</v>
      </c>
      <c r="L191" s="495">
        <f t="shared" si="26"/>
        <v>0</v>
      </c>
      <c r="M191" s="300"/>
      <c r="N191" s="300"/>
    </row>
    <row r="192" spans="1:14" s="294" customFormat="1" ht="18.75" customHeight="1">
      <c r="A192" s="300" t="str">
        <f t="shared" si="23"/>
        <v>TP</v>
      </c>
      <c r="B192" s="571">
        <f t="shared" si="24"/>
        <v>43</v>
      </c>
      <c r="C192" s="567" t="s">
        <v>1278</v>
      </c>
      <c r="D192" s="572" t="s">
        <v>1373</v>
      </c>
      <c r="E192" s="495"/>
      <c r="F192" s="495"/>
      <c r="G192" s="513">
        <f t="array" ref="G192">SUM(IF("155"&amp;C192=KHN&amp;MH,SL))</f>
        <v>412</v>
      </c>
      <c r="H192" s="513">
        <f t="array" ref="H192">SUM(IF("155"&amp;C192=KHN&amp;MH,TH))</f>
        <v>7042413</v>
      </c>
      <c r="I192" s="513">
        <f t="array" ref="I192">SUM(IF("155"&amp;C192=KHC&amp;MH,SL))</f>
        <v>412</v>
      </c>
      <c r="J192" s="513">
        <f t="array" ref="J192">SUM(IF("155"&amp;C192=KHC&amp;MH,TH))</f>
        <v>7042413</v>
      </c>
      <c r="K192" s="495">
        <f t="shared" si="25"/>
        <v>0</v>
      </c>
      <c r="L192" s="495">
        <f t="shared" si="26"/>
        <v>0</v>
      </c>
      <c r="M192" s="300"/>
      <c r="N192" s="300"/>
    </row>
    <row r="193" spans="1:14" s="294" customFormat="1" ht="18.75" customHeight="1">
      <c r="A193" s="300" t="str">
        <f t="shared" si="23"/>
        <v>TP</v>
      </c>
      <c r="B193" s="571">
        <f t="shared" si="24"/>
        <v>44</v>
      </c>
      <c r="C193" s="566" t="s">
        <v>881</v>
      </c>
      <c r="D193" s="572" t="s">
        <v>1373</v>
      </c>
      <c r="E193" s="495"/>
      <c r="F193" s="495"/>
      <c r="G193" s="513">
        <f t="array" ref="G193">SUM(IF("155"&amp;C193=KHN&amp;MH,SL))</f>
        <v>169</v>
      </c>
      <c r="H193" s="513">
        <f t="array" ref="H193">SUM(IF("155"&amp;C193=KHN&amp;MH,TH))</f>
        <v>1248152</v>
      </c>
      <c r="I193" s="513">
        <f t="array" ref="I193">SUM(IF("155"&amp;C193=KHC&amp;MH,SL))</f>
        <v>169</v>
      </c>
      <c r="J193" s="513">
        <f t="array" ref="J193">SUM(IF("155"&amp;C193=KHC&amp;MH,TH))</f>
        <v>1248152</v>
      </c>
      <c r="K193" s="495">
        <f t="shared" si="25"/>
        <v>0</v>
      </c>
      <c r="L193" s="495">
        <f t="shared" si="26"/>
        <v>0</v>
      </c>
      <c r="M193" s="300"/>
      <c r="N193" s="300"/>
    </row>
    <row r="194" spans="1:14" s="294" customFormat="1" ht="18.75" customHeight="1">
      <c r="A194" s="300" t="str">
        <f t="shared" si="23"/>
        <v>TP</v>
      </c>
      <c r="B194" s="571">
        <f t="shared" si="24"/>
        <v>45</v>
      </c>
      <c r="C194" s="566" t="s">
        <v>979</v>
      </c>
      <c r="D194" s="572" t="s">
        <v>1373</v>
      </c>
      <c r="E194" s="495"/>
      <c r="F194" s="495"/>
      <c r="G194" s="513">
        <f t="array" ref="G194">SUM(IF("155"&amp;C194=KHN&amp;MH,SL))</f>
        <v>3</v>
      </c>
      <c r="H194" s="513">
        <f t="array" ref="H194">SUM(IF("155"&amp;C194=KHN&amp;MH,TH))</f>
        <v>19090</v>
      </c>
      <c r="I194" s="513">
        <f t="array" ref="I194">SUM(IF("155"&amp;C194=KHC&amp;MH,SL))</f>
        <v>3</v>
      </c>
      <c r="J194" s="513">
        <f t="array" ref="J194">SUM(IF("155"&amp;C194=KHC&amp;MH,TH))</f>
        <v>19090</v>
      </c>
      <c r="K194" s="495">
        <f t="shared" si="25"/>
        <v>0</v>
      </c>
      <c r="L194" s="495">
        <f t="shared" si="26"/>
        <v>0</v>
      </c>
      <c r="M194" s="300"/>
      <c r="N194" s="300"/>
    </row>
    <row r="195" spans="1:14" s="294" customFormat="1" ht="18.75" customHeight="1">
      <c r="A195" s="300" t="str">
        <f t="shared" si="23"/>
        <v>TP</v>
      </c>
      <c r="B195" s="571">
        <f t="shared" si="24"/>
        <v>46</v>
      </c>
      <c r="C195" s="566" t="s">
        <v>851</v>
      </c>
      <c r="D195" s="572" t="s">
        <v>1373</v>
      </c>
      <c r="E195" s="495"/>
      <c r="F195" s="495"/>
      <c r="G195" s="513">
        <f t="array" ref="G195">SUM(IF("155"&amp;C195=KHN&amp;MH,SL))</f>
        <v>224</v>
      </c>
      <c r="H195" s="513">
        <f t="array" ref="H195">SUM(IF("155"&amp;C195=KHN&amp;MH,TH))</f>
        <v>2076457</v>
      </c>
      <c r="I195" s="513">
        <f t="array" ref="I195">SUM(IF("155"&amp;C195=KHC&amp;MH,SL))</f>
        <v>224</v>
      </c>
      <c r="J195" s="513">
        <f t="array" ref="J195">SUM(IF("155"&amp;C195=KHC&amp;MH,TH))</f>
        <v>2076457</v>
      </c>
      <c r="K195" s="495">
        <f t="shared" si="25"/>
        <v>0</v>
      </c>
      <c r="L195" s="495">
        <f t="shared" si="26"/>
        <v>0</v>
      </c>
      <c r="M195" s="300"/>
      <c r="N195" s="300"/>
    </row>
    <row r="196" spans="1:14" s="294" customFormat="1" ht="18.75" customHeight="1">
      <c r="A196" s="300" t="str">
        <f t="shared" si="23"/>
        <v>TP</v>
      </c>
      <c r="B196" s="571">
        <f t="shared" si="24"/>
        <v>47</v>
      </c>
      <c r="C196" s="566" t="s">
        <v>880</v>
      </c>
      <c r="D196" s="572" t="s">
        <v>1373</v>
      </c>
      <c r="E196" s="495"/>
      <c r="F196" s="495"/>
      <c r="G196" s="513">
        <f t="array" ref="G196">SUM(IF("155"&amp;C196=KHN&amp;MH,SL))</f>
        <v>2057</v>
      </c>
      <c r="H196" s="513">
        <f t="array" ref="H196">SUM(IF("155"&amp;C196=KHN&amp;MH,TH))</f>
        <v>18007484</v>
      </c>
      <c r="I196" s="513">
        <f t="array" ref="I196">SUM(IF("155"&amp;C196=KHC&amp;MH,SL))</f>
        <v>2057</v>
      </c>
      <c r="J196" s="513">
        <f t="array" ref="J196">SUM(IF("155"&amp;C196=KHC&amp;MH,TH))</f>
        <v>18007484</v>
      </c>
      <c r="K196" s="495">
        <f t="shared" si="25"/>
        <v>0</v>
      </c>
      <c r="L196" s="495">
        <f t="shared" si="26"/>
        <v>0</v>
      </c>
      <c r="M196" s="300"/>
      <c r="N196" s="300"/>
    </row>
    <row r="197" spans="1:14" s="294" customFormat="1" ht="18" customHeight="1">
      <c r="A197" s="300" t="str">
        <f t="shared" si="23"/>
        <v>TP</v>
      </c>
      <c r="B197" s="571">
        <f t="shared" si="24"/>
        <v>48</v>
      </c>
      <c r="C197" s="567" t="s">
        <v>1242</v>
      </c>
      <c r="D197" s="572" t="s">
        <v>1373</v>
      </c>
      <c r="E197" s="495"/>
      <c r="F197" s="495"/>
      <c r="G197" s="513">
        <f t="array" ref="G197">SUM(IF("155"&amp;C197=KHN&amp;MH,SL))</f>
        <v>10</v>
      </c>
      <c r="H197" s="513">
        <f t="array" ref="H197">SUM(IF("155"&amp;C197=KHN&amp;MH,TH))</f>
        <v>85149</v>
      </c>
      <c r="I197" s="513">
        <f t="array" ref="I197">SUM(IF("155"&amp;C197=KHC&amp;MH,SL))</f>
        <v>10</v>
      </c>
      <c r="J197" s="513">
        <f t="array" ref="J197">SUM(IF("155"&amp;C197=KHC&amp;MH,TH))</f>
        <v>85149</v>
      </c>
      <c r="K197" s="495">
        <f t="shared" si="25"/>
        <v>0</v>
      </c>
      <c r="L197" s="495">
        <f t="shared" si="26"/>
        <v>0</v>
      </c>
      <c r="M197" s="300"/>
      <c r="N197" s="300"/>
    </row>
    <row r="198" spans="1:14" s="294" customFormat="1" ht="18" customHeight="1">
      <c r="A198" s="300" t="str">
        <f t="shared" si="23"/>
        <v>TP</v>
      </c>
      <c r="B198" s="571">
        <f t="shared" si="24"/>
        <v>49</v>
      </c>
      <c r="C198" s="567" t="s">
        <v>1258</v>
      </c>
      <c r="D198" s="572" t="s">
        <v>1373</v>
      </c>
      <c r="E198" s="495"/>
      <c r="F198" s="495"/>
      <c r="G198" s="513">
        <f t="array" ref="G198">SUM(IF("155"&amp;C198=KHN&amp;MH,SL))</f>
        <v>274</v>
      </c>
      <c r="H198" s="513">
        <f t="array" ref="H198">SUM(IF("155"&amp;C198=KHN&amp;MH,TH))</f>
        <v>2717670</v>
      </c>
      <c r="I198" s="513">
        <f t="array" ref="I198">SUM(IF("155"&amp;C198=KHC&amp;MH,SL))</f>
        <v>274</v>
      </c>
      <c r="J198" s="513">
        <f t="array" ref="J198">SUM(IF("155"&amp;C198=KHC&amp;MH,TH))</f>
        <v>2717670</v>
      </c>
      <c r="K198" s="495">
        <f t="shared" si="25"/>
        <v>0</v>
      </c>
      <c r="L198" s="495">
        <f t="shared" si="26"/>
        <v>0</v>
      </c>
      <c r="M198" s="300"/>
      <c r="N198" s="300"/>
    </row>
    <row r="199" spans="1:14" s="294" customFormat="1" ht="18.75" customHeight="1">
      <c r="A199" s="300" t="str">
        <f t="shared" si="23"/>
        <v>TP</v>
      </c>
      <c r="B199" s="571">
        <f t="shared" si="24"/>
        <v>50</v>
      </c>
      <c r="C199" s="566" t="s">
        <v>852</v>
      </c>
      <c r="D199" s="572" t="s">
        <v>1373</v>
      </c>
      <c r="E199" s="495"/>
      <c r="F199" s="495"/>
      <c r="G199" s="513">
        <f t="array" ref="G199">SUM(IF("155"&amp;C199=KHN&amp;MH,SL))</f>
        <v>882</v>
      </c>
      <c r="H199" s="513">
        <f t="array" ref="H199">SUM(IF("155"&amp;C199=KHN&amp;MH,TH))</f>
        <v>11786890</v>
      </c>
      <c r="I199" s="513">
        <f t="array" ref="I199">SUM(IF("155"&amp;C199=KHC&amp;MH,SL))</f>
        <v>882</v>
      </c>
      <c r="J199" s="513">
        <f t="array" ref="J199">SUM(IF("155"&amp;C199=KHC&amp;MH,TH))</f>
        <v>11786890</v>
      </c>
      <c r="K199" s="495">
        <f t="shared" si="25"/>
        <v>0</v>
      </c>
      <c r="L199" s="495">
        <f t="shared" si="26"/>
        <v>0</v>
      </c>
      <c r="M199" s="300"/>
      <c r="N199" s="300"/>
    </row>
    <row r="200" spans="1:14" s="294" customFormat="1" ht="18.75" customHeight="1">
      <c r="A200" s="300" t="str">
        <f t="shared" si="23"/>
        <v>TP</v>
      </c>
      <c r="B200" s="571">
        <f t="shared" si="24"/>
        <v>51</v>
      </c>
      <c r="C200" s="573" t="s">
        <v>1210</v>
      </c>
      <c r="D200" s="572" t="s">
        <v>1373</v>
      </c>
      <c r="E200" s="495"/>
      <c r="F200" s="495"/>
      <c r="G200" s="513">
        <f t="array" ref="G200">SUM(IF("155"&amp;C200=KHN&amp;MH,SL))</f>
        <v>300</v>
      </c>
      <c r="H200" s="513">
        <f t="array" ref="H200">SUM(IF("155"&amp;C200=KHN&amp;MH,TH))</f>
        <v>2498550</v>
      </c>
      <c r="I200" s="513">
        <f t="array" ref="I200">SUM(IF("155"&amp;C200=KHC&amp;MH,SL))</f>
        <v>300</v>
      </c>
      <c r="J200" s="513">
        <f t="array" ref="J200">SUM(IF("155"&amp;C200=KHC&amp;MH,TH))</f>
        <v>2498550</v>
      </c>
      <c r="K200" s="495">
        <f t="shared" si="25"/>
        <v>0</v>
      </c>
      <c r="L200" s="495">
        <f t="shared" si="26"/>
        <v>0</v>
      </c>
      <c r="M200" s="300"/>
      <c r="N200" s="300"/>
    </row>
    <row r="201" spans="1:14" s="294" customFormat="1" ht="18.75" customHeight="1">
      <c r="A201" s="300" t="str">
        <f t="shared" si="23"/>
        <v>TP</v>
      </c>
      <c r="B201" s="571">
        <f t="shared" si="24"/>
        <v>52</v>
      </c>
      <c r="C201" s="573" t="s">
        <v>1203</v>
      </c>
      <c r="D201" s="572" t="s">
        <v>1373</v>
      </c>
      <c r="E201" s="495"/>
      <c r="F201" s="495"/>
      <c r="G201" s="513">
        <f t="array" ref="G201">SUM(IF("155"&amp;C201=KHN&amp;MH,SL))</f>
        <v>275</v>
      </c>
      <c r="H201" s="513">
        <f t="array" ref="H201">SUM(IF("155"&amp;C201=KHN&amp;MH,TH))</f>
        <v>2177185</v>
      </c>
      <c r="I201" s="513">
        <f t="array" ref="I201">SUM(IF("155"&amp;C201=KHC&amp;MH,SL))</f>
        <v>275</v>
      </c>
      <c r="J201" s="513">
        <f t="array" ref="J201">SUM(IF("155"&amp;C201=KHC&amp;MH,TH))</f>
        <v>2177185</v>
      </c>
      <c r="K201" s="495">
        <f t="shared" si="25"/>
        <v>0</v>
      </c>
      <c r="L201" s="495">
        <f t="shared" si="26"/>
        <v>0</v>
      </c>
      <c r="M201" s="300"/>
      <c r="N201" s="300"/>
    </row>
    <row r="202" spans="1:14" s="294" customFormat="1" ht="18.75" customHeight="1">
      <c r="A202" s="300" t="str">
        <f t="shared" si="23"/>
        <v>TP</v>
      </c>
      <c r="B202" s="571">
        <f t="shared" si="24"/>
        <v>53</v>
      </c>
      <c r="C202" s="573" t="s">
        <v>1202</v>
      </c>
      <c r="D202" s="572" t="s">
        <v>1373</v>
      </c>
      <c r="E202" s="495"/>
      <c r="F202" s="495"/>
      <c r="G202" s="513">
        <f t="array" ref="G202">SUM(IF("155"&amp;C202=KHN&amp;MH,SL))</f>
        <v>144</v>
      </c>
      <c r="H202" s="513">
        <f t="array" ref="H202">SUM(IF("155"&amp;C202=KHN&amp;MH,TH))</f>
        <v>1277483</v>
      </c>
      <c r="I202" s="513">
        <f t="array" ref="I202">SUM(IF("155"&amp;C202=KHC&amp;MH,SL))</f>
        <v>144</v>
      </c>
      <c r="J202" s="513">
        <f t="array" ref="J202">SUM(IF("155"&amp;C202=KHC&amp;MH,TH))</f>
        <v>1277483</v>
      </c>
      <c r="K202" s="495">
        <f t="shared" si="25"/>
        <v>0</v>
      </c>
      <c r="L202" s="495">
        <f t="shared" si="26"/>
        <v>0</v>
      </c>
      <c r="M202" s="300"/>
      <c r="N202" s="300"/>
    </row>
    <row r="203" spans="1:14" s="294" customFormat="1" ht="18.75" customHeight="1">
      <c r="A203" s="300" t="str">
        <f t="shared" si="23"/>
        <v>TP</v>
      </c>
      <c r="B203" s="571">
        <f t="shared" si="24"/>
        <v>54</v>
      </c>
      <c r="C203" s="567" t="s">
        <v>1277</v>
      </c>
      <c r="D203" s="572" t="s">
        <v>1373</v>
      </c>
      <c r="E203" s="495"/>
      <c r="F203" s="495"/>
      <c r="G203" s="513">
        <f t="array" ref="G203">SUM(IF("155"&amp;C203=KHN&amp;MH,SL))</f>
        <v>171</v>
      </c>
      <c r="H203" s="513">
        <f t="array" ref="H203">SUM(IF("155"&amp;C203=KHN&amp;MH,TH))</f>
        <v>3145521</v>
      </c>
      <c r="I203" s="513">
        <f t="array" ref="I203">SUM(IF("155"&amp;C203=KHC&amp;MH,SL))</f>
        <v>171</v>
      </c>
      <c r="J203" s="513">
        <f t="array" ref="J203">SUM(IF("155"&amp;C203=KHC&amp;MH,TH))</f>
        <v>3145521</v>
      </c>
      <c r="K203" s="495">
        <f t="shared" si="25"/>
        <v>0</v>
      </c>
      <c r="L203" s="495">
        <f t="shared" si="26"/>
        <v>0</v>
      </c>
      <c r="M203" s="300"/>
      <c r="N203" s="300"/>
    </row>
    <row r="204" spans="1:14" s="294" customFormat="1" ht="18.75" customHeight="1">
      <c r="A204" s="300" t="str">
        <f t="shared" si="23"/>
        <v>TP</v>
      </c>
      <c r="B204" s="571">
        <f t="shared" si="24"/>
        <v>55</v>
      </c>
      <c r="C204" s="566" t="s">
        <v>734</v>
      </c>
      <c r="D204" s="572" t="s">
        <v>1373</v>
      </c>
      <c r="E204" s="495"/>
      <c r="F204" s="495"/>
      <c r="G204" s="513">
        <f t="array" ref="G204">SUM(IF("155"&amp;C204=KHN&amp;MH,SL))</f>
        <v>20</v>
      </c>
      <c r="H204" s="513">
        <f t="array" ref="H204">SUM(IF("155"&amp;C204=KHN&amp;MH,TH))</f>
        <v>130139</v>
      </c>
      <c r="I204" s="513">
        <f t="array" ref="I204">SUM(IF("155"&amp;C204=KHC&amp;MH,SL))</f>
        <v>20</v>
      </c>
      <c r="J204" s="513">
        <f t="array" ref="J204">SUM(IF("155"&amp;C204=KHC&amp;MH,TH))</f>
        <v>130139</v>
      </c>
      <c r="K204" s="495">
        <f t="shared" si="25"/>
        <v>0</v>
      </c>
      <c r="L204" s="495">
        <f t="shared" si="26"/>
        <v>0</v>
      </c>
      <c r="M204" s="300"/>
      <c r="N204" s="300"/>
    </row>
    <row r="205" spans="1:14" s="294" customFormat="1" ht="18.75" customHeight="1">
      <c r="A205" s="300" t="str">
        <f t="shared" si="23"/>
        <v>TP</v>
      </c>
      <c r="B205" s="571">
        <f t="shared" si="24"/>
        <v>56</v>
      </c>
      <c r="C205" s="567" t="s">
        <v>1333</v>
      </c>
      <c r="D205" s="572" t="s">
        <v>1373</v>
      </c>
      <c r="E205" s="495"/>
      <c r="F205" s="495"/>
      <c r="G205" s="513">
        <f t="array" ref="G205">SUM(IF("155"&amp;C205=KHN&amp;MH,SL))</f>
        <v>1</v>
      </c>
      <c r="H205" s="513">
        <f t="array" ref="H205">SUM(IF("155"&amp;C205=KHN&amp;MH,TH))</f>
        <v>9918</v>
      </c>
      <c r="I205" s="513">
        <f t="array" ref="I205">SUM(IF("155"&amp;C205=KHC&amp;MH,SL))</f>
        <v>1</v>
      </c>
      <c r="J205" s="513">
        <f t="array" ref="J205">SUM(IF("155"&amp;C205=KHC&amp;MH,TH))</f>
        <v>9918</v>
      </c>
      <c r="K205" s="495">
        <f t="shared" si="25"/>
        <v>0</v>
      </c>
      <c r="L205" s="495">
        <f t="shared" si="26"/>
        <v>0</v>
      </c>
      <c r="M205" s="300"/>
      <c r="N205" s="300"/>
    </row>
    <row r="206" spans="1:14" s="294" customFormat="1" ht="18.75" customHeight="1">
      <c r="A206" s="300" t="str">
        <f t="shared" si="23"/>
        <v>TP</v>
      </c>
      <c r="B206" s="571">
        <f t="shared" si="24"/>
        <v>57</v>
      </c>
      <c r="C206" s="566" t="s">
        <v>724</v>
      </c>
      <c r="D206" s="572" t="s">
        <v>1373</v>
      </c>
      <c r="E206" s="495"/>
      <c r="F206" s="495"/>
      <c r="G206" s="513">
        <f t="array" ref="G206">SUM(IF("155"&amp;C206=KHN&amp;MH,SL))</f>
        <v>371</v>
      </c>
      <c r="H206" s="513">
        <f t="array" ref="H206">SUM(IF("155"&amp;C206=KHN&amp;MH,TH))</f>
        <v>2900341</v>
      </c>
      <c r="I206" s="513">
        <f t="array" ref="I206">SUM(IF("155"&amp;C206=KHC&amp;MH,SL))</f>
        <v>371</v>
      </c>
      <c r="J206" s="513">
        <f t="array" ref="J206">SUM(IF("155"&amp;C206=KHC&amp;MH,TH))</f>
        <v>2900341</v>
      </c>
      <c r="K206" s="495">
        <f t="shared" si="25"/>
        <v>0</v>
      </c>
      <c r="L206" s="495">
        <f t="shared" si="26"/>
        <v>0</v>
      </c>
      <c r="M206" s="300"/>
      <c r="N206" s="300"/>
    </row>
    <row r="207" spans="1:14" s="294" customFormat="1" ht="18.75" customHeight="1">
      <c r="A207" s="300" t="str">
        <f t="shared" si="23"/>
        <v>TP</v>
      </c>
      <c r="B207" s="571">
        <f t="shared" si="24"/>
        <v>58</v>
      </c>
      <c r="C207" s="566" t="s">
        <v>952</v>
      </c>
      <c r="D207" s="572" t="s">
        <v>1373</v>
      </c>
      <c r="E207" s="495"/>
      <c r="F207" s="495"/>
      <c r="G207" s="513">
        <f t="array" ref="G207">SUM(IF("155"&amp;C207=KHN&amp;MH,SL))</f>
        <v>2</v>
      </c>
      <c r="H207" s="513">
        <f t="array" ref="H207">SUM(IF("155"&amp;C207=KHN&amp;MH,TH))</f>
        <v>20748</v>
      </c>
      <c r="I207" s="513">
        <f t="array" ref="I207">SUM(IF("155"&amp;C207=KHC&amp;MH,SL))</f>
        <v>2</v>
      </c>
      <c r="J207" s="513">
        <f t="array" ref="J207">SUM(IF("155"&amp;C207=KHC&amp;MH,TH))</f>
        <v>20748</v>
      </c>
      <c r="K207" s="495">
        <f t="shared" si="25"/>
        <v>0</v>
      </c>
      <c r="L207" s="495">
        <f t="shared" si="26"/>
        <v>0</v>
      </c>
      <c r="M207" s="300"/>
      <c r="N207" s="300"/>
    </row>
    <row r="208" spans="1:14" s="294" customFormat="1" ht="18.75" customHeight="1">
      <c r="A208" s="300" t="str">
        <f t="shared" si="23"/>
        <v>TP</v>
      </c>
      <c r="B208" s="571">
        <f t="shared" si="24"/>
        <v>59</v>
      </c>
      <c r="C208" s="567" t="s">
        <v>1334</v>
      </c>
      <c r="D208" s="572" t="s">
        <v>1373</v>
      </c>
      <c r="E208" s="495"/>
      <c r="F208" s="495"/>
      <c r="G208" s="513">
        <f t="array" ref="G208">SUM(IF("155"&amp;C208=KHN&amp;MH,SL))</f>
        <v>12</v>
      </c>
      <c r="H208" s="513">
        <f t="array" ref="H208">SUM(IF("155"&amp;C208=KHN&amp;MH,TH))</f>
        <v>147093</v>
      </c>
      <c r="I208" s="513">
        <f t="array" ref="I208">SUM(IF("155"&amp;C208=KHC&amp;MH,SL))</f>
        <v>12</v>
      </c>
      <c r="J208" s="513">
        <f t="array" ref="J208">SUM(IF("155"&amp;C208=KHC&amp;MH,TH))</f>
        <v>147093</v>
      </c>
      <c r="K208" s="495">
        <f t="shared" si="25"/>
        <v>0</v>
      </c>
      <c r="L208" s="495">
        <f t="shared" si="26"/>
        <v>0</v>
      </c>
      <c r="M208" s="300"/>
      <c r="N208" s="300"/>
    </row>
    <row r="209" spans="1:14" s="294" customFormat="1" ht="18.75" customHeight="1">
      <c r="A209" s="300" t="str">
        <f t="shared" si="23"/>
        <v>TP</v>
      </c>
      <c r="B209" s="571">
        <f t="shared" si="24"/>
        <v>60</v>
      </c>
      <c r="C209" s="566" t="s">
        <v>980</v>
      </c>
      <c r="D209" s="572" t="s">
        <v>1373</v>
      </c>
      <c r="E209" s="495"/>
      <c r="F209" s="495"/>
      <c r="G209" s="513">
        <f t="array" ref="G209">SUM(IF("155"&amp;C209=KHN&amp;MH,SL))</f>
        <v>1</v>
      </c>
      <c r="H209" s="513">
        <f t="array" ref="H209">SUM(IF("155"&amp;C209=KHN&amp;MH,TH))</f>
        <v>10374</v>
      </c>
      <c r="I209" s="513">
        <f t="array" ref="I209">SUM(IF("155"&amp;C209=KHC&amp;MH,SL))</f>
        <v>1</v>
      </c>
      <c r="J209" s="513">
        <f t="array" ref="J209">SUM(IF("155"&amp;C209=KHC&amp;MH,TH))</f>
        <v>10374</v>
      </c>
      <c r="K209" s="495">
        <f t="shared" si="25"/>
        <v>0</v>
      </c>
      <c r="L209" s="495">
        <f t="shared" si="26"/>
        <v>0</v>
      </c>
      <c r="M209" s="300"/>
      <c r="N209" s="300"/>
    </row>
    <row r="210" spans="1:14" s="294" customFormat="1" ht="18.75" customHeight="1">
      <c r="A210" s="300" t="str">
        <f t="shared" si="23"/>
        <v>TP</v>
      </c>
      <c r="B210" s="571">
        <f t="shared" si="24"/>
        <v>61</v>
      </c>
      <c r="C210" s="566" t="s">
        <v>983</v>
      </c>
      <c r="D210" s="572" t="s">
        <v>1373</v>
      </c>
      <c r="E210" s="495"/>
      <c r="F210" s="495"/>
      <c r="G210" s="513">
        <f t="array" ref="G210">SUM(IF("155"&amp;C210=KHN&amp;MH,SL))</f>
        <v>250</v>
      </c>
      <c r="H210" s="513">
        <f t="array" ref="H210">SUM(IF("155"&amp;C210=KHN&amp;MH,TH))</f>
        <v>3010475</v>
      </c>
      <c r="I210" s="513">
        <f t="array" ref="I210">SUM(IF("155"&amp;C210=KHC&amp;MH,SL))</f>
        <v>250</v>
      </c>
      <c r="J210" s="513">
        <f t="array" ref="J210">SUM(IF("155"&amp;C210=KHC&amp;MH,TH))</f>
        <v>3010475</v>
      </c>
      <c r="K210" s="495">
        <f t="shared" si="25"/>
        <v>0</v>
      </c>
      <c r="L210" s="495">
        <f t="shared" si="26"/>
        <v>0</v>
      </c>
      <c r="M210" s="300"/>
      <c r="N210" s="300"/>
    </row>
    <row r="211" spans="1:14" s="294" customFormat="1" ht="18.75" customHeight="1">
      <c r="A211" s="300" t="str">
        <f t="shared" si="23"/>
        <v>TP</v>
      </c>
      <c r="B211" s="571">
        <f t="shared" si="24"/>
        <v>62</v>
      </c>
      <c r="C211" s="566" t="s">
        <v>985</v>
      </c>
      <c r="D211" s="572" t="s">
        <v>1373</v>
      </c>
      <c r="E211" s="495"/>
      <c r="F211" s="495"/>
      <c r="G211" s="513">
        <f t="array" ref="G211">SUM(IF("155"&amp;C211=KHN&amp;MH,SL))</f>
        <v>655</v>
      </c>
      <c r="H211" s="513">
        <f t="array" ref="H211">SUM(IF("155"&amp;C211=KHN&amp;MH,TH))</f>
        <v>9070638</v>
      </c>
      <c r="I211" s="513">
        <f t="array" ref="I211">SUM(IF("155"&amp;C211=KHC&amp;MH,SL))</f>
        <v>655</v>
      </c>
      <c r="J211" s="513">
        <f t="array" ref="J211">SUM(IF("155"&amp;C211=KHC&amp;MH,TH))</f>
        <v>9070638</v>
      </c>
      <c r="K211" s="495">
        <f t="shared" si="25"/>
        <v>0</v>
      </c>
      <c r="L211" s="495">
        <f t="shared" si="26"/>
        <v>0</v>
      </c>
      <c r="M211" s="300"/>
      <c r="N211" s="300"/>
    </row>
    <row r="212" spans="1:14" s="294" customFormat="1" ht="18.75" customHeight="1">
      <c r="A212" s="300" t="str">
        <f t="shared" si="23"/>
        <v>TP</v>
      </c>
      <c r="B212" s="571">
        <f t="shared" si="24"/>
        <v>63</v>
      </c>
      <c r="C212" s="567" t="s">
        <v>1234</v>
      </c>
      <c r="D212" s="572" t="s">
        <v>1373</v>
      </c>
      <c r="E212" s="495"/>
      <c r="F212" s="495"/>
      <c r="G212" s="513">
        <f t="array" ref="G212">SUM(IF("155"&amp;C212=KHN&amp;MH,SL))</f>
        <v>19</v>
      </c>
      <c r="H212" s="513">
        <f t="array" ref="H212">SUM(IF("155"&amp;C212=KHN&amp;MH,TH))</f>
        <v>221912</v>
      </c>
      <c r="I212" s="513">
        <f t="array" ref="I212">SUM(IF("155"&amp;C212=KHC&amp;MH,SL))</f>
        <v>19</v>
      </c>
      <c r="J212" s="513">
        <f t="array" ref="J212">SUM(IF("155"&amp;C212=KHC&amp;MH,TH))</f>
        <v>221912</v>
      </c>
      <c r="K212" s="495">
        <f t="shared" si="25"/>
        <v>0</v>
      </c>
      <c r="L212" s="495">
        <f t="shared" si="26"/>
        <v>0</v>
      </c>
      <c r="M212" s="300"/>
      <c r="N212" s="300"/>
    </row>
    <row r="213" spans="1:14" s="294" customFormat="1" ht="18.75" customHeight="1">
      <c r="A213" s="300" t="str">
        <f t="shared" si="23"/>
        <v>TP</v>
      </c>
      <c r="B213" s="571">
        <f t="shared" si="24"/>
        <v>64</v>
      </c>
      <c r="C213" s="573" t="s">
        <v>1205</v>
      </c>
      <c r="D213" s="572" t="s">
        <v>1373</v>
      </c>
      <c r="E213" s="495"/>
      <c r="F213" s="495"/>
      <c r="G213" s="513">
        <f t="array" ref="G213">SUM(IF("155"&amp;C213=KHN&amp;MH,SL))</f>
        <v>462</v>
      </c>
      <c r="H213" s="513">
        <f t="array" ref="H213">SUM(IF("155"&amp;C213=KHN&amp;MH,TH))</f>
        <v>4954096</v>
      </c>
      <c r="I213" s="513">
        <f t="array" ref="I213">SUM(IF("155"&amp;C213=KHC&amp;MH,SL))</f>
        <v>462</v>
      </c>
      <c r="J213" s="513">
        <f t="array" ref="J213">SUM(IF("155"&amp;C213=KHC&amp;MH,TH))</f>
        <v>4954096</v>
      </c>
      <c r="K213" s="495">
        <f t="shared" si="25"/>
        <v>0</v>
      </c>
      <c r="L213" s="495">
        <f t="shared" si="26"/>
        <v>0</v>
      </c>
      <c r="M213" s="300"/>
      <c r="N213" s="300"/>
    </row>
    <row r="214" spans="1:14" s="294" customFormat="1" ht="18.75" customHeight="1">
      <c r="A214" s="300" t="str">
        <f t="shared" ref="A214:A277" si="27">IF(B214&lt;&gt;"","TP","")</f>
        <v>TP</v>
      </c>
      <c r="B214" s="571">
        <f t="shared" ref="B214:B277" si="28">IF(C214&lt;&gt;"",B213+1,"")</f>
        <v>65</v>
      </c>
      <c r="C214" s="567" t="s">
        <v>1256</v>
      </c>
      <c r="D214" s="572" t="s">
        <v>1373</v>
      </c>
      <c r="E214" s="495"/>
      <c r="F214" s="495"/>
      <c r="G214" s="513">
        <f t="array" ref="G214">SUM(IF("155"&amp;C214=KHN&amp;MH,SL))</f>
        <v>2</v>
      </c>
      <c r="H214" s="513">
        <f t="array" ref="H214">SUM(IF("155"&amp;C214=KHN&amp;MH,TH))</f>
        <v>16550</v>
      </c>
      <c r="I214" s="513">
        <f t="array" ref="I214">SUM(IF("155"&amp;C214=KHC&amp;MH,SL))</f>
        <v>2</v>
      </c>
      <c r="J214" s="513">
        <f t="array" ref="J214">SUM(IF("155"&amp;C214=KHC&amp;MH,TH))</f>
        <v>16550</v>
      </c>
      <c r="K214" s="495">
        <f t="shared" ref="K214:K277" si="29">E214+G214-I214</f>
        <v>0</v>
      </c>
      <c r="L214" s="495">
        <f t="shared" ref="L214:L277" si="30">F214+H214-J214</f>
        <v>0</v>
      </c>
      <c r="M214" s="300"/>
      <c r="N214" s="300"/>
    </row>
    <row r="215" spans="1:14" s="294" customFormat="1" ht="19.5" customHeight="1">
      <c r="A215" s="300" t="str">
        <f t="shared" si="27"/>
        <v>TP</v>
      </c>
      <c r="B215" s="571">
        <f t="shared" si="28"/>
        <v>66</v>
      </c>
      <c r="C215" s="566" t="s">
        <v>720</v>
      </c>
      <c r="D215" s="572" t="s">
        <v>1373</v>
      </c>
      <c r="E215" s="495"/>
      <c r="F215" s="495"/>
      <c r="G215" s="513">
        <f t="array" ref="G215">SUM(IF("155"&amp;C215=KHN&amp;MH,SL))</f>
        <v>134</v>
      </c>
      <c r="H215" s="513">
        <f t="array" ref="H215">SUM(IF("155"&amp;C215=KHN&amp;MH,TH))</f>
        <v>1800851</v>
      </c>
      <c r="I215" s="513">
        <f t="array" ref="I215">SUM(IF("155"&amp;C215=KHC&amp;MH,SL))</f>
        <v>134</v>
      </c>
      <c r="J215" s="513">
        <f t="array" ref="J215">SUM(IF("155"&amp;C215=KHC&amp;MH,TH))</f>
        <v>1800851</v>
      </c>
      <c r="K215" s="495">
        <f t="shared" si="29"/>
        <v>0</v>
      </c>
      <c r="L215" s="495">
        <f t="shared" si="30"/>
        <v>0</v>
      </c>
      <c r="M215" s="300"/>
      <c r="N215" s="300"/>
    </row>
    <row r="216" spans="1:14" s="294" customFormat="1" ht="19.5" customHeight="1">
      <c r="A216" s="300" t="str">
        <f t="shared" si="27"/>
        <v>TP</v>
      </c>
      <c r="B216" s="571">
        <f t="shared" si="28"/>
        <v>67</v>
      </c>
      <c r="C216" s="567" t="s">
        <v>1299</v>
      </c>
      <c r="D216" s="572" t="s">
        <v>1373</v>
      </c>
      <c r="E216" s="495"/>
      <c r="F216" s="495"/>
      <c r="G216" s="513">
        <f t="array" ref="G216">SUM(IF("155"&amp;C216=KHN&amp;MH,SL))</f>
        <v>147</v>
      </c>
      <c r="H216" s="513">
        <f t="array" ref="H216">SUM(IF("155"&amp;C216=KHN&amp;MH,TH))</f>
        <v>2168765</v>
      </c>
      <c r="I216" s="513">
        <f t="array" ref="I216">SUM(IF("155"&amp;C216=KHC&amp;MH,SL))</f>
        <v>147</v>
      </c>
      <c r="J216" s="513">
        <f t="array" ref="J216">SUM(IF("155"&amp;C216=KHC&amp;MH,TH))</f>
        <v>2168765</v>
      </c>
      <c r="K216" s="495">
        <f t="shared" si="29"/>
        <v>0</v>
      </c>
      <c r="L216" s="495">
        <f t="shared" si="30"/>
        <v>0</v>
      </c>
      <c r="M216" s="300"/>
      <c r="N216" s="300"/>
    </row>
    <row r="217" spans="1:14" s="294" customFormat="1" ht="19.5" customHeight="1">
      <c r="A217" s="300" t="str">
        <f t="shared" si="27"/>
        <v>TP</v>
      </c>
      <c r="B217" s="571">
        <f t="shared" si="28"/>
        <v>68</v>
      </c>
      <c r="C217" s="567" t="s">
        <v>1343</v>
      </c>
      <c r="D217" s="572" t="s">
        <v>1373</v>
      </c>
      <c r="E217" s="495"/>
      <c r="F217" s="495"/>
      <c r="G217" s="513">
        <f t="array" ref="G217">SUM(IF("155"&amp;C217=KHN&amp;MH,SL))</f>
        <v>1</v>
      </c>
      <c r="H217" s="513">
        <f t="array" ref="H217">SUM(IF("155"&amp;C217=KHN&amp;MH,TH))</f>
        <v>16742</v>
      </c>
      <c r="I217" s="513">
        <f t="array" ref="I217">SUM(IF("155"&amp;C217=KHC&amp;MH,SL))</f>
        <v>1</v>
      </c>
      <c r="J217" s="513">
        <f t="array" ref="J217">SUM(IF("155"&amp;C217=KHC&amp;MH,TH))</f>
        <v>16742</v>
      </c>
      <c r="K217" s="495">
        <f t="shared" si="29"/>
        <v>0</v>
      </c>
      <c r="L217" s="495">
        <f t="shared" si="30"/>
        <v>0</v>
      </c>
      <c r="M217" s="300"/>
      <c r="N217" s="300"/>
    </row>
    <row r="218" spans="1:14" s="294" customFormat="1" ht="19.5" customHeight="1">
      <c r="A218" s="300" t="str">
        <f t="shared" si="27"/>
        <v>TP</v>
      </c>
      <c r="B218" s="571">
        <f t="shared" si="28"/>
        <v>69</v>
      </c>
      <c r="C218" s="567" t="s">
        <v>1279</v>
      </c>
      <c r="D218" s="572" t="s">
        <v>1373</v>
      </c>
      <c r="E218" s="495"/>
      <c r="F218" s="495"/>
      <c r="G218" s="513">
        <f t="array" ref="G218">SUM(IF("155"&amp;C218=KHN&amp;MH,SL))</f>
        <v>251</v>
      </c>
      <c r="H218" s="513">
        <f t="array" ref="H218">SUM(IF("155"&amp;C218=KHN&amp;MH,TH))</f>
        <v>4408950</v>
      </c>
      <c r="I218" s="513">
        <f t="array" ref="I218">SUM(IF("155"&amp;C218=KHC&amp;MH,SL))</f>
        <v>251</v>
      </c>
      <c r="J218" s="513">
        <f t="array" ref="J218">SUM(IF("155"&amp;C218=KHC&amp;MH,TH))</f>
        <v>4408950</v>
      </c>
      <c r="K218" s="495">
        <f t="shared" si="29"/>
        <v>0</v>
      </c>
      <c r="L218" s="495">
        <f t="shared" si="30"/>
        <v>0</v>
      </c>
      <c r="M218" s="300"/>
      <c r="N218" s="300"/>
    </row>
    <row r="219" spans="1:14" s="294" customFormat="1" ht="19.5" customHeight="1">
      <c r="A219" s="300" t="str">
        <f t="shared" si="27"/>
        <v>TP</v>
      </c>
      <c r="B219" s="571">
        <f t="shared" si="28"/>
        <v>70</v>
      </c>
      <c r="C219" s="567" t="s">
        <v>1280</v>
      </c>
      <c r="D219" s="572" t="s">
        <v>1373</v>
      </c>
      <c r="E219" s="495"/>
      <c r="F219" s="495"/>
      <c r="G219" s="513">
        <f t="array" ref="G219">SUM(IF("155"&amp;C219=KHN&amp;MH,SL))</f>
        <v>211</v>
      </c>
      <c r="H219" s="513">
        <f t="array" ref="H219">SUM(IF("155"&amp;C219=KHN&amp;MH,TH))</f>
        <v>3706870</v>
      </c>
      <c r="I219" s="513">
        <f t="array" ref="I219">SUM(IF("155"&amp;C219=KHC&amp;MH,SL))</f>
        <v>211</v>
      </c>
      <c r="J219" s="513">
        <f t="array" ref="J219">SUM(IF("155"&amp;C219=KHC&amp;MH,TH))</f>
        <v>3706870</v>
      </c>
      <c r="K219" s="495">
        <f t="shared" si="29"/>
        <v>0</v>
      </c>
      <c r="L219" s="495">
        <f t="shared" si="30"/>
        <v>0</v>
      </c>
      <c r="M219" s="300"/>
      <c r="N219" s="300"/>
    </row>
    <row r="220" spans="1:14" s="294" customFormat="1" ht="19.5" customHeight="1">
      <c r="A220" s="300" t="str">
        <f t="shared" si="27"/>
        <v>TP</v>
      </c>
      <c r="B220" s="571">
        <f t="shared" si="28"/>
        <v>71</v>
      </c>
      <c r="C220" s="567" t="s">
        <v>1347</v>
      </c>
      <c r="D220" s="572" t="s">
        <v>1373</v>
      </c>
      <c r="E220" s="495"/>
      <c r="F220" s="495"/>
      <c r="G220" s="513">
        <f t="array" ref="G220">SUM(IF("155"&amp;C220=KHN&amp;MH,SL))</f>
        <v>12</v>
      </c>
      <c r="H220" s="513">
        <f t="array" ref="H220">SUM(IF("155"&amp;C220=KHN&amp;MH,TH))</f>
        <v>212850</v>
      </c>
      <c r="I220" s="513">
        <f t="array" ref="I220">SUM(IF("155"&amp;C220=KHC&amp;MH,SL))</f>
        <v>12</v>
      </c>
      <c r="J220" s="513">
        <f t="array" ref="J220">SUM(IF("155"&amp;C220=KHC&amp;MH,TH))</f>
        <v>212850</v>
      </c>
      <c r="K220" s="495">
        <f t="shared" si="29"/>
        <v>0</v>
      </c>
      <c r="L220" s="495">
        <f t="shared" si="30"/>
        <v>0</v>
      </c>
      <c r="M220" s="300"/>
      <c r="N220" s="300"/>
    </row>
    <row r="221" spans="1:14" s="294" customFormat="1" ht="19.5" customHeight="1">
      <c r="A221" s="300" t="str">
        <f t="shared" si="27"/>
        <v>TP</v>
      </c>
      <c r="B221" s="571">
        <f t="shared" si="28"/>
        <v>72</v>
      </c>
      <c r="C221" s="567" t="s">
        <v>1339</v>
      </c>
      <c r="D221" s="572" t="s">
        <v>1373</v>
      </c>
      <c r="E221" s="495"/>
      <c r="F221" s="495"/>
      <c r="G221" s="513">
        <f t="array" ref="G221">SUM(IF("155"&amp;C221=KHN&amp;MH,SL))</f>
        <v>3</v>
      </c>
      <c r="H221" s="513">
        <f t="array" ref="H221">SUM(IF("155"&amp;C221=KHN&amp;MH,TH))</f>
        <v>29756</v>
      </c>
      <c r="I221" s="513">
        <f t="array" ref="I221">SUM(IF("155"&amp;C221=KHC&amp;MH,SL))</f>
        <v>3</v>
      </c>
      <c r="J221" s="513">
        <f t="array" ref="J221">SUM(IF("155"&amp;C221=KHC&amp;MH,TH))</f>
        <v>29756</v>
      </c>
      <c r="K221" s="495">
        <f t="shared" si="29"/>
        <v>0</v>
      </c>
      <c r="L221" s="495">
        <f t="shared" si="30"/>
        <v>0</v>
      </c>
      <c r="M221" s="300"/>
      <c r="N221" s="300"/>
    </row>
    <row r="222" spans="1:14" s="294" customFormat="1" ht="19.5" customHeight="1">
      <c r="A222" s="300" t="str">
        <f t="shared" si="27"/>
        <v>TP</v>
      </c>
      <c r="B222" s="571">
        <f t="shared" si="28"/>
        <v>73</v>
      </c>
      <c r="C222" s="566" t="s">
        <v>730</v>
      </c>
      <c r="D222" s="572" t="s">
        <v>1373</v>
      </c>
      <c r="E222" s="495"/>
      <c r="F222" s="495"/>
      <c r="G222" s="513">
        <f t="array" ref="G222">SUM(IF("155"&amp;C222=KHN&amp;MH,SL))</f>
        <v>3</v>
      </c>
      <c r="H222" s="513">
        <f t="array" ref="H222">SUM(IF("155"&amp;C222=KHN&amp;MH,TH))</f>
        <v>30339</v>
      </c>
      <c r="I222" s="513">
        <f t="array" ref="I222">SUM(IF("155"&amp;C222=KHC&amp;MH,SL))</f>
        <v>3</v>
      </c>
      <c r="J222" s="513">
        <f t="array" ref="J222">SUM(IF("155"&amp;C222=KHC&amp;MH,TH))</f>
        <v>30339</v>
      </c>
      <c r="K222" s="495">
        <f t="shared" si="29"/>
        <v>0</v>
      </c>
      <c r="L222" s="495">
        <f t="shared" si="30"/>
        <v>0</v>
      </c>
      <c r="M222" s="300"/>
      <c r="N222" s="300"/>
    </row>
    <row r="223" spans="1:14" s="294" customFormat="1" ht="19.5" customHeight="1">
      <c r="A223" s="300" t="str">
        <f t="shared" si="27"/>
        <v>TP</v>
      </c>
      <c r="B223" s="571">
        <f t="shared" si="28"/>
        <v>74</v>
      </c>
      <c r="C223" s="566" t="s">
        <v>870</v>
      </c>
      <c r="D223" s="572" t="s">
        <v>1373</v>
      </c>
      <c r="E223" s="495"/>
      <c r="F223" s="495"/>
      <c r="G223" s="513">
        <f t="array" ref="G223">SUM(IF("155"&amp;C223=KHN&amp;MH,SL))</f>
        <v>508</v>
      </c>
      <c r="H223" s="513">
        <f t="array" ref="H223">SUM(IF("155"&amp;C223=KHN&amp;MH,TH))</f>
        <v>3758385</v>
      </c>
      <c r="I223" s="513">
        <f t="array" ref="I223">SUM(IF("155"&amp;C223=KHC&amp;MH,SL))</f>
        <v>508</v>
      </c>
      <c r="J223" s="513">
        <f t="array" ref="J223">SUM(IF("155"&amp;C223=KHC&amp;MH,TH))</f>
        <v>3758385</v>
      </c>
      <c r="K223" s="495">
        <f t="shared" si="29"/>
        <v>0</v>
      </c>
      <c r="L223" s="495">
        <f t="shared" si="30"/>
        <v>0</v>
      </c>
      <c r="M223" s="300"/>
      <c r="N223" s="300"/>
    </row>
    <row r="224" spans="1:14" s="294" customFormat="1" ht="19.5" customHeight="1">
      <c r="A224" s="300" t="str">
        <f t="shared" si="27"/>
        <v>TP</v>
      </c>
      <c r="B224" s="571">
        <f t="shared" si="28"/>
        <v>75</v>
      </c>
      <c r="C224" s="566" t="s">
        <v>853</v>
      </c>
      <c r="D224" s="572" t="s">
        <v>1373</v>
      </c>
      <c r="E224" s="495"/>
      <c r="F224" s="495"/>
      <c r="G224" s="513">
        <f t="array" ref="G224">SUM(IF("155"&amp;C224=KHN&amp;MH,SL))</f>
        <v>40</v>
      </c>
      <c r="H224" s="513">
        <f t="array" ref="H224">SUM(IF("155"&amp;C224=KHN&amp;MH,TH))</f>
        <v>583581</v>
      </c>
      <c r="I224" s="513">
        <f t="array" ref="I224">SUM(IF("155"&amp;C224=KHC&amp;MH,SL))</f>
        <v>40</v>
      </c>
      <c r="J224" s="513">
        <f t="array" ref="J224">SUM(IF("155"&amp;C224=KHC&amp;MH,TH))</f>
        <v>583581</v>
      </c>
      <c r="K224" s="495">
        <f t="shared" si="29"/>
        <v>0</v>
      </c>
      <c r="L224" s="495">
        <f t="shared" si="30"/>
        <v>0</v>
      </c>
      <c r="M224" s="300"/>
      <c r="N224" s="300"/>
    </row>
    <row r="225" spans="1:14" s="294" customFormat="1" ht="19.5" customHeight="1">
      <c r="A225" s="300" t="str">
        <f t="shared" si="27"/>
        <v>TP</v>
      </c>
      <c r="B225" s="571">
        <f t="shared" si="28"/>
        <v>76</v>
      </c>
      <c r="C225" s="567" t="s">
        <v>1341</v>
      </c>
      <c r="D225" s="572" t="s">
        <v>1373</v>
      </c>
      <c r="E225" s="495"/>
      <c r="F225" s="495"/>
      <c r="G225" s="513">
        <f t="array" ref="G225">SUM(IF("155"&amp;C225=KHN&amp;MH,SL))</f>
        <v>1</v>
      </c>
      <c r="H225" s="513">
        <f t="array" ref="H225">SUM(IF("155"&amp;C225=KHN&amp;MH,TH))</f>
        <v>14754</v>
      </c>
      <c r="I225" s="513">
        <f t="array" ref="I225">SUM(IF("155"&amp;C225=KHC&amp;MH,SL))</f>
        <v>1</v>
      </c>
      <c r="J225" s="513">
        <f t="array" ref="J225">SUM(IF("155"&amp;C225=KHC&amp;MH,TH))</f>
        <v>14754</v>
      </c>
      <c r="K225" s="495">
        <f t="shared" si="29"/>
        <v>0</v>
      </c>
      <c r="L225" s="495">
        <f t="shared" si="30"/>
        <v>0</v>
      </c>
      <c r="M225" s="300"/>
      <c r="N225" s="300"/>
    </row>
    <row r="226" spans="1:14" s="294" customFormat="1" ht="19.5" customHeight="1">
      <c r="A226" s="300" t="str">
        <f t="shared" si="27"/>
        <v>TP</v>
      </c>
      <c r="B226" s="571">
        <f t="shared" si="28"/>
        <v>77</v>
      </c>
      <c r="C226" s="566" t="s">
        <v>731</v>
      </c>
      <c r="D226" s="572" t="s">
        <v>1373</v>
      </c>
      <c r="E226" s="495"/>
      <c r="F226" s="495"/>
      <c r="G226" s="513">
        <f t="array" ref="G226">SUM(IF("155"&amp;C226=KHN&amp;MH,SL))</f>
        <v>316</v>
      </c>
      <c r="H226" s="513">
        <f t="array" ref="H226">SUM(IF("155"&amp;C226=KHN&amp;MH,TH))</f>
        <v>2980586</v>
      </c>
      <c r="I226" s="513">
        <f t="array" ref="I226">SUM(IF("155"&amp;C226=KHC&amp;MH,SL))</f>
        <v>316</v>
      </c>
      <c r="J226" s="513">
        <f t="array" ref="J226">SUM(IF("155"&amp;C226=KHC&amp;MH,TH))</f>
        <v>2980586</v>
      </c>
      <c r="K226" s="495">
        <f t="shared" si="29"/>
        <v>0</v>
      </c>
      <c r="L226" s="495">
        <f t="shared" si="30"/>
        <v>0</v>
      </c>
      <c r="M226" s="300"/>
      <c r="N226" s="300"/>
    </row>
    <row r="227" spans="1:14" s="294" customFormat="1" ht="19.5" customHeight="1">
      <c r="A227" s="300" t="str">
        <f t="shared" si="27"/>
        <v>TP</v>
      </c>
      <c r="B227" s="571">
        <f t="shared" si="28"/>
        <v>78</v>
      </c>
      <c r="C227" s="567" t="s">
        <v>1332</v>
      </c>
      <c r="D227" s="572" t="s">
        <v>1373</v>
      </c>
      <c r="E227" s="495"/>
      <c r="F227" s="495"/>
      <c r="G227" s="513">
        <f t="array" ref="G227">SUM(IF("155"&amp;C227=KHN&amp;MH,SL))</f>
        <v>77</v>
      </c>
      <c r="H227" s="513">
        <f t="array" ref="H227">SUM(IF("155"&amp;C227=KHN&amp;MH,TH))</f>
        <v>1138008</v>
      </c>
      <c r="I227" s="513">
        <f t="array" ref="I227">SUM(IF("155"&amp;C227=KHC&amp;MH,SL))</f>
        <v>77</v>
      </c>
      <c r="J227" s="513">
        <f t="array" ref="J227">SUM(IF("155"&amp;C227=KHC&amp;MH,TH))</f>
        <v>1138008</v>
      </c>
      <c r="K227" s="495">
        <f t="shared" si="29"/>
        <v>0</v>
      </c>
      <c r="L227" s="495">
        <f t="shared" si="30"/>
        <v>0</v>
      </c>
      <c r="M227" s="300"/>
      <c r="N227" s="300"/>
    </row>
    <row r="228" spans="1:14" s="294" customFormat="1" ht="19.5" customHeight="1">
      <c r="A228" s="300" t="str">
        <f t="shared" si="27"/>
        <v>TP</v>
      </c>
      <c r="B228" s="571">
        <f t="shared" si="28"/>
        <v>79</v>
      </c>
      <c r="C228" s="566" t="s">
        <v>960</v>
      </c>
      <c r="D228" s="572" t="s">
        <v>1373</v>
      </c>
      <c r="E228" s="495"/>
      <c r="F228" s="495"/>
      <c r="G228" s="513">
        <f t="array" ref="G228">SUM(IF("155"&amp;C228=KHN&amp;MH,SL))</f>
        <v>108</v>
      </c>
      <c r="H228" s="513">
        <f t="array" ref="H228">SUM(IF("155"&amp;C228=KHN&amp;MH,TH))</f>
        <v>1575199</v>
      </c>
      <c r="I228" s="513">
        <f t="array" ref="I228">SUM(IF("155"&amp;C228=KHC&amp;MH,SL))</f>
        <v>108</v>
      </c>
      <c r="J228" s="513">
        <f t="array" ref="J228">SUM(IF("155"&amp;C228=KHC&amp;MH,TH))</f>
        <v>1575199</v>
      </c>
      <c r="K228" s="495">
        <f t="shared" si="29"/>
        <v>0</v>
      </c>
      <c r="L228" s="495">
        <f t="shared" si="30"/>
        <v>0</v>
      </c>
      <c r="M228" s="300"/>
      <c r="N228" s="300"/>
    </row>
    <row r="229" spans="1:14" s="294" customFormat="1" ht="19.5" customHeight="1">
      <c r="A229" s="300" t="str">
        <f t="shared" si="27"/>
        <v>TP</v>
      </c>
      <c r="B229" s="571">
        <f t="shared" si="28"/>
        <v>80</v>
      </c>
      <c r="C229" s="566" t="s">
        <v>725</v>
      </c>
      <c r="D229" s="572" t="s">
        <v>1373</v>
      </c>
      <c r="E229" s="495"/>
      <c r="F229" s="495"/>
      <c r="G229" s="513">
        <f t="array" ref="G229">SUM(IF("155"&amp;C229=KHN&amp;MH,SL))</f>
        <v>187</v>
      </c>
      <c r="H229" s="513">
        <f t="array" ref="H229">SUM(IF("155"&amp;C229=KHN&amp;MH,TH))</f>
        <v>1927019</v>
      </c>
      <c r="I229" s="513">
        <f t="array" ref="I229">SUM(IF("155"&amp;C229=KHC&amp;MH,SL))</f>
        <v>187</v>
      </c>
      <c r="J229" s="513">
        <f t="array" ref="J229">SUM(IF("155"&amp;C229=KHC&amp;MH,TH))</f>
        <v>1927019</v>
      </c>
      <c r="K229" s="495">
        <f t="shared" si="29"/>
        <v>0</v>
      </c>
      <c r="L229" s="495">
        <f t="shared" si="30"/>
        <v>0</v>
      </c>
      <c r="M229" s="300"/>
      <c r="N229" s="300"/>
    </row>
    <row r="230" spans="1:14" s="294" customFormat="1" ht="19.5" customHeight="1">
      <c r="A230" s="300" t="str">
        <f t="shared" si="27"/>
        <v>TP</v>
      </c>
      <c r="B230" s="571">
        <f t="shared" si="28"/>
        <v>81</v>
      </c>
      <c r="C230" s="566" t="s">
        <v>958</v>
      </c>
      <c r="D230" s="572" t="s">
        <v>1373</v>
      </c>
      <c r="E230" s="495"/>
      <c r="F230" s="495"/>
      <c r="G230" s="513">
        <f t="array" ref="G230">SUM(IF("155"&amp;C230=KHN&amp;MH,SL))</f>
        <v>103</v>
      </c>
      <c r="H230" s="513">
        <f t="array" ref="H230">SUM(IF("155"&amp;C230=KHN&amp;MH,TH))</f>
        <v>1087992</v>
      </c>
      <c r="I230" s="513">
        <f t="array" ref="I230">SUM(IF("155"&amp;C230=KHC&amp;MH,SL))</f>
        <v>103</v>
      </c>
      <c r="J230" s="513">
        <f t="array" ref="J230">SUM(IF("155"&amp;C230=KHC&amp;MH,TH))</f>
        <v>1087992</v>
      </c>
      <c r="K230" s="495">
        <f t="shared" si="29"/>
        <v>0</v>
      </c>
      <c r="L230" s="495">
        <f t="shared" si="30"/>
        <v>0</v>
      </c>
      <c r="M230" s="300"/>
      <c r="N230" s="300"/>
    </row>
    <row r="231" spans="1:14" s="294" customFormat="1" ht="19.5" customHeight="1">
      <c r="A231" s="300" t="str">
        <f t="shared" si="27"/>
        <v>TP</v>
      </c>
      <c r="B231" s="571">
        <f t="shared" si="28"/>
        <v>82</v>
      </c>
      <c r="C231" s="567" t="s">
        <v>1336</v>
      </c>
      <c r="D231" s="572" t="s">
        <v>1373</v>
      </c>
      <c r="E231" s="495"/>
      <c r="F231" s="495"/>
      <c r="G231" s="513">
        <f t="array" ref="G231">SUM(IF("155"&amp;C231=KHN&amp;MH,SL))</f>
        <v>9</v>
      </c>
      <c r="H231" s="513">
        <f t="array" ref="H231">SUM(IF("155"&amp;C231=KHN&amp;MH,TH))</f>
        <v>150672</v>
      </c>
      <c r="I231" s="513">
        <f t="array" ref="I231">SUM(IF("155"&amp;C231=KHC&amp;MH,SL))</f>
        <v>9</v>
      </c>
      <c r="J231" s="513">
        <f t="array" ref="J231">SUM(IF("155"&amp;C231=KHC&amp;MH,TH))</f>
        <v>150672</v>
      </c>
      <c r="K231" s="495">
        <f t="shared" si="29"/>
        <v>0</v>
      </c>
      <c r="L231" s="495">
        <f t="shared" si="30"/>
        <v>0</v>
      </c>
      <c r="M231" s="300"/>
      <c r="N231" s="300"/>
    </row>
    <row r="232" spans="1:14" s="294" customFormat="1" ht="19.5" customHeight="1">
      <c r="A232" s="300" t="str">
        <f t="shared" si="27"/>
        <v>TP</v>
      </c>
      <c r="B232" s="571">
        <f t="shared" si="28"/>
        <v>83</v>
      </c>
      <c r="C232" s="567" t="s">
        <v>1236</v>
      </c>
      <c r="D232" s="572" t="s">
        <v>1373</v>
      </c>
      <c r="E232" s="495"/>
      <c r="F232" s="495"/>
      <c r="G232" s="513">
        <f t="array" ref="G232">SUM(IF("155"&amp;C232=KHN&amp;MH,SL))</f>
        <v>6</v>
      </c>
      <c r="H232" s="513">
        <f t="array" ref="H232">SUM(IF("155"&amp;C232=KHN&amp;MH,TH))</f>
        <v>92420</v>
      </c>
      <c r="I232" s="513">
        <f t="array" ref="I232">SUM(IF("155"&amp;C232=KHC&amp;MH,SL))</f>
        <v>6</v>
      </c>
      <c r="J232" s="513">
        <f t="array" ref="J232">SUM(IF("155"&amp;C232=KHC&amp;MH,TH))</f>
        <v>92420</v>
      </c>
      <c r="K232" s="495">
        <f t="shared" si="29"/>
        <v>0</v>
      </c>
      <c r="L232" s="495">
        <f t="shared" si="30"/>
        <v>0</v>
      </c>
      <c r="M232" s="300"/>
      <c r="N232" s="300"/>
    </row>
    <row r="233" spans="1:14" s="294" customFormat="1" ht="19.5" customHeight="1">
      <c r="A233" s="300" t="str">
        <f t="shared" si="27"/>
        <v>TP</v>
      </c>
      <c r="B233" s="571">
        <f t="shared" si="28"/>
        <v>84</v>
      </c>
      <c r="C233" s="566" t="s">
        <v>874</v>
      </c>
      <c r="D233" s="572" t="s">
        <v>1373</v>
      </c>
      <c r="E233" s="495"/>
      <c r="F233" s="495"/>
      <c r="G233" s="513">
        <f t="array" ref="G233">SUM(IF("155"&amp;C233=KHN&amp;MH,SL))</f>
        <v>1112</v>
      </c>
      <c r="H233" s="513">
        <f t="array" ref="H233">SUM(IF("155"&amp;C233=KHN&amp;MH,TH))</f>
        <v>8935319</v>
      </c>
      <c r="I233" s="513">
        <f t="array" ref="I233">SUM(IF("155"&amp;C233=KHC&amp;MH,SL))</f>
        <v>1112</v>
      </c>
      <c r="J233" s="513">
        <f t="array" ref="J233">SUM(IF("155"&amp;C233=KHC&amp;MH,TH))</f>
        <v>8935319</v>
      </c>
      <c r="K233" s="495">
        <f t="shared" si="29"/>
        <v>0</v>
      </c>
      <c r="L233" s="495">
        <f t="shared" si="30"/>
        <v>0</v>
      </c>
      <c r="M233" s="300"/>
      <c r="N233" s="300"/>
    </row>
    <row r="234" spans="1:14" s="294" customFormat="1" ht="19.5" customHeight="1">
      <c r="A234" s="300" t="str">
        <f t="shared" si="27"/>
        <v>TP</v>
      </c>
      <c r="B234" s="571">
        <f t="shared" si="28"/>
        <v>85</v>
      </c>
      <c r="C234" s="566" t="s">
        <v>876</v>
      </c>
      <c r="D234" s="572" t="s">
        <v>1373</v>
      </c>
      <c r="E234" s="495"/>
      <c r="F234" s="495"/>
      <c r="G234" s="513">
        <f t="array" ref="G234">SUM(IF("155"&amp;C234=KHN&amp;MH,SL))</f>
        <v>2</v>
      </c>
      <c r="H234" s="513">
        <f t="array" ref="H234">SUM(IF("155"&amp;C234=KHN&amp;MH,TH))</f>
        <v>19181</v>
      </c>
      <c r="I234" s="513">
        <f t="array" ref="I234">SUM(IF("155"&amp;C234=KHC&amp;MH,SL))</f>
        <v>2</v>
      </c>
      <c r="J234" s="513">
        <f t="array" ref="J234">SUM(IF("155"&amp;C234=KHC&amp;MH,TH))</f>
        <v>19181</v>
      </c>
      <c r="K234" s="495">
        <f t="shared" si="29"/>
        <v>0</v>
      </c>
      <c r="L234" s="495">
        <f t="shared" si="30"/>
        <v>0</v>
      </c>
      <c r="M234" s="300"/>
      <c r="N234" s="300"/>
    </row>
    <row r="235" spans="1:14" s="294" customFormat="1" ht="19.5" customHeight="1">
      <c r="A235" s="300" t="str">
        <f t="shared" si="27"/>
        <v>TP</v>
      </c>
      <c r="B235" s="571">
        <f t="shared" si="28"/>
        <v>86</v>
      </c>
      <c r="C235" s="566" t="s">
        <v>722</v>
      </c>
      <c r="D235" s="572" t="s">
        <v>1373</v>
      </c>
      <c r="E235" s="495"/>
      <c r="F235" s="495"/>
      <c r="G235" s="513">
        <f t="array" ref="G235">SUM(IF("155"&amp;C235=KHN&amp;MH,SL))</f>
        <v>2656</v>
      </c>
      <c r="H235" s="513">
        <f t="array" ref="H235">SUM(IF("155"&amp;C235=KHN&amp;MH,TH))</f>
        <v>22960320</v>
      </c>
      <c r="I235" s="513">
        <f t="array" ref="I235">SUM(IF("155"&amp;C235=KHC&amp;MH,SL))</f>
        <v>2656</v>
      </c>
      <c r="J235" s="513">
        <f t="array" ref="J235">SUM(IF("155"&amp;C235=KHC&amp;MH,TH))</f>
        <v>22960320</v>
      </c>
      <c r="K235" s="495">
        <f t="shared" si="29"/>
        <v>0</v>
      </c>
      <c r="L235" s="495">
        <f t="shared" si="30"/>
        <v>0</v>
      </c>
      <c r="M235" s="300"/>
      <c r="N235" s="300"/>
    </row>
    <row r="236" spans="1:14" s="294" customFormat="1" ht="19.5" customHeight="1">
      <c r="A236" s="300" t="str">
        <f t="shared" si="27"/>
        <v>TP</v>
      </c>
      <c r="B236" s="571">
        <f t="shared" si="28"/>
        <v>87</v>
      </c>
      <c r="C236" s="567" t="s">
        <v>1300</v>
      </c>
      <c r="D236" s="572" t="s">
        <v>1373</v>
      </c>
      <c r="E236" s="495"/>
      <c r="F236" s="495"/>
      <c r="G236" s="513">
        <f t="array" ref="G236">SUM(IF("155"&amp;C236=KHN&amp;MH,SL))</f>
        <v>52</v>
      </c>
      <c r="H236" s="513">
        <f t="array" ref="H236">SUM(IF("155"&amp;C236=KHN&amp;MH,TH))</f>
        <v>767181</v>
      </c>
      <c r="I236" s="513">
        <f t="array" ref="I236">SUM(IF("155"&amp;C236=KHC&amp;MH,SL))</f>
        <v>52</v>
      </c>
      <c r="J236" s="513">
        <f t="array" ref="J236">SUM(IF("155"&amp;C236=KHC&amp;MH,TH))</f>
        <v>767181</v>
      </c>
      <c r="K236" s="495">
        <f t="shared" si="29"/>
        <v>0</v>
      </c>
      <c r="L236" s="495">
        <f t="shared" si="30"/>
        <v>0</v>
      </c>
      <c r="M236" s="300"/>
      <c r="N236" s="300"/>
    </row>
    <row r="237" spans="1:14" s="294" customFormat="1" ht="19.5" customHeight="1">
      <c r="A237" s="300" t="str">
        <f t="shared" si="27"/>
        <v>TP</v>
      </c>
      <c r="B237" s="571">
        <f t="shared" si="28"/>
        <v>88</v>
      </c>
      <c r="C237" s="573" t="s">
        <v>1211</v>
      </c>
      <c r="D237" s="572" t="s">
        <v>1373</v>
      </c>
      <c r="E237" s="495"/>
      <c r="F237" s="495"/>
      <c r="G237" s="513">
        <f t="array" ref="G237">SUM(IF("155"&amp;C237=KHN&amp;MH,SL))</f>
        <v>233</v>
      </c>
      <c r="H237" s="513">
        <f t="array" ref="H237">SUM(IF("155"&amp;C237=KHN&amp;MH,TH))</f>
        <v>2498211</v>
      </c>
      <c r="I237" s="513">
        <f t="array" ref="I237">SUM(IF("155"&amp;C237=KHC&amp;MH,SL))</f>
        <v>233</v>
      </c>
      <c r="J237" s="513">
        <f t="array" ref="J237">SUM(IF("155"&amp;C237=KHC&amp;MH,TH))</f>
        <v>2498211</v>
      </c>
      <c r="K237" s="495">
        <f t="shared" si="29"/>
        <v>0</v>
      </c>
      <c r="L237" s="495">
        <f t="shared" si="30"/>
        <v>0</v>
      </c>
      <c r="M237" s="300"/>
      <c r="N237" s="300"/>
    </row>
    <row r="238" spans="1:14" s="294" customFormat="1" ht="19.5" customHeight="1">
      <c r="A238" s="300" t="str">
        <f t="shared" si="27"/>
        <v>TP</v>
      </c>
      <c r="B238" s="571">
        <f t="shared" si="28"/>
        <v>89</v>
      </c>
      <c r="C238" s="567" t="s">
        <v>1247</v>
      </c>
      <c r="D238" s="572" t="s">
        <v>1373</v>
      </c>
      <c r="E238" s="495"/>
      <c r="F238" s="495"/>
      <c r="G238" s="513">
        <f t="array" ref="G238">SUM(IF("155"&amp;C238=KHN&amp;MH,SL))</f>
        <v>61</v>
      </c>
      <c r="H238" s="513">
        <f t="array" ref="H238">SUM(IF("155"&amp;C238=KHN&amp;MH,TH))</f>
        <v>582519</v>
      </c>
      <c r="I238" s="513">
        <f t="array" ref="I238">SUM(IF("155"&amp;C238=KHC&amp;MH,SL))</f>
        <v>61</v>
      </c>
      <c r="J238" s="513">
        <f t="array" ref="J238">SUM(IF("155"&amp;C238=KHC&amp;MH,TH))</f>
        <v>582519</v>
      </c>
      <c r="K238" s="495">
        <f t="shared" si="29"/>
        <v>0</v>
      </c>
      <c r="L238" s="495">
        <f t="shared" si="30"/>
        <v>0</v>
      </c>
      <c r="M238" s="300"/>
      <c r="N238" s="300"/>
    </row>
    <row r="239" spans="1:14" s="294" customFormat="1" ht="19.5" customHeight="1">
      <c r="A239" s="300" t="str">
        <f t="shared" si="27"/>
        <v>TP</v>
      </c>
      <c r="B239" s="571">
        <f t="shared" si="28"/>
        <v>90</v>
      </c>
      <c r="C239" s="567" t="s">
        <v>1245</v>
      </c>
      <c r="D239" s="572" t="s">
        <v>1373</v>
      </c>
      <c r="E239" s="495"/>
      <c r="F239" s="495"/>
      <c r="G239" s="513">
        <f t="array" ref="G239">SUM(IF("155"&amp;C239=KHN&amp;MH,SL))</f>
        <v>63</v>
      </c>
      <c r="H239" s="513">
        <f t="array" ref="H239">SUM(IF("155"&amp;C239=KHN&amp;MH,TH))</f>
        <v>679675</v>
      </c>
      <c r="I239" s="513">
        <f t="array" ref="I239">SUM(IF("155"&amp;C239=KHC&amp;MH,SL))</f>
        <v>63</v>
      </c>
      <c r="J239" s="513">
        <f t="array" ref="J239">SUM(IF("155"&amp;C239=KHC&amp;MH,TH))</f>
        <v>679675</v>
      </c>
      <c r="K239" s="495">
        <f t="shared" si="29"/>
        <v>0</v>
      </c>
      <c r="L239" s="495">
        <f t="shared" si="30"/>
        <v>0</v>
      </c>
      <c r="M239" s="300"/>
      <c r="N239" s="300"/>
    </row>
    <row r="240" spans="1:14" s="294" customFormat="1" ht="19.5" customHeight="1">
      <c r="A240" s="300" t="str">
        <f t="shared" si="27"/>
        <v>TP</v>
      </c>
      <c r="B240" s="571">
        <f t="shared" si="28"/>
        <v>91</v>
      </c>
      <c r="C240" s="567" t="s">
        <v>1246</v>
      </c>
      <c r="D240" s="572" t="s">
        <v>1373</v>
      </c>
      <c r="E240" s="495"/>
      <c r="F240" s="495"/>
      <c r="G240" s="513">
        <f t="array" ref="G240">SUM(IF("155"&amp;C240=KHN&amp;MH,SL))</f>
        <v>60</v>
      </c>
      <c r="H240" s="513">
        <f t="array" ref="H240">SUM(IF("155"&amp;C240=KHN&amp;MH,TH))</f>
        <v>686249</v>
      </c>
      <c r="I240" s="513">
        <f t="array" ref="I240">SUM(IF("155"&amp;C240=KHC&amp;MH,SL))</f>
        <v>60</v>
      </c>
      <c r="J240" s="513">
        <f t="array" ref="J240">SUM(IF("155"&amp;C240=KHC&amp;MH,TH))</f>
        <v>686249</v>
      </c>
      <c r="K240" s="495">
        <f t="shared" si="29"/>
        <v>0</v>
      </c>
      <c r="L240" s="495">
        <f t="shared" si="30"/>
        <v>0</v>
      </c>
      <c r="M240" s="300"/>
      <c r="N240" s="300"/>
    </row>
    <row r="241" spans="1:14" s="294" customFormat="1" ht="19.5" customHeight="1">
      <c r="A241" s="300" t="str">
        <f t="shared" si="27"/>
        <v>TP</v>
      </c>
      <c r="B241" s="571">
        <f t="shared" si="28"/>
        <v>92</v>
      </c>
      <c r="C241" s="567" t="s">
        <v>1239</v>
      </c>
      <c r="D241" s="572" t="s">
        <v>1373</v>
      </c>
      <c r="E241" s="495"/>
      <c r="F241" s="495"/>
      <c r="G241" s="513">
        <f t="array" ref="G241">SUM(IF("155"&amp;C241=KHN&amp;MH,SL))</f>
        <v>25</v>
      </c>
      <c r="H241" s="513">
        <f t="array" ref="H241">SUM(IF("155"&amp;C241=KHN&amp;MH,TH))</f>
        <v>171967</v>
      </c>
      <c r="I241" s="513">
        <f t="array" ref="I241">SUM(IF("155"&amp;C241=KHC&amp;MH,SL))</f>
        <v>25</v>
      </c>
      <c r="J241" s="513">
        <f t="array" ref="J241">SUM(IF("155"&amp;C241=KHC&amp;MH,TH))</f>
        <v>171967</v>
      </c>
      <c r="K241" s="495">
        <f t="shared" si="29"/>
        <v>0</v>
      </c>
      <c r="L241" s="495">
        <f t="shared" si="30"/>
        <v>0</v>
      </c>
      <c r="M241" s="300"/>
      <c r="N241" s="300"/>
    </row>
    <row r="242" spans="1:14" s="294" customFormat="1" ht="19.5" customHeight="1">
      <c r="A242" s="300" t="str">
        <f t="shared" si="27"/>
        <v>TP</v>
      </c>
      <c r="B242" s="571">
        <f t="shared" si="28"/>
        <v>93</v>
      </c>
      <c r="C242" s="567" t="s">
        <v>1301</v>
      </c>
      <c r="D242" s="572" t="s">
        <v>1373</v>
      </c>
      <c r="E242" s="495"/>
      <c r="F242" s="495"/>
      <c r="G242" s="513">
        <f t="array" ref="G242">SUM(IF("155"&amp;C242=KHN&amp;MH,SL))</f>
        <v>61</v>
      </c>
      <c r="H242" s="513">
        <f t="array" ref="H242">SUM(IF("155"&amp;C242=KHN&amp;MH,TH))</f>
        <v>1085830</v>
      </c>
      <c r="I242" s="513">
        <f t="array" ref="I242">SUM(IF("155"&amp;C242=KHC&amp;MH,SL))</f>
        <v>61</v>
      </c>
      <c r="J242" s="513">
        <f t="array" ref="J242">SUM(IF("155"&amp;C242=KHC&amp;MH,TH))</f>
        <v>1085830</v>
      </c>
      <c r="K242" s="495">
        <f t="shared" si="29"/>
        <v>0</v>
      </c>
      <c r="L242" s="495">
        <f t="shared" si="30"/>
        <v>0</v>
      </c>
      <c r="M242" s="300"/>
      <c r="N242" s="300"/>
    </row>
    <row r="243" spans="1:14" s="294" customFormat="1" ht="19.5" customHeight="1">
      <c r="A243" s="300" t="str">
        <f t="shared" si="27"/>
        <v>TP</v>
      </c>
      <c r="B243" s="571">
        <f t="shared" si="28"/>
        <v>94</v>
      </c>
      <c r="C243" s="567" t="s">
        <v>1302</v>
      </c>
      <c r="D243" s="572" t="s">
        <v>1373</v>
      </c>
      <c r="E243" s="495"/>
      <c r="F243" s="495"/>
      <c r="G243" s="513">
        <f t="array" ref="G243">SUM(IF("155"&amp;C243=KHN&amp;MH,SL))</f>
        <v>505</v>
      </c>
      <c r="H243" s="513">
        <f t="array" ref="H243">SUM(IF("155"&amp;C243=KHN&amp;MH,TH))</f>
        <v>9054401</v>
      </c>
      <c r="I243" s="513">
        <f t="array" ref="I243">SUM(IF("155"&amp;C243=KHC&amp;MH,SL))</f>
        <v>505</v>
      </c>
      <c r="J243" s="513">
        <f t="array" ref="J243">SUM(IF("155"&amp;C243=KHC&amp;MH,TH))</f>
        <v>9054401</v>
      </c>
      <c r="K243" s="495">
        <f t="shared" si="29"/>
        <v>0</v>
      </c>
      <c r="L243" s="495">
        <f t="shared" si="30"/>
        <v>0</v>
      </c>
      <c r="M243" s="300"/>
      <c r="N243" s="300"/>
    </row>
    <row r="244" spans="1:14" s="294" customFormat="1" ht="19.5" customHeight="1">
      <c r="A244" s="300" t="str">
        <f t="shared" si="27"/>
        <v>TP</v>
      </c>
      <c r="B244" s="571">
        <f t="shared" si="28"/>
        <v>95</v>
      </c>
      <c r="C244" s="567" t="s">
        <v>1337</v>
      </c>
      <c r="D244" s="572" t="s">
        <v>1373</v>
      </c>
      <c r="E244" s="495"/>
      <c r="F244" s="495"/>
      <c r="G244" s="513">
        <f t="array" ref="G244">SUM(IF("155"&amp;C244=KHN&amp;MH,SL))</f>
        <v>10</v>
      </c>
      <c r="H244" s="513">
        <f t="array" ref="H244">SUM(IF("155"&amp;C244=KHN&amp;MH,TH))</f>
        <v>186724</v>
      </c>
      <c r="I244" s="513">
        <f t="array" ref="I244">SUM(IF("155"&amp;C244=KHC&amp;MH,SL))</f>
        <v>10</v>
      </c>
      <c r="J244" s="513">
        <f t="array" ref="J244">SUM(IF("155"&amp;C244=KHC&amp;MH,TH))</f>
        <v>186724</v>
      </c>
      <c r="K244" s="495">
        <f t="shared" si="29"/>
        <v>0</v>
      </c>
      <c r="L244" s="495">
        <f t="shared" si="30"/>
        <v>0</v>
      </c>
      <c r="M244" s="300"/>
      <c r="N244" s="300"/>
    </row>
    <row r="245" spans="1:14" s="294" customFormat="1" ht="19.5" customHeight="1">
      <c r="A245" s="300" t="str">
        <f t="shared" si="27"/>
        <v>TP</v>
      </c>
      <c r="B245" s="571">
        <f t="shared" si="28"/>
        <v>96</v>
      </c>
      <c r="C245" s="567" t="s">
        <v>1303</v>
      </c>
      <c r="D245" s="572" t="s">
        <v>1373</v>
      </c>
      <c r="E245" s="495"/>
      <c r="F245" s="495"/>
      <c r="G245" s="513">
        <f t="array" ref="G245">SUM(IF("155"&amp;C245=KHN&amp;MH,SL))</f>
        <v>61</v>
      </c>
      <c r="H245" s="513">
        <f t="array" ref="H245">SUM(IF("155"&amp;C245=KHN&amp;MH,TH))</f>
        <v>686402</v>
      </c>
      <c r="I245" s="513">
        <f t="array" ref="I245">SUM(IF("155"&amp;C245=KHC&amp;MH,SL))</f>
        <v>61</v>
      </c>
      <c r="J245" s="513">
        <f t="array" ref="J245">SUM(IF("155"&amp;C245=KHC&amp;MH,TH))</f>
        <v>686402</v>
      </c>
      <c r="K245" s="495">
        <f t="shared" si="29"/>
        <v>0</v>
      </c>
      <c r="L245" s="495">
        <f t="shared" si="30"/>
        <v>0</v>
      </c>
      <c r="M245" s="300"/>
      <c r="N245" s="300"/>
    </row>
    <row r="246" spans="1:14" s="294" customFormat="1" ht="19.5" customHeight="1">
      <c r="A246" s="300" t="str">
        <f t="shared" si="27"/>
        <v>TP</v>
      </c>
      <c r="B246" s="571">
        <f t="shared" si="28"/>
        <v>97</v>
      </c>
      <c r="C246" s="566" t="s">
        <v>955</v>
      </c>
      <c r="D246" s="572" t="s">
        <v>1373</v>
      </c>
      <c r="E246" s="495"/>
      <c r="F246" s="495"/>
      <c r="G246" s="513">
        <f t="array" ref="G246">SUM(IF("155"&amp;C246=KHN&amp;MH,SL))</f>
        <v>83</v>
      </c>
      <c r="H246" s="513">
        <f t="array" ref="H246">SUM(IF("155"&amp;C246=KHN&amp;MH,TH))</f>
        <v>880352</v>
      </c>
      <c r="I246" s="513">
        <f t="array" ref="I246">SUM(IF("155"&amp;C246=KHC&amp;MH,SL))</f>
        <v>83</v>
      </c>
      <c r="J246" s="513">
        <f t="array" ref="J246">SUM(IF("155"&amp;C246=KHC&amp;MH,TH))</f>
        <v>880352</v>
      </c>
      <c r="K246" s="495">
        <f t="shared" si="29"/>
        <v>0</v>
      </c>
      <c r="L246" s="495">
        <f t="shared" si="30"/>
        <v>0</v>
      </c>
      <c r="M246" s="300"/>
      <c r="N246" s="300"/>
    </row>
    <row r="247" spans="1:14" s="294" customFormat="1" ht="19.5" customHeight="1">
      <c r="A247" s="300" t="str">
        <f t="shared" si="27"/>
        <v>TP</v>
      </c>
      <c r="B247" s="571">
        <f t="shared" si="28"/>
        <v>98</v>
      </c>
      <c r="C247" s="567" t="s">
        <v>1330</v>
      </c>
      <c r="D247" s="572" t="s">
        <v>1373</v>
      </c>
      <c r="E247" s="495"/>
      <c r="F247" s="495"/>
      <c r="G247" s="513">
        <f t="array" ref="G247">SUM(IF("155"&amp;C247=KHN&amp;MH,SL))</f>
        <v>10</v>
      </c>
      <c r="H247" s="513">
        <f t="array" ref="H247">SUM(IF("155"&amp;C247=KHN&amp;MH,TH))</f>
        <v>187254</v>
      </c>
      <c r="I247" s="513">
        <f t="array" ref="I247">SUM(IF("155"&amp;C247=KHC&amp;MH,SL))</f>
        <v>10</v>
      </c>
      <c r="J247" s="513">
        <f t="array" ref="J247">SUM(IF("155"&amp;C247=KHC&amp;MH,TH))</f>
        <v>187254</v>
      </c>
      <c r="K247" s="495">
        <f t="shared" si="29"/>
        <v>0</v>
      </c>
      <c r="L247" s="495">
        <f t="shared" si="30"/>
        <v>0</v>
      </c>
      <c r="M247" s="300"/>
      <c r="N247" s="300"/>
    </row>
    <row r="248" spans="1:14" s="294" customFormat="1" ht="19.5" customHeight="1">
      <c r="A248" s="300" t="str">
        <f t="shared" si="27"/>
        <v>TP</v>
      </c>
      <c r="B248" s="571">
        <f t="shared" si="28"/>
        <v>99</v>
      </c>
      <c r="C248" s="566" t="s">
        <v>982</v>
      </c>
      <c r="D248" s="572" t="s">
        <v>1373</v>
      </c>
      <c r="E248" s="495"/>
      <c r="F248" s="495"/>
      <c r="G248" s="513">
        <f t="array" ref="G248">SUM(IF("155"&amp;C248=KHN&amp;MH,SL))</f>
        <v>380</v>
      </c>
      <c r="H248" s="513">
        <f t="array" ref="H248">SUM(IF("155"&amp;C248=KHN&amp;MH,TH))</f>
        <v>4768992</v>
      </c>
      <c r="I248" s="513">
        <f t="array" ref="I248">SUM(IF("155"&amp;C248=KHC&amp;MH,SL))</f>
        <v>380</v>
      </c>
      <c r="J248" s="513">
        <f t="array" ref="J248">SUM(IF("155"&amp;C248=KHC&amp;MH,TH))</f>
        <v>4768992</v>
      </c>
      <c r="K248" s="495">
        <f t="shared" si="29"/>
        <v>0</v>
      </c>
      <c r="L248" s="495">
        <f t="shared" si="30"/>
        <v>0</v>
      </c>
      <c r="M248" s="300"/>
      <c r="N248" s="300"/>
    </row>
    <row r="249" spans="1:14" s="294" customFormat="1" ht="19.5" customHeight="1">
      <c r="A249" s="300" t="str">
        <f t="shared" si="27"/>
        <v>TP</v>
      </c>
      <c r="B249" s="571">
        <f t="shared" si="28"/>
        <v>100</v>
      </c>
      <c r="C249" s="573" t="s">
        <v>1199</v>
      </c>
      <c r="D249" s="572" t="s">
        <v>1373</v>
      </c>
      <c r="E249" s="495"/>
      <c r="F249" s="495"/>
      <c r="G249" s="513">
        <f t="array" ref="G249">SUM(IF("155"&amp;C249=KHN&amp;MH,SL))</f>
        <v>164</v>
      </c>
      <c r="H249" s="513">
        <f t="array" ref="H249">SUM(IF("155"&amp;C249=KHN&amp;MH,TH))</f>
        <v>1899464</v>
      </c>
      <c r="I249" s="513">
        <f t="array" ref="I249">SUM(IF("155"&amp;C249=KHC&amp;MH,SL))</f>
        <v>164</v>
      </c>
      <c r="J249" s="513">
        <f t="array" ref="J249">SUM(IF("155"&amp;C249=KHC&amp;MH,TH))</f>
        <v>1899464</v>
      </c>
      <c r="K249" s="495">
        <f t="shared" si="29"/>
        <v>0</v>
      </c>
      <c r="L249" s="495">
        <f t="shared" si="30"/>
        <v>0</v>
      </c>
      <c r="M249" s="300"/>
      <c r="N249" s="300"/>
    </row>
    <row r="250" spans="1:14" s="294" customFormat="1" ht="19.5" customHeight="1">
      <c r="A250" s="300" t="str">
        <f t="shared" si="27"/>
        <v>TP</v>
      </c>
      <c r="B250" s="571">
        <f t="shared" si="28"/>
        <v>101</v>
      </c>
      <c r="C250" s="573" t="s">
        <v>1208</v>
      </c>
      <c r="D250" s="572" t="s">
        <v>1373</v>
      </c>
      <c r="E250" s="495"/>
      <c r="F250" s="495"/>
      <c r="G250" s="513">
        <f t="array" ref="G250">SUM(IF("155"&amp;C250=KHN&amp;MH,SL))</f>
        <v>94</v>
      </c>
      <c r="H250" s="513">
        <f t="array" ref="H250">SUM(IF("155"&amp;C250=KHN&amp;MH,TH))</f>
        <v>1255195</v>
      </c>
      <c r="I250" s="513">
        <f t="array" ref="I250">SUM(IF("155"&amp;C250=KHC&amp;MH,SL))</f>
        <v>94</v>
      </c>
      <c r="J250" s="513">
        <f t="array" ref="J250">SUM(IF("155"&amp;C250=KHC&amp;MH,TH))</f>
        <v>1255195</v>
      </c>
      <c r="K250" s="495">
        <f t="shared" si="29"/>
        <v>0</v>
      </c>
      <c r="L250" s="495">
        <f t="shared" si="30"/>
        <v>0</v>
      </c>
      <c r="M250" s="300"/>
      <c r="N250" s="300"/>
    </row>
    <row r="251" spans="1:14" s="294" customFormat="1" ht="19.5" customHeight="1">
      <c r="A251" s="300" t="str">
        <f t="shared" si="27"/>
        <v>TP</v>
      </c>
      <c r="B251" s="571">
        <f t="shared" si="28"/>
        <v>102</v>
      </c>
      <c r="C251" s="567" t="s">
        <v>1255</v>
      </c>
      <c r="D251" s="572" t="s">
        <v>1373</v>
      </c>
      <c r="E251" s="495"/>
      <c r="F251" s="495"/>
      <c r="G251" s="513">
        <f t="array" ref="G251">SUM(IF("155"&amp;C251=KHN&amp;MH,SL))</f>
        <v>26</v>
      </c>
      <c r="H251" s="513">
        <f t="array" ref="H251">SUM(IF("155"&amp;C251=KHN&amp;MH,TH))</f>
        <v>233905</v>
      </c>
      <c r="I251" s="513">
        <f t="array" ref="I251">SUM(IF("155"&amp;C251=KHC&amp;MH,SL))</f>
        <v>26</v>
      </c>
      <c r="J251" s="513">
        <f t="array" ref="J251">SUM(IF("155"&amp;C251=KHC&amp;MH,TH))</f>
        <v>233905</v>
      </c>
      <c r="K251" s="495">
        <f t="shared" si="29"/>
        <v>0</v>
      </c>
      <c r="L251" s="495">
        <f t="shared" si="30"/>
        <v>0</v>
      </c>
      <c r="M251" s="300"/>
      <c r="N251" s="300"/>
    </row>
    <row r="252" spans="1:14" s="294" customFormat="1" ht="19.5" customHeight="1">
      <c r="A252" s="300" t="str">
        <f t="shared" si="27"/>
        <v>TP</v>
      </c>
      <c r="B252" s="571">
        <f t="shared" si="28"/>
        <v>103</v>
      </c>
      <c r="C252" s="566" t="s">
        <v>984</v>
      </c>
      <c r="D252" s="572" t="s">
        <v>1373</v>
      </c>
      <c r="E252" s="495"/>
      <c r="F252" s="495"/>
      <c r="G252" s="513">
        <f t="array" ref="G252">SUM(IF("155"&amp;C252=KHN&amp;MH,SL))</f>
        <v>1175</v>
      </c>
      <c r="H252" s="513">
        <f t="array" ref="H252">SUM(IF("155"&amp;C252=KHN&amp;MH,TH))</f>
        <v>16708618</v>
      </c>
      <c r="I252" s="513">
        <f t="array" ref="I252">SUM(IF("155"&amp;C252=KHC&amp;MH,SL))</f>
        <v>1175</v>
      </c>
      <c r="J252" s="513">
        <f t="array" ref="J252">SUM(IF("155"&amp;C252=KHC&amp;MH,TH))</f>
        <v>16708618</v>
      </c>
      <c r="K252" s="495">
        <f t="shared" si="29"/>
        <v>0</v>
      </c>
      <c r="L252" s="495">
        <f t="shared" si="30"/>
        <v>0</v>
      </c>
      <c r="M252" s="300"/>
      <c r="N252" s="300"/>
    </row>
    <row r="253" spans="1:14" s="294" customFormat="1" ht="19.5" customHeight="1">
      <c r="A253" s="300" t="str">
        <f t="shared" si="27"/>
        <v>TP</v>
      </c>
      <c r="B253" s="571">
        <f t="shared" si="28"/>
        <v>104</v>
      </c>
      <c r="C253" s="573" t="s">
        <v>1200</v>
      </c>
      <c r="D253" s="572" t="s">
        <v>1373</v>
      </c>
      <c r="E253" s="495"/>
      <c r="F253" s="495"/>
      <c r="G253" s="513">
        <f t="array" ref="G253">SUM(IF("155"&amp;C253=KHN&amp;MH,SL))</f>
        <v>214</v>
      </c>
      <c r="H253" s="513">
        <f t="array" ref="H253">SUM(IF("155"&amp;C253=KHN&amp;MH,TH))</f>
        <v>3193720</v>
      </c>
      <c r="I253" s="513">
        <f t="array" ref="I253">SUM(IF("155"&amp;C253=KHC&amp;MH,SL))</f>
        <v>214</v>
      </c>
      <c r="J253" s="513">
        <f t="array" ref="J253">SUM(IF("155"&amp;C253=KHC&amp;MH,TH))</f>
        <v>3193720</v>
      </c>
      <c r="K253" s="495">
        <f t="shared" si="29"/>
        <v>0</v>
      </c>
      <c r="L253" s="495">
        <f t="shared" si="30"/>
        <v>0</v>
      </c>
      <c r="M253" s="300"/>
      <c r="N253" s="300"/>
    </row>
    <row r="254" spans="1:14" s="294" customFormat="1" ht="19.5" customHeight="1">
      <c r="A254" s="300" t="str">
        <f t="shared" si="27"/>
        <v>TP</v>
      </c>
      <c r="B254" s="571">
        <f t="shared" si="28"/>
        <v>105</v>
      </c>
      <c r="C254" s="567" t="s">
        <v>1257</v>
      </c>
      <c r="D254" s="572" t="s">
        <v>1373</v>
      </c>
      <c r="E254" s="495"/>
      <c r="F254" s="495"/>
      <c r="G254" s="513">
        <f t="array" ref="G254">SUM(IF("155"&amp;C254=KHN&amp;MH,SL))</f>
        <v>27</v>
      </c>
      <c r="H254" s="513">
        <f t="array" ref="H254">SUM(IF("155"&amp;C254=KHN&amp;MH,TH))</f>
        <v>369407</v>
      </c>
      <c r="I254" s="513">
        <f t="array" ref="I254">SUM(IF("155"&amp;C254=KHC&amp;MH,SL))</f>
        <v>27</v>
      </c>
      <c r="J254" s="513">
        <f t="array" ref="J254">SUM(IF("155"&amp;C254=KHC&amp;MH,TH))</f>
        <v>369407</v>
      </c>
      <c r="K254" s="495">
        <f t="shared" si="29"/>
        <v>0</v>
      </c>
      <c r="L254" s="495">
        <f t="shared" si="30"/>
        <v>0</v>
      </c>
      <c r="M254" s="300"/>
      <c r="N254" s="300"/>
    </row>
    <row r="255" spans="1:14" s="294" customFormat="1" ht="19.5" customHeight="1">
      <c r="A255" s="300" t="str">
        <f t="shared" si="27"/>
        <v>TP</v>
      </c>
      <c r="B255" s="571">
        <f t="shared" si="28"/>
        <v>106</v>
      </c>
      <c r="C255" s="573" t="s">
        <v>1216</v>
      </c>
      <c r="D255" s="572" t="s">
        <v>1373</v>
      </c>
      <c r="E255" s="495"/>
      <c r="F255" s="495"/>
      <c r="G255" s="513">
        <f t="array" ref="G255">SUM(IF("155"&amp;C255=KHN&amp;MH,SL))</f>
        <v>185</v>
      </c>
      <c r="H255" s="513">
        <f t="array" ref="H255">SUM(IF("155"&amp;C255=KHN&amp;MH,TH))</f>
        <v>1358731</v>
      </c>
      <c r="I255" s="513">
        <f t="array" ref="I255">SUM(IF("155"&amp;C255=KHC&amp;MH,SL))</f>
        <v>185</v>
      </c>
      <c r="J255" s="513">
        <f t="array" ref="J255">SUM(IF("155"&amp;C255=KHC&amp;MH,TH))</f>
        <v>1358731</v>
      </c>
      <c r="K255" s="495">
        <f t="shared" si="29"/>
        <v>0</v>
      </c>
      <c r="L255" s="495">
        <f t="shared" si="30"/>
        <v>0</v>
      </c>
      <c r="M255" s="300"/>
      <c r="N255" s="300"/>
    </row>
    <row r="256" spans="1:14" s="294" customFormat="1" ht="19.5" customHeight="1">
      <c r="A256" s="300" t="str">
        <f t="shared" si="27"/>
        <v>TP</v>
      </c>
      <c r="B256" s="571">
        <f t="shared" si="28"/>
        <v>107</v>
      </c>
      <c r="C256" s="566" t="s">
        <v>723</v>
      </c>
      <c r="D256" s="572" t="s">
        <v>1373</v>
      </c>
      <c r="E256" s="495"/>
      <c r="F256" s="495"/>
      <c r="G256" s="513">
        <f t="array" ref="G256">SUM(IF("155"&amp;C256=KHN&amp;MH,SL))</f>
        <v>221</v>
      </c>
      <c r="H256" s="513">
        <f t="array" ref="H256">SUM(IF("155"&amp;C256=KHN&amp;MH,TH))</f>
        <v>1837500</v>
      </c>
      <c r="I256" s="513">
        <f t="array" ref="I256">SUM(IF("155"&amp;C256=KHC&amp;MH,SL))</f>
        <v>221</v>
      </c>
      <c r="J256" s="513">
        <f t="array" ref="J256">SUM(IF("155"&amp;C256=KHC&amp;MH,TH))</f>
        <v>1837500</v>
      </c>
      <c r="K256" s="495">
        <f t="shared" si="29"/>
        <v>0</v>
      </c>
      <c r="L256" s="495">
        <f t="shared" si="30"/>
        <v>0</v>
      </c>
      <c r="M256" s="300"/>
      <c r="N256" s="300"/>
    </row>
    <row r="257" spans="1:14" s="294" customFormat="1" ht="19.5" customHeight="1">
      <c r="A257" s="300" t="str">
        <f t="shared" si="27"/>
        <v>TP</v>
      </c>
      <c r="B257" s="571">
        <f t="shared" si="28"/>
        <v>108</v>
      </c>
      <c r="C257" s="567" t="s">
        <v>1304</v>
      </c>
      <c r="D257" s="572" t="s">
        <v>1373</v>
      </c>
      <c r="E257" s="495"/>
      <c r="F257" s="495"/>
      <c r="G257" s="513">
        <f t="array" ref="G257">SUM(IF("155"&amp;C257=KHN&amp;MH,SL))</f>
        <v>259</v>
      </c>
      <c r="H257" s="513">
        <f t="array" ref="H257">SUM(IF("155"&amp;C257=KHN&amp;MH,TH))</f>
        <v>4664686</v>
      </c>
      <c r="I257" s="513">
        <f t="array" ref="I257">SUM(IF("155"&amp;C257=KHC&amp;MH,SL))</f>
        <v>259</v>
      </c>
      <c r="J257" s="513">
        <f t="array" ref="J257">SUM(IF("155"&amp;C257=KHC&amp;MH,TH))</f>
        <v>4664686</v>
      </c>
      <c r="K257" s="495">
        <f t="shared" si="29"/>
        <v>0</v>
      </c>
      <c r="L257" s="495">
        <f t="shared" si="30"/>
        <v>0</v>
      </c>
      <c r="M257" s="300"/>
      <c r="N257" s="300"/>
    </row>
    <row r="258" spans="1:14" s="294" customFormat="1" ht="19.5" customHeight="1">
      <c r="A258" s="300" t="str">
        <f t="shared" si="27"/>
        <v>TP</v>
      </c>
      <c r="B258" s="571">
        <f t="shared" si="28"/>
        <v>109</v>
      </c>
      <c r="C258" s="567" t="s">
        <v>1329</v>
      </c>
      <c r="D258" s="572" t="s">
        <v>1373</v>
      </c>
      <c r="E258" s="495"/>
      <c r="F258" s="495"/>
      <c r="G258" s="513">
        <f t="array" ref="G258">SUM(IF("155"&amp;C258=KHN&amp;MH,SL))</f>
        <v>65</v>
      </c>
      <c r="H258" s="513">
        <f t="array" ref="H258">SUM(IF("155"&amp;C258=KHN&amp;MH,TH))</f>
        <v>1152937</v>
      </c>
      <c r="I258" s="513">
        <f t="array" ref="I258">SUM(IF("155"&amp;C258=KHC&amp;MH,SL))</f>
        <v>65</v>
      </c>
      <c r="J258" s="513">
        <f t="array" ref="J258">SUM(IF("155"&amp;C258=KHC&amp;MH,TH))</f>
        <v>1152937</v>
      </c>
      <c r="K258" s="495">
        <f t="shared" si="29"/>
        <v>0</v>
      </c>
      <c r="L258" s="495">
        <f t="shared" si="30"/>
        <v>0</v>
      </c>
      <c r="M258" s="300"/>
      <c r="N258" s="300"/>
    </row>
    <row r="259" spans="1:14" s="294" customFormat="1" ht="19.5" customHeight="1">
      <c r="A259" s="300" t="str">
        <f t="shared" si="27"/>
        <v>TP</v>
      </c>
      <c r="B259" s="571">
        <f t="shared" si="28"/>
        <v>110</v>
      </c>
      <c r="C259" s="566" t="s">
        <v>957</v>
      </c>
      <c r="D259" s="572" t="s">
        <v>1373</v>
      </c>
      <c r="E259" s="495"/>
      <c r="F259" s="495"/>
      <c r="G259" s="513">
        <f t="array" ref="G259">SUM(IF("155"&amp;C259=KHN&amp;MH,SL))</f>
        <v>68</v>
      </c>
      <c r="H259" s="513">
        <f t="array" ref="H259">SUM(IF("155"&amp;C259=KHN&amp;MH,TH))</f>
        <v>728205</v>
      </c>
      <c r="I259" s="513">
        <f t="array" ref="I259">SUM(IF("155"&amp;C259=KHC&amp;MH,SL))</f>
        <v>68</v>
      </c>
      <c r="J259" s="513">
        <f t="array" ref="J259">SUM(IF("155"&amp;C259=KHC&amp;MH,TH))</f>
        <v>728205</v>
      </c>
      <c r="K259" s="495">
        <f t="shared" si="29"/>
        <v>0</v>
      </c>
      <c r="L259" s="495">
        <f t="shared" si="30"/>
        <v>0</v>
      </c>
      <c r="M259" s="300"/>
      <c r="N259" s="300"/>
    </row>
    <row r="260" spans="1:14" s="294" customFormat="1" ht="19.5" customHeight="1">
      <c r="A260" s="300" t="str">
        <f t="shared" si="27"/>
        <v>TP</v>
      </c>
      <c r="B260" s="571">
        <f t="shared" si="28"/>
        <v>111</v>
      </c>
      <c r="C260" s="567" t="s">
        <v>1305</v>
      </c>
      <c r="D260" s="572" t="s">
        <v>1373</v>
      </c>
      <c r="E260" s="495"/>
      <c r="F260" s="495"/>
      <c r="G260" s="513">
        <f t="array" ref="G260">SUM(IF("155"&amp;C260=KHN&amp;MH,SL))</f>
        <v>21</v>
      </c>
      <c r="H260" s="513">
        <f t="array" ref="H260">SUM(IF("155"&amp;C260=KHN&amp;MH,TH))</f>
        <v>329703</v>
      </c>
      <c r="I260" s="513">
        <f t="array" ref="I260">SUM(IF("155"&amp;C260=KHC&amp;MH,SL))</f>
        <v>21</v>
      </c>
      <c r="J260" s="513">
        <f t="array" ref="J260">SUM(IF("155"&amp;C260=KHC&amp;MH,TH))</f>
        <v>329703</v>
      </c>
      <c r="K260" s="495">
        <f t="shared" si="29"/>
        <v>0</v>
      </c>
      <c r="L260" s="495">
        <f t="shared" si="30"/>
        <v>0</v>
      </c>
      <c r="M260" s="300"/>
      <c r="N260" s="300"/>
    </row>
    <row r="261" spans="1:14" s="294" customFormat="1" ht="19.5" customHeight="1">
      <c r="A261" s="300" t="str">
        <f t="shared" si="27"/>
        <v>TP</v>
      </c>
      <c r="B261" s="571">
        <f t="shared" si="28"/>
        <v>112</v>
      </c>
      <c r="C261" s="566" t="s">
        <v>850</v>
      </c>
      <c r="D261" s="572" t="s">
        <v>1373</v>
      </c>
      <c r="E261" s="495"/>
      <c r="F261" s="495"/>
      <c r="G261" s="513">
        <f t="array" ref="G261">SUM(IF("155"&amp;C261=KHN&amp;MH,SL))</f>
        <v>140</v>
      </c>
      <c r="H261" s="513">
        <f t="array" ref="H261">SUM(IF("155"&amp;C261=KHN&amp;MH,TH))</f>
        <v>1312152</v>
      </c>
      <c r="I261" s="513">
        <f t="array" ref="I261">SUM(IF("155"&amp;C261=KHC&amp;MH,SL))</f>
        <v>140</v>
      </c>
      <c r="J261" s="513">
        <f t="array" ref="J261">SUM(IF("155"&amp;C261=KHC&amp;MH,TH))</f>
        <v>1312152</v>
      </c>
      <c r="K261" s="495">
        <f t="shared" si="29"/>
        <v>0</v>
      </c>
      <c r="L261" s="495">
        <f t="shared" si="30"/>
        <v>0</v>
      </c>
      <c r="M261" s="300"/>
      <c r="N261" s="300"/>
    </row>
    <row r="262" spans="1:14" s="294" customFormat="1" ht="19.5" customHeight="1">
      <c r="A262" s="300" t="str">
        <f t="shared" si="27"/>
        <v>TP</v>
      </c>
      <c r="B262" s="571">
        <f t="shared" si="28"/>
        <v>113</v>
      </c>
      <c r="C262" s="566" t="s">
        <v>840</v>
      </c>
      <c r="D262" s="572" t="s">
        <v>1373</v>
      </c>
      <c r="E262" s="495"/>
      <c r="F262" s="495"/>
      <c r="G262" s="513">
        <f t="array" ref="G262">SUM(IF("155"&amp;C262=KHN&amp;MH,SL))</f>
        <v>34</v>
      </c>
      <c r="H262" s="513">
        <f t="array" ref="H262">SUM(IF("155"&amp;C262=KHN&amp;MH,TH))</f>
        <v>474623</v>
      </c>
      <c r="I262" s="513">
        <f t="array" ref="I262">SUM(IF("155"&amp;C262=KHC&amp;MH,SL))</f>
        <v>34</v>
      </c>
      <c r="J262" s="513">
        <f t="array" ref="J262">SUM(IF("155"&amp;C262=KHC&amp;MH,TH))</f>
        <v>474623</v>
      </c>
      <c r="K262" s="495">
        <f t="shared" si="29"/>
        <v>0</v>
      </c>
      <c r="L262" s="495">
        <f t="shared" si="30"/>
        <v>0</v>
      </c>
      <c r="M262" s="300"/>
      <c r="N262" s="300"/>
    </row>
    <row r="263" spans="1:14" s="294" customFormat="1" ht="19.5" customHeight="1">
      <c r="A263" s="300" t="str">
        <f t="shared" si="27"/>
        <v>TP</v>
      </c>
      <c r="B263" s="571">
        <f t="shared" si="28"/>
        <v>114</v>
      </c>
      <c r="C263" s="567" t="s">
        <v>1237</v>
      </c>
      <c r="D263" s="572" t="s">
        <v>1373</v>
      </c>
      <c r="E263" s="495"/>
      <c r="F263" s="495"/>
      <c r="G263" s="513">
        <f t="array" ref="G263">SUM(IF("155"&amp;C263=KHN&amp;MH,SL))</f>
        <v>1118</v>
      </c>
      <c r="H263" s="513">
        <f t="array" ref="H263">SUM(IF("155"&amp;C263=KHN&amp;MH,TH))</f>
        <v>10790814</v>
      </c>
      <c r="I263" s="513">
        <f t="array" ref="I263">SUM(IF("155"&amp;C263=KHC&amp;MH,SL))</f>
        <v>1118</v>
      </c>
      <c r="J263" s="513">
        <f t="array" ref="J263">SUM(IF("155"&amp;C263=KHC&amp;MH,TH))</f>
        <v>10790814</v>
      </c>
      <c r="K263" s="495">
        <f t="shared" si="29"/>
        <v>0</v>
      </c>
      <c r="L263" s="495">
        <f t="shared" si="30"/>
        <v>0</v>
      </c>
      <c r="M263" s="300"/>
      <c r="N263" s="300"/>
    </row>
    <row r="264" spans="1:14" s="294" customFormat="1" ht="19.5" customHeight="1">
      <c r="A264" s="300" t="str">
        <f t="shared" si="27"/>
        <v>TP</v>
      </c>
      <c r="B264" s="571">
        <f t="shared" si="28"/>
        <v>115</v>
      </c>
      <c r="C264" s="567" t="s">
        <v>1306</v>
      </c>
      <c r="D264" s="572" t="s">
        <v>1373</v>
      </c>
      <c r="E264" s="495"/>
      <c r="F264" s="495"/>
      <c r="G264" s="513">
        <f t="array" ref="G264">SUM(IF("155"&amp;C264=KHN&amp;MH,SL))</f>
        <v>394</v>
      </c>
      <c r="H264" s="513">
        <f t="array" ref="H264">SUM(IF("155"&amp;C264=KHN&amp;MH,TH))</f>
        <v>7573201</v>
      </c>
      <c r="I264" s="513">
        <f t="array" ref="I264">SUM(IF("155"&amp;C264=KHC&amp;MH,SL))</f>
        <v>394</v>
      </c>
      <c r="J264" s="513">
        <f t="array" ref="J264">SUM(IF("155"&amp;C264=KHC&amp;MH,TH))</f>
        <v>7573201</v>
      </c>
      <c r="K264" s="495">
        <f t="shared" si="29"/>
        <v>0</v>
      </c>
      <c r="L264" s="495">
        <f t="shared" si="30"/>
        <v>0</v>
      </c>
      <c r="M264" s="300"/>
      <c r="N264" s="300"/>
    </row>
    <row r="265" spans="1:14" s="294" customFormat="1" ht="19.5" customHeight="1">
      <c r="A265" s="300" t="str">
        <f t="shared" si="27"/>
        <v>TP</v>
      </c>
      <c r="B265" s="571">
        <f t="shared" si="28"/>
        <v>116</v>
      </c>
      <c r="C265" s="573" t="s">
        <v>1215</v>
      </c>
      <c r="D265" s="572" t="s">
        <v>1373</v>
      </c>
      <c r="E265" s="495"/>
      <c r="F265" s="495"/>
      <c r="G265" s="513">
        <f t="array" ref="G265">SUM(IF("155"&amp;C265=KHN&amp;MH,SL))</f>
        <v>913</v>
      </c>
      <c r="H265" s="513">
        <f t="array" ref="H265">SUM(IF("155"&amp;C265=KHN&amp;MH,TH))</f>
        <v>10499308</v>
      </c>
      <c r="I265" s="513">
        <f t="array" ref="I265">SUM(IF("155"&amp;C265=KHC&amp;MH,SL))</f>
        <v>913</v>
      </c>
      <c r="J265" s="513">
        <f t="array" ref="J265">SUM(IF("155"&amp;C265=KHC&amp;MH,TH))</f>
        <v>10499308</v>
      </c>
      <c r="K265" s="495">
        <f t="shared" si="29"/>
        <v>0</v>
      </c>
      <c r="L265" s="495">
        <f t="shared" si="30"/>
        <v>0</v>
      </c>
      <c r="M265" s="300"/>
      <c r="N265" s="300"/>
    </row>
    <row r="266" spans="1:14" s="294" customFormat="1" ht="19.5" customHeight="1">
      <c r="A266" s="300" t="str">
        <f t="shared" si="27"/>
        <v>TP</v>
      </c>
      <c r="B266" s="571">
        <f t="shared" si="28"/>
        <v>117</v>
      </c>
      <c r="C266" s="566" t="s">
        <v>717</v>
      </c>
      <c r="D266" s="572" t="s">
        <v>1373</v>
      </c>
      <c r="E266" s="495"/>
      <c r="F266" s="495"/>
      <c r="G266" s="513">
        <f t="array" ref="G266">SUM(IF("155"&amp;C266=KHN&amp;MH,SL))</f>
        <v>334</v>
      </c>
      <c r="H266" s="513">
        <f t="array" ref="H266">SUM(IF("155"&amp;C266=KHN&amp;MH,TH))</f>
        <v>5793360</v>
      </c>
      <c r="I266" s="513">
        <f t="array" ref="I266">SUM(IF("155"&amp;C266=KHC&amp;MH,SL))</f>
        <v>334</v>
      </c>
      <c r="J266" s="513">
        <f t="array" ref="J266">SUM(IF("155"&amp;C266=KHC&amp;MH,TH))</f>
        <v>5793360</v>
      </c>
      <c r="K266" s="495">
        <f t="shared" si="29"/>
        <v>0</v>
      </c>
      <c r="L266" s="495">
        <f t="shared" si="30"/>
        <v>0</v>
      </c>
      <c r="M266" s="300"/>
      <c r="N266" s="300"/>
    </row>
    <row r="267" spans="1:14" s="294" customFormat="1" ht="19.5" customHeight="1">
      <c r="A267" s="300" t="str">
        <f t="shared" si="27"/>
        <v>TP</v>
      </c>
      <c r="B267" s="571">
        <f t="shared" si="28"/>
        <v>118</v>
      </c>
      <c r="C267" s="566" t="s">
        <v>727</v>
      </c>
      <c r="D267" s="572" t="s">
        <v>1373</v>
      </c>
      <c r="E267" s="495"/>
      <c r="F267" s="495"/>
      <c r="G267" s="513">
        <f t="array" ref="G267">SUM(IF("155"&amp;C267=KHN&amp;MH,SL))</f>
        <v>2887</v>
      </c>
      <c r="H267" s="513">
        <f t="array" ref="H267">SUM(IF("155"&amp;C267=KHN&amp;MH,TH))</f>
        <v>27488172</v>
      </c>
      <c r="I267" s="513">
        <f t="array" ref="I267">SUM(IF("155"&amp;C267=KHC&amp;MH,SL))</f>
        <v>2887</v>
      </c>
      <c r="J267" s="513">
        <f t="array" ref="J267">SUM(IF("155"&amp;C267=KHC&amp;MH,TH))</f>
        <v>27488172</v>
      </c>
      <c r="K267" s="495">
        <f t="shared" si="29"/>
        <v>0</v>
      </c>
      <c r="L267" s="495">
        <f t="shared" si="30"/>
        <v>0</v>
      </c>
      <c r="M267" s="300"/>
      <c r="N267" s="300"/>
    </row>
    <row r="268" spans="1:14" s="294" customFormat="1" ht="19.5" customHeight="1">
      <c r="A268" s="300" t="str">
        <f t="shared" si="27"/>
        <v>TP</v>
      </c>
      <c r="B268" s="571">
        <f t="shared" si="28"/>
        <v>119</v>
      </c>
      <c r="C268" s="566" t="s">
        <v>882</v>
      </c>
      <c r="D268" s="572" t="s">
        <v>1373</v>
      </c>
      <c r="E268" s="495"/>
      <c r="F268" s="495"/>
      <c r="G268" s="513">
        <f t="array" ref="G268">SUM(IF("155"&amp;C268=KHN&amp;MH,SL))</f>
        <v>76</v>
      </c>
      <c r="H268" s="513">
        <f t="array" ref="H268">SUM(IF("155"&amp;C268=KHN&amp;MH,TH))</f>
        <v>1300603</v>
      </c>
      <c r="I268" s="513">
        <f t="array" ref="I268">SUM(IF("155"&amp;C268=KHC&amp;MH,SL))</f>
        <v>76</v>
      </c>
      <c r="J268" s="513">
        <f t="array" ref="J268">SUM(IF("155"&amp;C268=KHC&amp;MH,TH))</f>
        <v>1300603</v>
      </c>
      <c r="K268" s="495">
        <f t="shared" si="29"/>
        <v>0</v>
      </c>
      <c r="L268" s="495">
        <f t="shared" si="30"/>
        <v>0</v>
      </c>
      <c r="M268" s="300"/>
      <c r="N268" s="300"/>
    </row>
    <row r="269" spans="1:14" s="294" customFormat="1" ht="19.5" customHeight="1">
      <c r="A269" s="300" t="str">
        <f t="shared" si="27"/>
        <v>TP</v>
      </c>
      <c r="B269" s="571">
        <f t="shared" si="28"/>
        <v>120</v>
      </c>
      <c r="C269" s="566" t="s">
        <v>954</v>
      </c>
      <c r="D269" s="572" t="s">
        <v>1373</v>
      </c>
      <c r="E269" s="495"/>
      <c r="F269" s="495"/>
      <c r="G269" s="513">
        <f t="array" ref="G269">SUM(IF("155"&amp;C269=KHN&amp;MH,SL))</f>
        <v>107</v>
      </c>
      <c r="H269" s="513">
        <f t="array" ref="H269">SUM(IF("155"&amp;C269=KHN&amp;MH,TH))</f>
        <v>1469321</v>
      </c>
      <c r="I269" s="513">
        <f t="array" ref="I269">SUM(IF("155"&amp;C269=KHC&amp;MH,SL))</f>
        <v>107</v>
      </c>
      <c r="J269" s="513">
        <f t="array" ref="J269">SUM(IF("155"&amp;C269=KHC&amp;MH,TH))</f>
        <v>1469321</v>
      </c>
      <c r="K269" s="495">
        <f t="shared" si="29"/>
        <v>0</v>
      </c>
      <c r="L269" s="495">
        <f t="shared" si="30"/>
        <v>0</v>
      </c>
      <c r="M269" s="300"/>
      <c r="N269" s="300"/>
    </row>
    <row r="270" spans="1:14" s="294" customFormat="1" ht="19.5" customHeight="1">
      <c r="A270" s="300" t="str">
        <f t="shared" si="27"/>
        <v>TP</v>
      </c>
      <c r="B270" s="571">
        <f t="shared" si="28"/>
        <v>121</v>
      </c>
      <c r="C270" s="566" t="s">
        <v>888</v>
      </c>
      <c r="D270" s="572" t="s">
        <v>1373</v>
      </c>
      <c r="E270" s="495"/>
      <c r="F270" s="495"/>
      <c r="G270" s="513">
        <f t="array" ref="G270">SUM(IF("155"&amp;C270=KHN&amp;MH,SL))</f>
        <v>20</v>
      </c>
      <c r="H270" s="513">
        <f t="array" ref="H270">SUM(IF("155"&amp;C270=KHN&amp;MH,TH))</f>
        <v>360390</v>
      </c>
      <c r="I270" s="513">
        <f t="array" ref="I270">SUM(IF("155"&amp;C270=KHC&amp;MH,SL))</f>
        <v>20</v>
      </c>
      <c r="J270" s="513">
        <f t="array" ref="J270">SUM(IF("155"&amp;C270=KHC&amp;MH,TH))</f>
        <v>360390</v>
      </c>
      <c r="K270" s="495">
        <f t="shared" si="29"/>
        <v>0</v>
      </c>
      <c r="L270" s="495">
        <f t="shared" si="30"/>
        <v>0</v>
      </c>
      <c r="M270" s="300"/>
      <c r="N270" s="300"/>
    </row>
    <row r="271" spans="1:14" s="294" customFormat="1" ht="19.5" customHeight="1">
      <c r="A271" s="300" t="str">
        <f t="shared" si="27"/>
        <v>TP</v>
      </c>
      <c r="B271" s="571">
        <f t="shared" si="28"/>
        <v>122</v>
      </c>
      <c r="C271" s="567" t="s">
        <v>1307</v>
      </c>
      <c r="D271" s="572" t="s">
        <v>1373</v>
      </c>
      <c r="E271" s="495"/>
      <c r="F271" s="495"/>
      <c r="G271" s="513">
        <f t="array" ref="G271">SUM(IF("155"&amp;C271=KHN&amp;MH,SL))</f>
        <v>10</v>
      </c>
      <c r="H271" s="513">
        <f t="array" ref="H271">SUM(IF("155"&amp;C271=KHN&amp;MH,TH))</f>
        <v>186724</v>
      </c>
      <c r="I271" s="513">
        <f t="array" ref="I271">SUM(IF("155"&amp;C271=KHC&amp;MH,SL))</f>
        <v>10</v>
      </c>
      <c r="J271" s="513">
        <f t="array" ref="J271">SUM(IF("155"&amp;C271=KHC&amp;MH,TH))</f>
        <v>186724</v>
      </c>
      <c r="K271" s="495">
        <f t="shared" si="29"/>
        <v>0</v>
      </c>
      <c r="L271" s="495">
        <f t="shared" si="30"/>
        <v>0</v>
      </c>
      <c r="M271" s="300"/>
      <c r="N271" s="300"/>
    </row>
    <row r="272" spans="1:14" s="294" customFormat="1" ht="19.5" customHeight="1">
      <c r="A272" s="300" t="str">
        <f t="shared" si="27"/>
        <v>TP</v>
      </c>
      <c r="B272" s="571">
        <f t="shared" si="28"/>
        <v>123</v>
      </c>
      <c r="C272" s="566" t="s">
        <v>718</v>
      </c>
      <c r="D272" s="572" t="s">
        <v>1373</v>
      </c>
      <c r="E272" s="495"/>
      <c r="F272" s="495"/>
      <c r="G272" s="513">
        <f t="array" ref="G272">SUM(IF("155"&amp;C272=KHN&amp;MH,SL))</f>
        <v>1063</v>
      </c>
      <c r="H272" s="513">
        <f t="array" ref="H272">SUM(IF("155"&amp;C272=KHN&amp;MH,TH))</f>
        <v>19635067</v>
      </c>
      <c r="I272" s="513">
        <f t="array" ref="I272">SUM(IF("155"&amp;C272=KHC&amp;MH,SL))</f>
        <v>1063</v>
      </c>
      <c r="J272" s="513">
        <f t="array" ref="J272">SUM(IF("155"&amp;C272=KHC&amp;MH,TH))</f>
        <v>19635067</v>
      </c>
      <c r="K272" s="495">
        <f t="shared" si="29"/>
        <v>0</v>
      </c>
      <c r="L272" s="495">
        <f t="shared" si="30"/>
        <v>0</v>
      </c>
      <c r="M272" s="300"/>
      <c r="N272" s="300"/>
    </row>
    <row r="273" spans="1:14" s="294" customFormat="1" ht="19.5" customHeight="1">
      <c r="A273" s="300" t="str">
        <f t="shared" si="27"/>
        <v>TP</v>
      </c>
      <c r="B273" s="571">
        <f t="shared" si="28"/>
        <v>124</v>
      </c>
      <c r="C273" s="566" t="s">
        <v>940</v>
      </c>
      <c r="D273" s="572" t="s">
        <v>1373</v>
      </c>
      <c r="E273" s="495"/>
      <c r="F273" s="495"/>
      <c r="G273" s="513">
        <f t="array" ref="G273">SUM(IF("155"&amp;C273=KHN&amp;MH,SL))</f>
        <v>121</v>
      </c>
      <c r="H273" s="513">
        <f t="array" ref="H273">SUM(IF("155"&amp;C273=KHN&amp;MH,TH))</f>
        <v>2435536</v>
      </c>
      <c r="I273" s="513">
        <f t="array" ref="I273">SUM(IF("155"&amp;C273=KHC&amp;MH,SL))</f>
        <v>121</v>
      </c>
      <c r="J273" s="513">
        <f t="array" ref="J273">SUM(IF("155"&amp;C273=KHC&amp;MH,TH))</f>
        <v>2435536</v>
      </c>
      <c r="K273" s="495">
        <f t="shared" si="29"/>
        <v>0</v>
      </c>
      <c r="L273" s="495">
        <f t="shared" si="30"/>
        <v>0</v>
      </c>
      <c r="M273" s="300"/>
      <c r="N273" s="300"/>
    </row>
    <row r="274" spans="1:14" s="294" customFormat="1" ht="19.5" customHeight="1">
      <c r="A274" s="300" t="str">
        <f t="shared" si="27"/>
        <v>TP</v>
      </c>
      <c r="B274" s="571">
        <f t="shared" si="28"/>
        <v>125</v>
      </c>
      <c r="C274" s="573" t="s">
        <v>1212</v>
      </c>
      <c r="D274" s="572" t="s">
        <v>1373</v>
      </c>
      <c r="E274" s="495"/>
      <c r="F274" s="495"/>
      <c r="G274" s="513">
        <f t="array" ref="G274">SUM(IF("155"&amp;C274=KHN&amp;MH,SL))</f>
        <v>338</v>
      </c>
      <c r="H274" s="513">
        <f t="array" ref="H274">SUM(IF("155"&amp;C274=KHN&amp;MH,TH))</f>
        <v>3963156</v>
      </c>
      <c r="I274" s="513">
        <f t="array" ref="I274">SUM(IF("155"&amp;C274=KHC&amp;MH,SL))</f>
        <v>338</v>
      </c>
      <c r="J274" s="513">
        <f t="array" ref="J274">SUM(IF("155"&amp;C274=KHC&amp;MH,TH))</f>
        <v>3963156</v>
      </c>
      <c r="K274" s="495">
        <f t="shared" si="29"/>
        <v>0</v>
      </c>
      <c r="L274" s="495">
        <f t="shared" si="30"/>
        <v>0</v>
      </c>
      <c r="M274" s="300"/>
      <c r="N274" s="300"/>
    </row>
    <row r="275" spans="1:14" s="294" customFormat="1" ht="19.5" customHeight="1">
      <c r="A275" s="300" t="str">
        <f t="shared" si="27"/>
        <v>TP</v>
      </c>
      <c r="B275" s="571">
        <f t="shared" si="28"/>
        <v>126</v>
      </c>
      <c r="C275" s="566" t="s">
        <v>942</v>
      </c>
      <c r="D275" s="572" t="s">
        <v>1373</v>
      </c>
      <c r="E275" s="495"/>
      <c r="F275" s="495"/>
      <c r="G275" s="513">
        <f t="array" ref="G275">SUM(IF("155"&amp;C275=KHN&amp;MH,SL))</f>
        <v>156</v>
      </c>
      <c r="H275" s="513">
        <f t="array" ref="H275">SUM(IF("155"&amp;C275=KHN&amp;MH,TH))</f>
        <v>2653856</v>
      </c>
      <c r="I275" s="513">
        <f t="array" ref="I275">SUM(IF("155"&amp;C275=KHC&amp;MH,SL))</f>
        <v>156</v>
      </c>
      <c r="J275" s="513">
        <f t="array" ref="J275">SUM(IF("155"&amp;C275=KHC&amp;MH,TH))</f>
        <v>2653856</v>
      </c>
      <c r="K275" s="495">
        <f t="shared" si="29"/>
        <v>0</v>
      </c>
      <c r="L275" s="495">
        <f t="shared" si="30"/>
        <v>0</v>
      </c>
      <c r="M275" s="300"/>
      <c r="N275" s="300"/>
    </row>
    <row r="276" spans="1:14" s="294" customFormat="1" ht="19.5" customHeight="1">
      <c r="A276" s="300" t="str">
        <f t="shared" si="27"/>
        <v>TP</v>
      </c>
      <c r="B276" s="571">
        <f t="shared" si="28"/>
        <v>127</v>
      </c>
      <c r="C276" s="567" t="s">
        <v>1238</v>
      </c>
      <c r="D276" s="572" t="s">
        <v>1373</v>
      </c>
      <c r="E276" s="495"/>
      <c r="F276" s="495"/>
      <c r="G276" s="513">
        <f t="array" ref="G276">SUM(IF("155"&amp;C276=KHN&amp;MH,SL))</f>
        <v>1012</v>
      </c>
      <c r="H276" s="513">
        <f t="array" ref="H276">SUM(IF("155"&amp;C276=KHN&amp;MH,TH))</f>
        <v>9811624</v>
      </c>
      <c r="I276" s="513">
        <f t="array" ref="I276">SUM(IF("155"&amp;C276=KHC&amp;MH,SL))</f>
        <v>1012</v>
      </c>
      <c r="J276" s="513">
        <f t="array" ref="J276">SUM(IF("155"&amp;C276=KHC&amp;MH,TH))</f>
        <v>9811624</v>
      </c>
      <c r="K276" s="495">
        <f t="shared" si="29"/>
        <v>0</v>
      </c>
      <c r="L276" s="495">
        <f t="shared" si="30"/>
        <v>0</v>
      </c>
      <c r="M276" s="300"/>
      <c r="N276" s="300"/>
    </row>
    <row r="277" spans="1:14" s="294" customFormat="1" ht="19.5" customHeight="1">
      <c r="A277" s="300" t="str">
        <f t="shared" si="27"/>
        <v>TP</v>
      </c>
      <c r="B277" s="571">
        <f t="shared" si="28"/>
        <v>128</v>
      </c>
      <c r="C277" s="567" t="s">
        <v>1243</v>
      </c>
      <c r="D277" s="572" t="s">
        <v>1373</v>
      </c>
      <c r="E277" s="495"/>
      <c r="F277" s="495"/>
      <c r="G277" s="513">
        <f t="array" ref="G277">SUM(IF("155"&amp;C277=KHN&amp;MH,SL))</f>
        <v>14</v>
      </c>
      <c r="H277" s="513">
        <f t="array" ref="H277">SUM(IF("155"&amp;C277=KHN&amp;MH,TH))</f>
        <v>169215</v>
      </c>
      <c r="I277" s="513">
        <f t="array" ref="I277">SUM(IF("155"&amp;C277=KHC&amp;MH,SL))</f>
        <v>14</v>
      </c>
      <c r="J277" s="513">
        <f t="array" ref="J277">SUM(IF("155"&amp;C277=KHC&amp;MH,TH))</f>
        <v>169215</v>
      </c>
      <c r="K277" s="495">
        <f t="shared" si="29"/>
        <v>0</v>
      </c>
      <c r="L277" s="495">
        <f t="shared" si="30"/>
        <v>0</v>
      </c>
      <c r="M277" s="300"/>
      <c r="N277" s="300"/>
    </row>
    <row r="278" spans="1:14" s="294" customFormat="1" ht="19.5" customHeight="1">
      <c r="A278" s="300" t="str">
        <f t="shared" ref="A278:A341" si="31">IF(B278&lt;&gt;"","TP","")</f>
        <v>TP</v>
      </c>
      <c r="B278" s="571">
        <f t="shared" ref="B278:B341" si="32">IF(C278&lt;&gt;"",B277+1,"")</f>
        <v>129</v>
      </c>
      <c r="C278" s="566" t="s">
        <v>941</v>
      </c>
      <c r="D278" s="572" t="s">
        <v>1373</v>
      </c>
      <c r="E278" s="495"/>
      <c r="F278" s="495"/>
      <c r="G278" s="513">
        <f t="array" ref="G278">SUM(IF("155"&amp;C278=KHN&amp;MH,SL))</f>
        <v>240</v>
      </c>
      <c r="H278" s="513">
        <f t="array" ref="H278">SUM(IF("155"&amp;C278=KHN&amp;MH,TH))</f>
        <v>4638336</v>
      </c>
      <c r="I278" s="513">
        <f t="array" ref="I278">SUM(IF("155"&amp;C278=KHC&amp;MH,SL))</f>
        <v>240</v>
      </c>
      <c r="J278" s="513">
        <f t="array" ref="J278">SUM(IF("155"&amp;C278=KHC&amp;MH,TH))</f>
        <v>4638336</v>
      </c>
      <c r="K278" s="495">
        <f t="shared" ref="K278:K341" si="33">E278+G278-I278</f>
        <v>0</v>
      </c>
      <c r="L278" s="495">
        <f t="shared" ref="L278:L341" si="34">F278+H278-J278</f>
        <v>0</v>
      </c>
      <c r="M278" s="300"/>
      <c r="N278" s="300"/>
    </row>
    <row r="279" spans="1:14" s="294" customFormat="1" ht="19.5" customHeight="1">
      <c r="A279" s="300" t="str">
        <f t="shared" si="31"/>
        <v>TP</v>
      </c>
      <c r="B279" s="571">
        <f t="shared" si="32"/>
        <v>130</v>
      </c>
      <c r="C279" s="566" t="s">
        <v>869</v>
      </c>
      <c r="D279" s="572" t="s">
        <v>1373</v>
      </c>
      <c r="E279" s="495"/>
      <c r="F279" s="495"/>
      <c r="G279" s="513">
        <f t="array" ref="G279">SUM(IF("155"&amp;C279=KHN&amp;MH,SL))</f>
        <v>33</v>
      </c>
      <c r="H279" s="513">
        <f t="array" ref="H279">SUM(IF("155"&amp;C279=KHN&amp;MH,TH))</f>
        <v>571082</v>
      </c>
      <c r="I279" s="513">
        <f t="array" ref="I279">SUM(IF("155"&amp;C279=KHC&amp;MH,SL))</f>
        <v>33</v>
      </c>
      <c r="J279" s="513">
        <f t="array" ref="J279">SUM(IF("155"&amp;C279=KHC&amp;MH,TH))</f>
        <v>571082</v>
      </c>
      <c r="K279" s="495">
        <f t="shared" si="33"/>
        <v>0</v>
      </c>
      <c r="L279" s="495">
        <f t="shared" si="34"/>
        <v>0</v>
      </c>
      <c r="M279" s="300"/>
      <c r="N279" s="300"/>
    </row>
    <row r="280" spans="1:14" s="294" customFormat="1" ht="19.5" customHeight="1">
      <c r="A280" s="300" t="str">
        <f t="shared" si="31"/>
        <v>TP</v>
      </c>
      <c r="B280" s="571">
        <f t="shared" si="32"/>
        <v>131</v>
      </c>
      <c r="C280" s="566" t="s">
        <v>883</v>
      </c>
      <c r="D280" s="572" t="s">
        <v>1373</v>
      </c>
      <c r="E280" s="495"/>
      <c r="F280" s="495"/>
      <c r="G280" s="513">
        <f t="array" ref="G280">SUM(IF("155"&amp;C280=KHN&amp;MH,SL))</f>
        <v>55</v>
      </c>
      <c r="H280" s="513">
        <f t="array" ref="H280">SUM(IF("155"&amp;C280=KHN&amp;MH,TH))</f>
        <v>967749</v>
      </c>
      <c r="I280" s="513">
        <f t="array" ref="I280">SUM(IF("155"&amp;C280=KHC&amp;MH,SL))</f>
        <v>55</v>
      </c>
      <c r="J280" s="513">
        <f t="array" ref="J280">SUM(IF("155"&amp;C280=KHC&amp;MH,TH))</f>
        <v>967749</v>
      </c>
      <c r="K280" s="495">
        <f t="shared" si="33"/>
        <v>0</v>
      </c>
      <c r="L280" s="495">
        <f t="shared" si="34"/>
        <v>0</v>
      </c>
      <c r="M280" s="300"/>
      <c r="N280" s="300"/>
    </row>
    <row r="281" spans="1:14" s="294" customFormat="1" ht="19.5" customHeight="1">
      <c r="A281" s="300" t="str">
        <f t="shared" si="31"/>
        <v>TP</v>
      </c>
      <c r="B281" s="571">
        <f t="shared" si="32"/>
        <v>132</v>
      </c>
      <c r="C281" s="567" t="s">
        <v>1251</v>
      </c>
      <c r="D281" s="572" t="s">
        <v>1373</v>
      </c>
      <c r="E281" s="495"/>
      <c r="F281" s="495"/>
      <c r="G281" s="513">
        <f t="array" ref="G281">SUM(IF("155"&amp;C281=KHN&amp;MH,SL))</f>
        <v>38</v>
      </c>
      <c r="H281" s="513">
        <f t="array" ref="H281">SUM(IF("155"&amp;C281=KHN&amp;MH,TH))</f>
        <v>707749</v>
      </c>
      <c r="I281" s="513">
        <f t="array" ref="I281">SUM(IF("155"&amp;C281=KHC&amp;MH,SL))</f>
        <v>38</v>
      </c>
      <c r="J281" s="513">
        <f t="array" ref="J281">SUM(IF("155"&amp;C281=KHC&amp;MH,TH))</f>
        <v>707749</v>
      </c>
      <c r="K281" s="495">
        <f t="shared" si="33"/>
        <v>0</v>
      </c>
      <c r="L281" s="495">
        <f t="shared" si="34"/>
        <v>0</v>
      </c>
      <c r="M281" s="300"/>
      <c r="N281" s="300"/>
    </row>
    <row r="282" spans="1:14" s="294" customFormat="1" ht="19.5" customHeight="1">
      <c r="A282" s="300" t="str">
        <f t="shared" si="31"/>
        <v>TP</v>
      </c>
      <c r="B282" s="571">
        <f t="shared" si="32"/>
        <v>133</v>
      </c>
      <c r="C282" s="566" t="s">
        <v>962</v>
      </c>
      <c r="D282" s="572" t="s">
        <v>1373</v>
      </c>
      <c r="E282" s="495"/>
      <c r="F282" s="495"/>
      <c r="G282" s="513">
        <f t="array" ref="G282">SUM(IF("155"&amp;C282=KHN&amp;MH,SL))</f>
        <v>55</v>
      </c>
      <c r="H282" s="513">
        <f t="array" ref="H282">SUM(IF("155"&amp;C282=KHN&amp;MH,TH))</f>
        <v>1107062</v>
      </c>
      <c r="I282" s="513">
        <f t="array" ref="I282">SUM(IF("155"&amp;C282=KHC&amp;MH,SL))</f>
        <v>55</v>
      </c>
      <c r="J282" s="513">
        <f t="array" ref="J282">SUM(IF("155"&amp;C282=KHC&amp;MH,TH))</f>
        <v>1107062</v>
      </c>
      <c r="K282" s="495">
        <f t="shared" si="33"/>
        <v>0</v>
      </c>
      <c r="L282" s="495">
        <f t="shared" si="34"/>
        <v>0</v>
      </c>
      <c r="M282" s="300"/>
      <c r="N282" s="300"/>
    </row>
    <row r="283" spans="1:14" s="294" customFormat="1" ht="19.5" customHeight="1">
      <c r="A283" s="300" t="str">
        <f t="shared" si="31"/>
        <v>TP</v>
      </c>
      <c r="B283" s="571">
        <f t="shared" si="32"/>
        <v>134</v>
      </c>
      <c r="C283" s="566" t="s">
        <v>950</v>
      </c>
      <c r="D283" s="572" t="s">
        <v>1373</v>
      </c>
      <c r="E283" s="495"/>
      <c r="F283" s="495"/>
      <c r="G283" s="513">
        <f t="array" ref="G283">SUM(IF("155"&amp;C283=KHN&amp;MH,SL))</f>
        <v>2928</v>
      </c>
      <c r="H283" s="513">
        <f t="array" ref="H283">SUM(IF("155"&amp;C283=KHN&amp;MH,TH))</f>
        <v>37960818</v>
      </c>
      <c r="I283" s="513">
        <f t="array" ref="I283">SUM(IF("155"&amp;C283=KHC&amp;MH,SL))</f>
        <v>2928</v>
      </c>
      <c r="J283" s="513">
        <f t="array" ref="J283">SUM(IF("155"&amp;C283=KHC&amp;MH,TH))</f>
        <v>37960818</v>
      </c>
      <c r="K283" s="495">
        <f t="shared" si="33"/>
        <v>0</v>
      </c>
      <c r="L283" s="495">
        <f t="shared" si="34"/>
        <v>0</v>
      </c>
      <c r="M283" s="300"/>
      <c r="N283" s="300"/>
    </row>
    <row r="284" spans="1:14" s="294" customFormat="1" ht="19.5" customHeight="1">
      <c r="A284" s="300" t="str">
        <f t="shared" si="31"/>
        <v>TP</v>
      </c>
      <c r="B284" s="571">
        <f t="shared" si="32"/>
        <v>135</v>
      </c>
      <c r="C284" s="566" t="s">
        <v>953</v>
      </c>
      <c r="D284" s="572" t="s">
        <v>1373</v>
      </c>
      <c r="E284" s="495"/>
      <c r="F284" s="495"/>
      <c r="G284" s="513">
        <f t="array" ref="G284">SUM(IF("155"&amp;C284=KHN&amp;MH,SL))</f>
        <v>13</v>
      </c>
      <c r="H284" s="513">
        <f t="array" ref="H284">SUM(IF("155"&amp;C284=KHN&amp;MH,TH))</f>
        <v>178495</v>
      </c>
      <c r="I284" s="513">
        <f t="array" ref="I284">SUM(IF("155"&amp;C284=KHC&amp;MH,SL))</f>
        <v>13</v>
      </c>
      <c r="J284" s="513">
        <f t="array" ref="J284">SUM(IF("155"&amp;C284=KHC&amp;MH,TH))</f>
        <v>178495</v>
      </c>
      <c r="K284" s="495">
        <f t="shared" si="33"/>
        <v>0</v>
      </c>
      <c r="L284" s="495">
        <f t="shared" si="34"/>
        <v>0</v>
      </c>
      <c r="M284" s="300"/>
      <c r="N284" s="300"/>
    </row>
    <row r="285" spans="1:14" s="294" customFormat="1" ht="19.5" customHeight="1">
      <c r="A285" s="300" t="str">
        <f t="shared" si="31"/>
        <v>TP</v>
      </c>
      <c r="B285" s="571">
        <f t="shared" si="32"/>
        <v>136</v>
      </c>
      <c r="C285" s="573" t="s">
        <v>1214</v>
      </c>
      <c r="D285" s="572" t="s">
        <v>1373</v>
      </c>
      <c r="E285" s="495"/>
      <c r="F285" s="495"/>
      <c r="G285" s="513">
        <f t="array" ref="G285">SUM(IF("155"&amp;C285=KHN&amp;MH,SL))</f>
        <v>291</v>
      </c>
      <c r="H285" s="513">
        <f t="array" ref="H285">SUM(IF("155"&amp;C285=KHN&amp;MH,TH))</f>
        <v>3469519</v>
      </c>
      <c r="I285" s="513">
        <f t="array" ref="I285">SUM(IF("155"&amp;C285=KHC&amp;MH,SL))</f>
        <v>291</v>
      </c>
      <c r="J285" s="513">
        <f t="array" ref="J285">SUM(IF("155"&amp;C285=KHC&amp;MH,TH))</f>
        <v>3469519</v>
      </c>
      <c r="K285" s="495">
        <f t="shared" si="33"/>
        <v>0</v>
      </c>
      <c r="L285" s="495">
        <f t="shared" si="34"/>
        <v>0</v>
      </c>
      <c r="M285" s="300"/>
      <c r="N285" s="300"/>
    </row>
    <row r="286" spans="1:14" s="294" customFormat="1" ht="19.5" customHeight="1">
      <c r="A286" s="300" t="str">
        <f t="shared" si="31"/>
        <v>TP</v>
      </c>
      <c r="B286" s="571">
        <f t="shared" si="32"/>
        <v>137</v>
      </c>
      <c r="C286" s="566" t="s">
        <v>861</v>
      </c>
      <c r="D286" s="572" t="s">
        <v>1373</v>
      </c>
      <c r="E286" s="495"/>
      <c r="F286" s="495"/>
      <c r="G286" s="513">
        <f t="array" ref="G286">SUM(IF("155"&amp;C286=KHN&amp;MH,SL))</f>
        <v>910</v>
      </c>
      <c r="H286" s="513">
        <f t="array" ref="H286">SUM(IF("155"&amp;C286=KHN&amp;MH,TH))</f>
        <v>12159432</v>
      </c>
      <c r="I286" s="513">
        <f t="array" ref="I286">SUM(IF("155"&amp;C286=KHC&amp;MH,SL))</f>
        <v>910</v>
      </c>
      <c r="J286" s="513">
        <f t="array" ref="J286">SUM(IF("155"&amp;C286=KHC&amp;MH,TH))</f>
        <v>12159432</v>
      </c>
      <c r="K286" s="495">
        <f t="shared" si="33"/>
        <v>0</v>
      </c>
      <c r="L286" s="495">
        <f t="shared" si="34"/>
        <v>0</v>
      </c>
      <c r="M286" s="300"/>
      <c r="N286" s="300"/>
    </row>
    <row r="287" spans="1:14" s="294" customFormat="1" ht="19.5" customHeight="1">
      <c r="A287" s="300" t="str">
        <f t="shared" si="31"/>
        <v>TP</v>
      </c>
      <c r="B287" s="571">
        <f t="shared" si="32"/>
        <v>138</v>
      </c>
      <c r="C287" s="566" t="s">
        <v>873</v>
      </c>
      <c r="D287" s="572" t="s">
        <v>1373</v>
      </c>
      <c r="E287" s="495"/>
      <c r="F287" s="495"/>
      <c r="G287" s="513">
        <f t="array" ref="G287">SUM(IF("155"&amp;C287=KHN&amp;MH,SL))</f>
        <v>41</v>
      </c>
      <c r="H287" s="513">
        <f t="array" ref="H287">SUM(IF("155"&amp;C287=KHN&amp;MH,TH))</f>
        <v>607067</v>
      </c>
      <c r="I287" s="513">
        <f t="array" ref="I287">SUM(IF("155"&amp;C287=KHC&amp;MH,SL))</f>
        <v>41</v>
      </c>
      <c r="J287" s="513">
        <f t="array" ref="J287">SUM(IF("155"&amp;C287=KHC&amp;MH,TH))</f>
        <v>607067</v>
      </c>
      <c r="K287" s="495">
        <f t="shared" si="33"/>
        <v>0</v>
      </c>
      <c r="L287" s="495">
        <f t="shared" si="34"/>
        <v>0</v>
      </c>
      <c r="M287" s="300"/>
      <c r="N287" s="300"/>
    </row>
    <row r="288" spans="1:14" s="294" customFormat="1" ht="19.5" customHeight="1">
      <c r="A288" s="300" t="str">
        <f t="shared" si="31"/>
        <v>TP</v>
      </c>
      <c r="B288" s="571">
        <f t="shared" si="32"/>
        <v>139</v>
      </c>
      <c r="C288" s="573" t="s">
        <v>1217</v>
      </c>
      <c r="D288" s="572" t="s">
        <v>1373</v>
      </c>
      <c r="E288" s="495"/>
      <c r="F288" s="495"/>
      <c r="G288" s="513">
        <f t="array" ref="G288">SUM(IF("155"&amp;C288=KHN&amp;MH,SL))</f>
        <v>300</v>
      </c>
      <c r="H288" s="513">
        <f t="array" ref="H288">SUM(IF("155"&amp;C288=KHN&amp;MH,TH))</f>
        <v>2788591</v>
      </c>
      <c r="I288" s="513">
        <f t="array" ref="I288">SUM(IF("155"&amp;C288=KHC&amp;MH,SL))</f>
        <v>300</v>
      </c>
      <c r="J288" s="513">
        <f t="array" ref="J288">SUM(IF("155"&amp;C288=KHC&amp;MH,TH))</f>
        <v>2788591</v>
      </c>
      <c r="K288" s="495">
        <f t="shared" si="33"/>
        <v>0</v>
      </c>
      <c r="L288" s="495">
        <f t="shared" si="34"/>
        <v>0</v>
      </c>
      <c r="M288" s="300"/>
      <c r="N288" s="300"/>
    </row>
    <row r="289" spans="1:14" s="294" customFormat="1" ht="19.5" customHeight="1">
      <c r="A289" s="300" t="str">
        <f t="shared" si="31"/>
        <v>TP</v>
      </c>
      <c r="B289" s="571">
        <f t="shared" si="32"/>
        <v>140</v>
      </c>
      <c r="C289" s="573" t="s">
        <v>1204</v>
      </c>
      <c r="D289" s="572" t="s">
        <v>1373</v>
      </c>
      <c r="E289" s="495"/>
      <c r="F289" s="495"/>
      <c r="G289" s="513">
        <f t="array" ref="G289">SUM(IF("155"&amp;C289=KHN&amp;MH,SL))</f>
        <v>317</v>
      </c>
      <c r="H289" s="513">
        <f t="array" ref="H289">SUM(IF("155"&amp;C289=KHN&amp;MH,TH))</f>
        <v>3134116</v>
      </c>
      <c r="I289" s="513">
        <f t="array" ref="I289">SUM(IF("155"&amp;C289=KHC&amp;MH,SL))</f>
        <v>317</v>
      </c>
      <c r="J289" s="513">
        <f t="array" ref="J289">SUM(IF("155"&amp;C289=KHC&amp;MH,TH))</f>
        <v>3134116</v>
      </c>
      <c r="K289" s="495">
        <f t="shared" si="33"/>
        <v>0</v>
      </c>
      <c r="L289" s="495">
        <f t="shared" si="34"/>
        <v>0</v>
      </c>
      <c r="M289" s="300"/>
      <c r="N289" s="300"/>
    </row>
    <row r="290" spans="1:14" s="294" customFormat="1" ht="19.5" customHeight="1">
      <c r="A290" s="300" t="str">
        <f t="shared" si="31"/>
        <v>TP</v>
      </c>
      <c r="B290" s="571">
        <f t="shared" si="32"/>
        <v>141</v>
      </c>
      <c r="C290" s="567" t="s">
        <v>1244</v>
      </c>
      <c r="D290" s="572" t="s">
        <v>1373</v>
      </c>
      <c r="E290" s="495"/>
      <c r="F290" s="495"/>
      <c r="G290" s="513">
        <f t="array" ref="G290">SUM(IF("155"&amp;C290=KHN&amp;MH,SL))</f>
        <v>45</v>
      </c>
      <c r="H290" s="513">
        <f t="array" ref="H290">SUM(IF("155"&amp;C290=KHN&amp;MH,TH))</f>
        <v>686362</v>
      </c>
      <c r="I290" s="513">
        <f t="array" ref="I290">SUM(IF("155"&amp;C290=KHC&amp;MH,SL))</f>
        <v>45</v>
      </c>
      <c r="J290" s="513">
        <f t="array" ref="J290">SUM(IF("155"&amp;C290=KHC&amp;MH,TH))</f>
        <v>686362</v>
      </c>
      <c r="K290" s="495">
        <f t="shared" si="33"/>
        <v>0</v>
      </c>
      <c r="L290" s="495">
        <f t="shared" si="34"/>
        <v>0</v>
      </c>
      <c r="M290" s="300"/>
      <c r="N290" s="300"/>
    </row>
    <row r="291" spans="1:14" s="294" customFormat="1" ht="19.5" customHeight="1">
      <c r="A291" s="300" t="str">
        <f t="shared" si="31"/>
        <v>TP</v>
      </c>
      <c r="B291" s="571">
        <f t="shared" si="32"/>
        <v>142</v>
      </c>
      <c r="C291" s="567" t="s">
        <v>1340</v>
      </c>
      <c r="D291" s="572" t="s">
        <v>1373</v>
      </c>
      <c r="E291" s="495"/>
      <c r="F291" s="495"/>
      <c r="G291" s="513">
        <f t="array" ref="G291">SUM(IF("155"&amp;C291=KHN&amp;MH,SL))</f>
        <v>2</v>
      </c>
      <c r="H291" s="513">
        <f t="array" ref="H291">SUM(IF("155"&amp;C291=KHN&amp;MH,TH))</f>
        <v>30505</v>
      </c>
      <c r="I291" s="513">
        <f t="array" ref="I291">SUM(IF("155"&amp;C291=KHC&amp;MH,SL))</f>
        <v>2</v>
      </c>
      <c r="J291" s="513">
        <f t="array" ref="J291">SUM(IF("155"&amp;C291=KHC&amp;MH,TH))</f>
        <v>30505</v>
      </c>
      <c r="K291" s="495">
        <f t="shared" si="33"/>
        <v>0</v>
      </c>
      <c r="L291" s="495">
        <f t="shared" si="34"/>
        <v>0</v>
      </c>
      <c r="M291" s="300"/>
      <c r="N291" s="300"/>
    </row>
    <row r="292" spans="1:14" s="294" customFormat="1" ht="19.5" customHeight="1">
      <c r="A292" s="300" t="str">
        <f t="shared" si="31"/>
        <v>TP</v>
      </c>
      <c r="B292" s="571">
        <f t="shared" si="32"/>
        <v>143</v>
      </c>
      <c r="C292" s="566" t="s">
        <v>719</v>
      </c>
      <c r="D292" s="572" t="s">
        <v>1373</v>
      </c>
      <c r="E292" s="495"/>
      <c r="F292" s="495"/>
      <c r="G292" s="513">
        <f t="array" ref="G292">SUM(IF("155"&amp;C292=KHN&amp;MH,SL))</f>
        <v>722</v>
      </c>
      <c r="H292" s="513">
        <f t="array" ref="H292">SUM(IF("155"&amp;C292=KHN&amp;MH,TH))</f>
        <v>13312169</v>
      </c>
      <c r="I292" s="513">
        <f t="array" ref="I292">SUM(IF("155"&amp;C292=KHC&amp;MH,SL))</f>
        <v>722</v>
      </c>
      <c r="J292" s="513">
        <f t="array" ref="J292">SUM(IF("155"&amp;C292=KHC&amp;MH,TH))</f>
        <v>13312169</v>
      </c>
      <c r="K292" s="495">
        <f t="shared" si="33"/>
        <v>0</v>
      </c>
      <c r="L292" s="495">
        <f t="shared" si="34"/>
        <v>0</v>
      </c>
      <c r="M292" s="300"/>
      <c r="N292" s="300"/>
    </row>
    <row r="293" spans="1:14" s="294" customFormat="1" ht="19.5" customHeight="1">
      <c r="A293" s="300" t="str">
        <f t="shared" si="31"/>
        <v>TP</v>
      </c>
      <c r="B293" s="571">
        <f t="shared" si="32"/>
        <v>144</v>
      </c>
      <c r="C293" s="566" t="s">
        <v>884</v>
      </c>
      <c r="D293" s="572" t="s">
        <v>1373</v>
      </c>
      <c r="E293" s="495"/>
      <c r="F293" s="495"/>
      <c r="G293" s="513">
        <f t="array" ref="G293">SUM(IF("155"&amp;C293=KHN&amp;MH,SL))</f>
        <v>40</v>
      </c>
      <c r="H293" s="513">
        <f t="array" ref="H293">SUM(IF("155"&amp;C293=KHN&amp;MH,TH))</f>
        <v>534481</v>
      </c>
      <c r="I293" s="513">
        <f t="array" ref="I293">SUM(IF("155"&amp;C293=KHC&amp;MH,SL))</f>
        <v>40</v>
      </c>
      <c r="J293" s="513">
        <f t="array" ref="J293">SUM(IF("155"&amp;C293=KHC&amp;MH,TH))</f>
        <v>534481</v>
      </c>
      <c r="K293" s="495">
        <f t="shared" si="33"/>
        <v>0</v>
      </c>
      <c r="L293" s="495">
        <f t="shared" si="34"/>
        <v>0</v>
      </c>
      <c r="M293" s="300"/>
      <c r="N293" s="300"/>
    </row>
    <row r="294" spans="1:14" s="294" customFormat="1" ht="19.5" customHeight="1">
      <c r="A294" s="300" t="str">
        <f t="shared" si="31"/>
        <v>TP</v>
      </c>
      <c r="B294" s="571">
        <f t="shared" si="32"/>
        <v>145</v>
      </c>
      <c r="C294" s="567" t="s">
        <v>1318</v>
      </c>
      <c r="D294" s="572" t="s">
        <v>1373</v>
      </c>
      <c r="E294" s="495"/>
      <c r="F294" s="495"/>
      <c r="G294" s="513">
        <f t="array" ref="G294">SUM(IF("155"&amp;C294=KHN&amp;MH,SL))</f>
        <v>232</v>
      </c>
      <c r="H294" s="513">
        <f t="array" ref="H294">SUM(IF("155"&amp;C294=KHN&amp;MH,TH))</f>
        <v>4115101</v>
      </c>
      <c r="I294" s="513">
        <f t="array" ref="I294">SUM(IF("155"&amp;C294=KHC&amp;MH,SL))</f>
        <v>232</v>
      </c>
      <c r="J294" s="513">
        <f t="array" ref="J294">SUM(IF("155"&amp;C294=KHC&amp;MH,TH))</f>
        <v>4115101</v>
      </c>
      <c r="K294" s="495">
        <f t="shared" si="33"/>
        <v>0</v>
      </c>
      <c r="L294" s="495">
        <f t="shared" si="34"/>
        <v>0</v>
      </c>
      <c r="M294" s="300"/>
      <c r="N294" s="300"/>
    </row>
    <row r="295" spans="1:14" s="294" customFormat="1" ht="19.5" customHeight="1">
      <c r="A295" s="300" t="str">
        <f t="shared" si="31"/>
        <v>TP</v>
      </c>
      <c r="B295" s="571">
        <f t="shared" si="32"/>
        <v>146</v>
      </c>
      <c r="C295" s="567" t="s">
        <v>1308</v>
      </c>
      <c r="D295" s="572" t="s">
        <v>1373</v>
      </c>
      <c r="E295" s="495"/>
      <c r="F295" s="495"/>
      <c r="G295" s="513">
        <f t="array" ref="G295">SUM(IF("155"&amp;C295=KHN&amp;MH,SL))</f>
        <v>379</v>
      </c>
      <c r="H295" s="513">
        <f t="array" ref="H295">SUM(IF("155"&amp;C295=KHN&amp;MH,TH))</f>
        <v>7076880</v>
      </c>
      <c r="I295" s="513">
        <f t="array" ref="I295">SUM(IF("155"&amp;C295=KHC&amp;MH,SL))</f>
        <v>379</v>
      </c>
      <c r="J295" s="513">
        <f t="array" ref="J295">SUM(IF("155"&amp;C295=KHC&amp;MH,TH))</f>
        <v>7076880</v>
      </c>
      <c r="K295" s="495">
        <f t="shared" si="33"/>
        <v>0</v>
      </c>
      <c r="L295" s="495">
        <f t="shared" si="34"/>
        <v>0</v>
      </c>
      <c r="M295" s="300"/>
      <c r="N295" s="300"/>
    </row>
    <row r="296" spans="1:14" s="294" customFormat="1" ht="19.5" customHeight="1">
      <c r="A296" s="300" t="str">
        <f t="shared" si="31"/>
        <v>TP</v>
      </c>
      <c r="B296" s="571">
        <f t="shared" si="32"/>
        <v>147</v>
      </c>
      <c r="C296" s="567" t="s">
        <v>1309</v>
      </c>
      <c r="D296" s="572" t="s">
        <v>1373</v>
      </c>
      <c r="E296" s="495"/>
      <c r="F296" s="495"/>
      <c r="G296" s="513">
        <f t="array" ref="G296">SUM(IF("155"&amp;C296=KHN&amp;MH,SL))</f>
        <v>905</v>
      </c>
      <c r="H296" s="513">
        <f t="array" ref="H296">SUM(IF("155"&amp;C296=KHN&amp;MH,TH))</f>
        <v>16299139</v>
      </c>
      <c r="I296" s="513">
        <f t="array" ref="I296">SUM(IF("155"&amp;C296=KHC&amp;MH,SL))</f>
        <v>905</v>
      </c>
      <c r="J296" s="513">
        <f t="array" ref="J296">SUM(IF("155"&amp;C296=KHC&amp;MH,TH))</f>
        <v>16299139</v>
      </c>
      <c r="K296" s="495">
        <f t="shared" si="33"/>
        <v>0</v>
      </c>
      <c r="L296" s="495">
        <f t="shared" si="34"/>
        <v>0</v>
      </c>
      <c r="M296" s="300"/>
      <c r="N296" s="300"/>
    </row>
    <row r="297" spans="1:14" s="294" customFormat="1" ht="19.5" customHeight="1">
      <c r="A297" s="300" t="str">
        <f t="shared" si="31"/>
        <v>TP</v>
      </c>
      <c r="B297" s="571">
        <f t="shared" si="32"/>
        <v>148</v>
      </c>
      <c r="C297" s="566" t="s">
        <v>841</v>
      </c>
      <c r="D297" s="572" t="s">
        <v>1373</v>
      </c>
      <c r="E297" s="495"/>
      <c r="F297" s="495"/>
      <c r="G297" s="513">
        <f t="array" ref="G297">SUM(IF("155"&amp;C297=KHN&amp;MH,SL))</f>
        <v>51</v>
      </c>
      <c r="H297" s="513">
        <f t="array" ref="H297">SUM(IF("155"&amp;C297=KHN&amp;MH,TH))</f>
        <v>1334235</v>
      </c>
      <c r="I297" s="513">
        <f t="array" ref="I297">SUM(IF("155"&amp;C297=KHC&amp;MH,SL))</f>
        <v>51</v>
      </c>
      <c r="J297" s="513">
        <f t="array" ref="J297">SUM(IF("155"&amp;C297=KHC&amp;MH,TH))</f>
        <v>1334235</v>
      </c>
      <c r="K297" s="495">
        <f t="shared" si="33"/>
        <v>0</v>
      </c>
      <c r="L297" s="495">
        <f t="shared" si="34"/>
        <v>0</v>
      </c>
      <c r="M297" s="300"/>
      <c r="N297" s="300"/>
    </row>
    <row r="298" spans="1:14" s="294" customFormat="1" ht="19.5" customHeight="1">
      <c r="A298" s="300" t="str">
        <f t="shared" si="31"/>
        <v>TP</v>
      </c>
      <c r="B298" s="571">
        <f t="shared" si="32"/>
        <v>149</v>
      </c>
      <c r="C298" s="566" t="s">
        <v>987</v>
      </c>
      <c r="D298" s="572" t="s">
        <v>1373</v>
      </c>
      <c r="E298" s="495"/>
      <c r="F298" s="495"/>
      <c r="G298" s="513">
        <f t="array" ref="G298">SUM(IF("155"&amp;C298=KHN&amp;MH,SL))</f>
        <v>110</v>
      </c>
      <c r="H298" s="513">
        <f t="array" ref="H298">SUM(IF("155"&amp;C298=KHN&amp;MH,TH))</f>
        <v>907324</v>
      </c>
      <c r="I298" s="513">
        <f t="array" ref="I298">SUM(IF("155"&amp;C298=KHC&amp;MH,SL))</f>
        <v>110</v>
      </c>
      <c r="J298" s="513">
        <f t="array" ref="J298">SUM(IF("155"&amp;C298=KHC&amp;MH,TH))</f>
        <v>907324</v>
      </c>
      <c r="K298" s="495">
        <f t="shared" si="33"/>
        <v>0</v>
      </c>
      <c r="L298" s="495">
        <f t="shared" si="34"/>
        <v>0</v>
      </c>
      <c r="M298" s="300"/>
      <c r="N298" s="300"/>
    </row>
    <row r="299" spans="1:14" s="294" customFormat="1" ht="19.5" customHeight="1">
      <c r="A299" s="300" t="str">
        <f t="shared" si="31"/>
        <v>TP</v>
      </c>
      <c r="B299" s="571">
        <f t="shared" si="32"/>
        <v>150</v>
      </c>
      <c r="C299" s="566" t="s">
        <v>986</v>
      </c>
      <c r="D299" s="572" t="s">
        <v>1373</v>
      </c>
      <c r="E299" s="495"/>
      <c r="F299" s="495"/>
      <c r="G299" s="513">
        <f t="array" ref="G299">SUM(IF("155"&amp;C299=KHN&amp;MH,SL))</f>
        <v>290</v>
      </c>
      <c r="H299" s="513">
        <f t="array" ref="H299">SUM(IF("155"&amp;C299=KHN&amp;MH,TH))</f>
        <v>3013721</v>
      </c>
      <c r="I299" s="513">
        <f t="array" ref="I299">SUM(IF("155"&amp;C299=KHC&amp;MH,SL))</f>
        <v>290</v>
      </c>
      <c r="J299" s="513">
        <f t="array" ref="J299">SUM(IF("155"&amp;C299=KHC&amp;MH,TH))</f>
        <v>3013721</v>
      </c>
      <c r="K299" s="495">
        <f t="shared" si="33"/>
        <v>0</v>
      </c>
      <c r="L299" s="495">
        <f t="shared" si="34"/>
        <v>0</v>
      </c>
      <c r="M299" s="300"/>
      <c r="N299" s="300"/>
    </row>
    <row r="300" spans="1:14" s="294" customFormat="1" ht="19.5" customHeight="1">
      <c r="A300" s="300" t="str">
        <f t="shared" si="31"/>
        <v>TP</v>
      </c>
      <c r="B300" s="571">
        <f t="shared" si="32"/>
        <v>151</v>
      </c>
      <c r="C300" s="573" t="s">
        <v>1207</v>
      </c>
      <c r="D300" s="572" t="s">
        <v>1373</v>
      </c>
      <c r="E300" s="495"/>
      <c r="F300" s="495"/>
      <c r="G300" s="513">
        <f t="array" ref="G300">SUM(IF("155"&amp;C300=KHN&amp;MH,SL))</f>
        <v>428</v>
      </c>
      <c r="H300" s="513">
        <f t="array" ref="H300">SUM(IF("155"&amp;C300=KHN&amp;MH,TH))</f>
        <v>5043567</v>
      </c>
      <c r="I300" s="513">
        <f t="array" ref="I300">SUM(IF("155"&amp;C300=KHC&amp;MH,SL))</f>
        <v>428</v>
      </c>
      <c r="J300" s="513">
        <f t="array" ref="J300">SUM(IF("155"&amp;C300=KHC&amp;MH,TH))</f>
        <v>5043567</v>
      </c>
      <c r="K300" s="495">
        <f t="shared" si="33"/>
        <v>0</v>
      </c>
      <c r="L300" s="495">
        <f t="shared" si="34"/>
        <v>0</v>
      </c>
      <c r="M300" s="300"/>
      <c r="N300" s="300"/>
    </row>
    <row r="301" spans="1:14" s="294" customFormat="1" ht="19.5" customHeight="1">
      <c r="A301" s="300" t="str">
        <f t="shared" si="31"/>
        <v>TP</v>
      </c>
      <c r="B301" s="571">
        <f t="shared" si="32"/>
        <v>152</v>
      </c>
      <c r="C301" s="573" t="s">
        <v>1209</v>
      </c>
      <c r="D301" s="572" t="s">
        <v>1373</v>
      </c>
      <c r="E301" s="495"/>
      <c r="F301" s="495"/>
      <c r="G301" s="513">
        <f t="array" ref="G301">SUM(IF("155"&amp;C301=KHN&amp;MH,SL))</f>
        <v>425</v>
      </c>
      <c r="H301" s="513">
        <f t="array" ref="H301">SUM(IF("155"&amp;C301=KHN&amp;MH,TH))</f>
        <v>5300385</v>
      </c>
      <c r="I301" s="513">
        <f t="array" ref="I301">SUM(IF("155"&amp;C301=KHC&amp;MH,SL))</f>
        <v>425</v>
      </c>
      <c r="J301" s="513">
        <f t="array" ref="J301">SUM(IF("155"&amp;C301=KHC&amp;MH,TH))</f>
        <v>5300385</v>
      </c>
      <c r="K301" s="495">
        <f t="shared" si="33"/>
        <v>0</v>
      </c>
      <c r="L301" s="495">
        <f t="shared" si="34"/>
        <v>0</v>
      </c>
      <c r="M301" s="300"/>
      <c r="N301" s="300"/>
    </row>
    <row r="302" spans="1:14" s="294" customFormat="1" ht="19.5" customHeight="1">
      <c r="A302" s="300" t="str">
        <f t="shared" si="31"/>
        <v>TP</v>
      </c>
      <c r="B302" s="571">
        <f t="shared" si="32"/>
        <v>153</v>
      </c>
      <c r="C302" s="567" t="s">
        <v>1253</v>
      </c>
      <c r="D302" s="572" t="s">
        <v>1373</v>
      </c>
      <c r="E302" s="495"/>
      <c r="F302" s="495"/>
      <c r="G302" s="513">
        <f t="array" ref="G302">SUM(IF("155"&amp;C302=KHN&amp;MH,SL))</f>
        <v>8</v>
      </c>
      <c r="H302" s="513">
        <f t="array" ref="H302">SUM(IF("155"&amp;C302=KHN&amp;MH,TH))</f>
        <v>123227</v>
      </c>
      <c r="I302" s="513">
        <f t="array" ref="I302">SUM(IF("155"&amp;C302=KHC&amp;MH,SL))</f>
        <v>8</v>
      </c>
      <c r="J302" s="513">
        <f t="array" ref="J302">SUM(IF("155"&amp;C302=KHC&amp;MH,TH))</f>
        <v>123227</v>
      </c>
      <c r="K302" s="495">
        <f t="shared" si="33"/>
        <v>0</v>
      </c>
      <c r="L302" s="495">
        <f t="shared" si="34"/>
        <v>0</v>
      </c>
      <c r="M302" s="300"/>
      <c r="N302" s="300"/>
    </row>
    <row r="303" spans="1:14" s="294" customFormat="1" ht="19.5" customHeight="1">
      <c r="A303" s="300" t="str">
        <f t="shared" si="31"/>
        <v>TP</v>
      </c>
      <c r="B303" s="571">
        <f t="shared" si="32"/>
        <v>154</v>
      </c>
      <c r="C303" s="566" t="s">
        <v>961</v>
      </c>
      <c r="D303" s="572" t="s">
        <v>1373</v>
      </c>
      <c r="E303" s="495"/>
      <c r="F303" s="495"/>
      <c r="G303" s="513">
        <f t="array" ref="G303">SUM(IF("155"&amp;C303=KHN&amp;MH,SL))</f>
        <v>97</v>
      </c>
      <c r="H303" s="513">
        <f t="array" ref="H303">SUM(IF("155"&amp;C303=KHN&amp;MH,TH))</f>
        <v>1815346</v>
      </c>
      <c r="I303" s="513">
        <f t="array" ref="I303">SUM(IF("155"&amp;C303=KHC&amp;MH,SL))</f>
        <v>97</v>
      </c>
      <c r="J303" s="513">
        <f t="array" ref="J303">SUM(IF("155"&amp;C303=KHC&amp;MH,TH))</f>
        <v>1815346</v>
      </c>
      <c r="K303" s="495">
        <f t="shared" si="33"/>
        <v>0</v>
      </c>
      <c r="L303" s="495">
        <f t="shared" si="34"/>
        <v>0</v>
      </c>
      <c r="M303" s="300"/>
      <c r="N303" s="300"/>
    </row>
    <row r="304" spans="1:14" s="294" customFormat="1" ht="19.5" customHeight="1">
      <c r="A304" s="300" t="str">
        <f t="shared" si="31"/>
        <v>TP</v>
      </c>
      <c r="B304" s="571">
        <f t="shared" si="32"/>
        <v>155</v>
      </c>
      <c r="C304" s="566" t="s">
        <v>860</v>
      </c>
      <c r="D304" s="572" t="s">
        <v>1373</v>
      </c>
      <c r="E304" s="495"/>
      <c r="F304" s="495"/>
      <c r="G304" s="513">
        <f t="array" ref="G304">SUM(IF("155"&amp;C304=KHN&amp;MH,SL))</f>
        <v>47</v>
      </c>
      <c r="H304" s="513">
        <f t="array" ref="H304">SUM(IF("155"&amp;C304=KHN&amp;MH,TH))</f>
        <v>899698</v>
      </c>
      <c r="I304" s="513">
        <f t="array" ref="I304">SUM(IF("155"&amp;C304=KHC&amp;MH,SL))</f>
        <v>47</v>
      </c>
      <c r="J304" s="513">
        <f t="array" ref="J304">SUM(IF("155"&amp;C304=KHC&amp;MH,TH))</f>
        <v>899698</v>
      </c>
      <c r="K304" s="495">
        <f t="shared" si="33"/>
        <v>0</v>
      </c>
      <c r="L304" s="495">
        <f t="shared" si="34"/>
        <v>0</v>
      </c>
      <c r="M304" s="300"/>
      <c r="N304" s="300"/>
    </row>
    <row r="305" spans="1:14" s="294" customFormat="1" ht="19.5" customHeight="1">
      <c r="A305" s="300" t="str">
        <f t="shared" si="31"/>
        <v>TP</v>
      </c>
      <c r="B305" s="571">
        <f t="shared" si="32"/>
        <v>156</v>
      </c>
      <c r="C305" s="566" t="s">
        <v>729</v>
      </c>
      <c r="D305" s="572" t="s">
        <v>1373</v>
      </c>
      <c r="E305" s="495"/>
      <c r="F305" s="495"/>
      <c r="G305" s="513">
        <f t="array" ref="G305">SUM(IF("155"&amp;C305=KHN&amp;MH,SL))</f>
        <v>53</v>
      </c>
      <c r="H305" s="513">
        <f t="array" ref="H305">SUM(IF("155"&amp;C305=KHN&amp;MH,TH))</f>
        <v>727586</v>
      </c>
      <c r="I305" s="513">
        <f t="array" ref="I305">SUM(IF("155"&amp;C305=KHC&amp;MH,SL))</f>
        <v>53</v>
      </c>
      <c r="J305" s="513">
        <f t="array" ref="J305">SUM(IF("155"&amp;C305=KHC&amp;MH,TH))</f>
        <v>727586</v>
      </c>
      <c r="K305" s="495">
        <f t="shared" si="33"/>
        <v>0</v>
      </c>
      <c r="L305" s="495">
        <f t="shared" si="34"/>
        <v>0</v>
      </c>
      <c r="M305" s="300"/>
      <c r="N305" s="300"/>
    </row>
    <row r="306" spans="1:14" s="294" customFormat="1" ht="19.5" customHeight="1">
      <c r="A306" s="300" t="str">
        <f t="shared" si="31"/>
        <v>TP</v>
      </c>
      <c r="B306" s="571">
        <f t="shared" si="32"/>
        <v>157</v>
      </c>
      <c r="C306" s="566" t="s">
        <v>959</v>
      </c>
      <c r="D306" s="572" t="s">
        <v>1373</v>
      </c>
      <c r="E306" s="495"/>
      <c r="F306" s="495"/>
      <c r="G306" s="513">
        <f t="array" ref="G306">SUM(IF("155"&amp;C306=KHN&amp;MH,SL))</f>
        <v>5</v>
      </c>
      <c r="H306" s="513">
        <f t="array" ref="H306">SUM(IF("155"&amp;C306=KHN&amp;MH,TH))</f>
        <v>83037</v>
      </c>
      <c r="I306" s="513">
        <f t="array" ref="I306">SUM(IF("155"&amp;C306=KHC&amp;MH,SL))</f>
        <v>5</v>
      </c>
      <c r="J306" s="513">
        <f t="array" ref="J306">SUM(IF("155"&amp;C306=KHC&amp;MH,TH))</f>
        <v>83037</v>
      </c>
      <c r="K306" s="495">
        <f t="shared" si="33"/>
        <v>0</v>
      </c>
      <c r="L306" s="495">
        <f t="shared" si="34"/>
        <v>0</v>
      </c>
      <c r="M306" s="300"/>
      <c r="N306" s="300"/>
    </row>
    <row r="307" spans="1:14" s="294" customFormat="1" ht="19.5" customHeight="1">
      <c r="A307" s="300" t="str">
        <f t="shared" si="31"/>
        <v>TP</v>
      </c>
      <c r="B307" s="571">
        <f t="shared" si="32"/>
        <v>158</v>
      </c>
      <c r="C307" s="566" t="s">
        <v>859</v>
      </c>
      <c r="D307" s="572" t="s">
        <v>1373</v>
      </c>
      <c r="E307" s="495"/>
      <c r="F307" s="495"/>
      <c r="G307" s="513">
        <f t="array" ref="G307">SUM(IF("155"&amp;C307=KHN&amp;MH,SL))</f>
        <v>17</v>
      </c>
      <c r="H307" s="513">
        <f t="array" ref="H307">SUM(IF("155"&amp;C307=KHN&amp;MH,TH))</f>
        <v>376122</v>
      </c>
      <c r="I307" s="513">
        <f t="array" ref="I307">SUM(IF("155"&amp;C307=KHC&amp;MH,SL))</f>
        <v>17</v>
      </c>
      <c r="J307" s="513">
        <f t="array" ref="J307">SUM(IF("155"&amp;C307=KHC&amp;MH,TH))</f>
        <v>376122</v>
      </c>
      <c r="K307" s="495">
        <f t="shared" si="33"/>
        <v>0</v>
      </c>
      <c r="L307" s="495">
        <f t="shared" si="34"/>
        <v>0</v>
      </c>
      <c r="M307" s="300"/>
      <c r="N307" s="300"/>
    </row>
    <row r="308" spans="1:14" s="294" customFormat="1" ht="19.5" customHeight="1">
      <c r="A308" s="300" t="str">
        <f t="shared" si="31"/>
        <v>TP</v>
      </c>
      <c r="B308" s="571">
        <f t="shared" si="32"/>
        <v>159</v>
      </c>
      <c r="C308" s="566" t="s">
        <v>833</v>
      </c>
      <c r="D308" s="572" t="s">
        <v>1373</v>
      </c>
      <c r="E308" s="495"/>
      <c r="F308" s="495"/>
      <c r="G308" s="513">
        <f t="array" ref="G308">SUM(IF("155"&amp;C308=KHN&amp;MH,SL))</f>
        <v>675</v>
      </c>
      <c r="H308" s="513">
        <f t="array" ref="H308">SUM(IF("155"&amp;C308=KHN&amp;MH,TH))</f>
        <v>16260659</v>
      </c>
      <c r="I308" s="513">
        <f t="array" ref="I308">SUM(IF("155"&amp;C308=KHC&amp;MH,SL))</f>
        <v>675</v>
      </c>
      <c r="J308" s="513">
        <f t="array" ref="J308">SUM(IF("155"&amp;C308=KHC&amp;MH,TH))</f>
        <v>16260659</v>
      </c>
      <c r="K308" s="495">
        <f t="shared" si="33"/>
        <v>0</v>
      </c>
      <c r="L308" s="495">
        <f t="shared" si="34"/>
        <v>0</v>
      </c>
      <c r="M308" s="300"/>
      <c r="N308" s="300"/>
    </row>
    <row r="309" spans="1:14" s="294" customFormat="1" ht="19.5" customHeight="1">
      <c r="A309" s="300" t="str">
        <f t="shared" si="31"/>
        <v>TP</v>
      </c>
      <c r="B309" s="571">
        <f t="shared" si="32"/>
        <v>160</v>
      </c>
      <c r="C309" s="566" t="s">
        <v>886</v>
      </c>
      <c r="D309" s="572" t="s">
        <v>1373</v>
      </c>
      <c r="E309" s="495"/>
      <c r="F309" s="495"/>
      <c r="G309" s="513">
        <f t="array" ref="G309">SUM(IF("155"&amp;C309=KHN&amp;MH,SL))</f>
        <v>9</v>
      </c>
      <c r="H309" s="513">
        <f t="array" ref="H309">SUM(IF("155"&amp;C309=KHN&amp;MH,TH))</f>
        <v>169079</v>
      </c>
      <c r="I309" s="513">
        <f t="array" ref="I309">SUM(IF("155"&amp;C309=KHC&amp;MH,SL))</f>
        <v>9</v>
      </c>
      <c r="J309" s="513">
        <f t="array" ref="J309">SUM(IF("155"&amp;C309=KHC&amp;MH,TH))</f>
        <v>169079</v>
      </c>
      <c r="K309" s="495">
        <f t="shared" si="33"/>
        <v>0</v>
      </c>
      <c r="L309" s="495">
        <f t="shared" si="34"/>
        <v>0</v>
      </c>
      <c r="M309" s="300"/>
      <c r="N309" s="300"/>
    </row>
    <row r="310" spans="1:14" s="294" customFormat="1" ht="19.5" customHeight="1">
      <c r="A310" s="300" t="str">
        <f t="shared" si="31"/>
        <v>TP</v>
      </c>
      <c r="B310" s="571">
        <f t="shared" si="32"/>
        <v>161</v>
      </c>
      <c r="C310" s="567" t="s">
        <v>1310</v>
      </c>
      <c r="D310" s="572" t="s">
        <v>1373</v>
      </c>
      <c r="E310" s="495"/>
      <c r="F310" s="495"/>
      <c r="G310" s="513">
        <f t="array" ref="G310">SUM(IF("155"&amp;C310=KHN&amp;MH,SL))</f>
        <v>72</v>
      </c>
      <c r="H310" s="513">
        <f t="array" ref="H310">SUM(IF("155"&amp;C310=KHN&amp;MH,TH))</f>
        <v>1062252</v>
      </c>
      <c r="I310" s="513">
        <f t="array" ref="I310">SUM(IF("155"&amp;C310=KHC&amp;MH,SL))</f>
        <v>72</v>
      </c>
      <c r="J310" s="513">
        <f t="array" ref="J310">SUM(IF("155"&amp;C310=KHC&amp;MH,TH))</f>
        <v>1062252</v>
      </c>
      <c r="K310" s="495">
        <f t="shared" si="33"/>
        <v>0</v>
      </c>
      <c r="L310" s="495">
        <f t="shared" si="34"/>
        <v>0</v>
      </c>
      <c r="M310" s="300"/>
      <c r="N310" s="300"/>
    </row>
    <row r="311" spans="1:14" s="294" customFormat="1" ht="19.5" customHeight="1">
      <c r="A311" s="300" t="str">
        <f t="shared" si="31"/>
        <v>TP</v>
      </c>
      <c r="B311" s="571">
        <f t="shared" si="32"/>
        <v>162</v>
      </c>
      <c r="C311" s="566" t="s">
        <v>735</v>
      </c>
      <c r="D311" s="572" t="s">
        <v>1373</v>
      </c>
      <c r="E311" s="495"/>
      <c r="F311" s="495"/>
      <c r="G311" s="513">
        <f t="array" ref="G311">SUM(IF("155"&amp;C311=KHN&amp;MH,SL))</f>
        <v>66</v>
      </c>
      <c r="H311" s="513">
        <f t="array" ref="H311">SUM(IF("155"&amp;C311=KHN&amp;MH,TH))</f>
        <v>932349</v>
      </c>
      <c r="I311" s="513">
        <f t="array" ref="I311">SUM(IF("155"&amp;C311=KHC&amp;MH,SL))</f>
        <v>66</v>
      </c>
      <c r="J311" s="513">
        <f t="array" ref="J311">SUM(IF("155"&amp;C311=KHC&amp;MH,TH))</f>
        <v>932349</v>
      </c>
      <c r="K311" s="495">
        <f t="shared" si="33"/>
        <v>0</v>
      </c>
      <c r="L311" s="495">
        <f t="shared" si="34"/>
        <v>0</v>
      </c>
      <c r="M311" s="300"/>
      <c r="N311" s="300"/>
    </row>
    <row r="312" spans="1:14" s="294" customFormat="1" ht="19.5" customHeight="1">
      <c r="A312" s="300" t="str">
        <f t="shared" si="31"/>
        <v>TP</v>
      </c>
      <c r="B312" s="571">
        <f t="shared" si="32"/>
        <v>163</v>
      </c>
      <c r="C312" s="567" t="s">
        <v>1331</v>
      </c>
      <c r="D312" s="572" t="s">
        <v>1373</v>
      </c>
      <c r="E312" s="495"/>
      <c r="F312" s="495"/>
      <c r="G312" s="513">
        <f t="array" ref="G312">SUM(IF("155"&amp;C312=KHN&amp;MH,SL))</f>
        <v>106</v>
      </c>
      <c r="H312" s="513">
        <f t="array" ref="H312">SUM(IF("155"&amp;C312=KHN&amp;MH,TH))</f>
        <v>1900527</v>
      </c>
      <c r="I312" s="513">
        <f t="array" ref="I312">SUM(IF("155"&amp;C312=KHC&amp;MH,SL))</f>
        <v>106</v>
      </c>
      <c r="J312" s="513">
        <f t="array" ref="J312">SUM(IF("155"&amp;C312=KHC&amp;MH,TH))</f>
        <v>1900527</v>
      </c>
      <c r="K312" s="495">
        <f t="shared" si="33"/>
        <v>0</v>
      </c>
      <c r="L312" s="495">
        <f t="shared" si="34"/>
        <v>0</v>
      </c>
      <c r="M312" s="300"/>
      <c r="N312" s="300"/>
    </row>
    <row r="313" spans="1:14" s="294" customFormat="1" ht="19.5" customHeight="1">
      <c r="A313" s="300" t="str">
        <f t="shared" si="31"/>
        <v>TP</v>
      </c>
      <c r="B313" s="571">
        <f t="shared" si="32"/>
        <v>164</v>
      </c>
      <c r="C313" s="573" t="s">
        <v>1213</v>
      </c>
      <c r="D313" s="572" t="s">
        <v>1373</v>
      </c>
      <c r="E313" s="495"/>
      <c r="F313" s="495"/>
      <c r="G313" s="513">
        <f t="array" ref="G313">SUM(IF("155"&amp;C313=KHN&amp;MH,SL))</f>
        <v>130</v>
      </c>
      <c r="H313" s="513">
        <f t="array" ref="H313">SUM(IF("155"&amp;C313=KHN&amp;MH,TH))</f>
        <v>2009085</v>
      </c>
      <c r="I313" s="513">
        <f t="array" ref="I313">SUM(IF("155"&amp;C313=KHC&amp;MH,SL))</f>
        <v>130</v>
      </c>
      <c r="J313" s="513">
        <f t="array" ref="J313">SUM(IF("155"&amp;C313=KHC&amp;MH,TH))</f>
        <v>2009085</v>
      </c>
      <c r="K313" s="495">
        <f t="shared" si="33"/>
        <v>0</v>
      </c>
      <c r="L313" s="495">
        <f t="shared" si="34"/>
        <v>0</v>
      </c>
      <c r="M313" s="300"/>
      <c r="N313" s="300"/>
    </row>
    <row r="314" spans="1:14" s="294" customFormat="1" ht="19.5" customHeight="1">
      <c r="A314" s="300" t="str">
        <f t="shared" si="31"/>
        <v>TP</v>
      </c>
      <c r="B314" s="571">
        <f t="shared" si="32"/>
        <v>165</v>
      </c>
      <c r="C314" s="567" t="s">
        <v>1248</v>
      </c>
      <c r="D314" s="572" t="s">
        <v>1373</v>
      </c>
      <c r="E314" s="495"/>
      <c r="F314" s="495"/>
      <c r="G314" s="513">
        <f t="array" ref="G314">SUM(IF("155"&amp;C314=KHN&amp;MH,SL))</f>
        <v>104</v>
      </c>
      <c r="H314" s="513">
        <f t="array" ref="H314">SUM(IF("155"&amp;C314=KHN&amp;MH,TH))</f>
        <v>1902347</v>
      </c>
      <c r="I314" s="513">
        <f t="array" ref="I314">SUM(IF("155"&amp;C314=KHC&amp;MH,SL))</f>
        <v>104</v>
      </c>
      <c r="J314" s="513">
        <f t="array" ref="J314">SUM(IF("155"&amp;C314=KHC&amp;MH,TH))</f>
        <v>1902347</v>
      </c>
      <c r="K314" s="495">
        <f t="shared" si="33"/>
        <v>0</v>
      </c>
      <c r="L314" s="495">
        <f t="shared" si="34"/>
        <v>0</v>
      </c>
      <c r="M314" s="300"/>
      <c r="N314" s="300"/>
    </row>
    <row r="315" spans="1:14" s="294" customFormat="1" ht="19.5" customHeight="1">
      <c r="A315" s="300" t="str">
        <f t="shared" si="31"/>
        <v>TP</v>
      </c>
      <c r="B315" s="571">
        <f t="shared" si="32"/>
        <v>166</v>
      </c>
      <c r="C315" s="573" t="s">
        <v>1206</v>
      </c>
      <c r="D315" s="572" t="s">
        <v>1373</v>
      </c>
      <c r="E315" s="495"/>
      <c r="F315" s="495"/>
      <c r="G315" s="513">
        <f t="array" ref="G315">SUM(IF("155"&amp;C315=KHN&amp;MH,SL))</f>
        <v>449</v>
      </c>
      <c r="H315" s="513">
        <f t="array" ref="H315">SUM(IF("155"&amp;C315=KHN&amp;MH,TH))</f>
        <v>6964546</v>
      </c>
      <c r="I315" s="513">
        <f t="array" ref="I315">SUM(IF("155"&amp;C315=KHC&amp;MH,SL))</f>
        <v>449</v>
      </c>
      <c r="J315" s="513">
        <f t="array" ref="J315">SUM(IF("155"&amp;C315=KHC&amp;MH,TH))</f>
        <v>6964546</v>
      </c>
      <c r="K315" s="495">
        <f t="shared" si="33"/>
        <v>0</v>
      </c>
      <c r="L315" s="495">
        <f t="shared" si="34"/>
        <v>0</v>
      </c>
      <c r="M315" s="300"/>
      <c r="N315" s="300"/>
    </row>
    <row r="316" spans="1:14" s="294" customFormat="1" ht="19.5" customHeight="1">
      <c r="A316" s="300" t="str">
        <f t="shared" si="31"/>
        <v>TP</v>
      </c>
      <c r="B316" s="571">
        <f t="shared" si="32"/>
        <v>167</v>
      </c>
      <c r="C316" s="567" t="s">
        <v>1311</v>
      </c>
      <c r="D316" s="572" t="s">
        <v>1373</v>
      </c>
      <c r="E316" s="495"/>
      <c r="F316" s="495"/>
      <c r="G316" s="513">
        <f t="array" ref="G316">SUM(IF("155"&amp;C316=KHN&amp;MH,SL))</f>
        <v>52</v>
      </c>
      <c r="H316" s="513">
        <f t="array" ref="H316">SUM(IF("155"&amp;C316=KHN&amp;MH,TH))</f>
        <v>767181</v>
      </c>
      <c r="I316" s="513">
        <f t="array" ref="I316">SUM(IF("155"&amp;C316=KHC&amp;MH,SL))</f>
        <v>52</v>
      </c>
      <c r="J316" s="513">
        <f t="array" ref="J316">SUM(IF("155"&amp;C316=KHC&amp;MH,TH))</f>
        <v>767181</v>
      </c>
      <c r="K316" s="495">
        <f t="shared" si="33"/>
        <v>0</v>
      </c>
      <c r="L316" s="495">
        <f t="shared" si="34"/>
        <v>0</v>
      </c>
      <c r="M316" s="300"/>
      <c r="N316" s="300"/>
    </row>
    <row r="317" spans="1:14" s="294" customFormat="1" ht="19.5" customHeight="1">
      <c r="A317" s="300" t="str">
        <f t="shared" si="31"/>
        <v>TP</v>
      </c>
      <c r="B317" s="571">
        <f t="shared" si="32"/>
        <v>168</v>
      </c>
      <c r="C317" s="567" t="s">
        <v>1312</v>
      </c>
      <c r="D317" s="572" t="s">
        <v>1373</v>
      </c>
      <c r="E317" s="495"/>
      <c r="F317" s="495"/>
      <c r="G317" s="513">
        <f t="array" ref="G317">SUM(IF("155"&amp;C317=KHN&amp;MH,SL))</f>
        <v>51</v>
      </c>
      <c r="H317" s="513">
        <f t="array" ref="H317">SUM(IF("155"&amp;C317=KHN&amp;MH,TH))</f>
        <v>752428</v>
      </c>
      <c r="I317" s="513">
        <f t="array" ref="I317">SUM(IF("155"&amp;C317=KHC&amp;MH,SL))</f>
        <v>51</v>
      </c>
      <c r="J317" s="513">
        <f t="array" ref="J317">SUM(IF("155"&amp;C317=KHC&amp;MH,TH))</f>
        <v>752428</v>
      </c>
      <c r="K317" s="495">
        <f t="shared" si="33"/>
        <v>0</v>
      </c>
      <c r="L317" s="495">
        <f t="shared" si="34"/>
        <v>0</v>
      </c>
      <c r="M317" s="300"/>
      <c r="N317" s="300"/>
    </row>
    <row r="318" spans="1:14" s="294" customFormat="1" ht="19.5" customHeight="1">
      <c r="A318" s="300" t="str">
        <f t="shared" si="31"/>
        <v>TP</v>
      </c>
      <c r="B318" s="571">
        <f t="shared" si="32"/>
        <v>169</v>
      </c>
      <c r="C318" s="566" t="s">
        <v>726</v>
      </c>
      <c r="D318" s="572" t="s">
        <v>1373</v>
      </c>
      <c r="E318" s="495"/>
      <c r="F318" s="495"/>
      <c r="G318" s="513">
        <f t="array" ref="G318">SUM(IF("155"&amp;C318=KHN&amp;MH,SL))</f>
        <v>806</v>
      </c>
      <c r="H318" s="513">
        <f t="array" ref="H318">SUM(IF("155"&amp;C318=KHN&amp;MH,TH))</f>
        <v>10272999</v>
      </c>
      <c r="I318" s="513">
        <f t="array" ref="I318">SUM(IF("155"&amp;C318=KHC&amp;MH,SL))</f>
        <v>806</v>
      </c>
      <c r="J318" s="513">
        <f t="array" ref="J318">SUM(IF("155"&amp;C318=KHC&amp;MH,TH))</f>
        <v>10272999</v>
      </c>
      <c r="K318" s="495">
        <f t="shared" si="33"/>
        <v>0</v>
      </c>
      <c r="L318" s="495">
        <f t="shared" si="34"/>
        <v>0</v>
      </c>
      <c r="M318" s="300"/>
      <c r="N318" s="300"/>
    </row>
    <row r="319" spans="1:14" s="294" customFormat="1" ht="19.5" customHeight="1">
      <c r="A319" s="300" t="str">
        <f t="shared" si="31"/>
        <v>TP</v>
      </c>
      <c r="B319" s="571">
        <f t="shared" si="32"/>
        <v>170</v>
      </c>
      <c r="C319" s="566" t="s">
        <v>728</v>
      </c>
      <c r="D319" s="572" t="s">
        <v>1373</v>
      </c>
      <c r="E319" s="495"/>
      <c r="F319" s="495"/>
      <c r="G319" s="513">
        <f t="array" ref="G319">SUM(IF("155"&amp;C319=KHN&amp;MH,SL))</f>
        <v>199</v>
      </c>
      <c r="H319" s="513">
        <f t="array" ref="H319">SUM(IF("155"&amp;C319=KHN&amp;MH,TH))</f>
        <v>2484742</v>
      </c>
      <c r="I319" s="513">
        <f t="array" ref="I319">SUM(IF("155"&amp;C319=KHC&amp;MH,SL))</f>
        <v>199</v>
      </c>
      <c r="J319" s="513">
        <f t="array" ref="J319">SUM(IF("155"&amp;C319=KHC&amp;MH,TH))</f>
        <v>2484742</v>
      </c>
      <c r="K319" s="495">
        <f t="shared" si="33"/>
        <v>0</v>
      </c>
      <c r="L319" s="495">
        <f t="shared" si="34"/>
        <v>0</v>
      </c>
      <c r="M319" s="300"/>
      <c r="N319" s="300"/>
    </row>
    <row r="320" spans="1:14" s="294" customFormat="1" ht="19.5" customHeight="1">
      <c r="A320" s="300" t="str">
        <f t="shared" si="31"/>
        <v>TP</v>
      </c>
      <c r="B320" s="571">
        <f t="shared" si="32"/>
        <v>171</v>
      </c>
      <c r="C320" s="566" t="s">
        <v>889</v>
      </c>
      <c r="D320" s="572" t="s">
        <v>1373</v>
      </c>
      <c r="E320" s="495"/>
      <c r="F320" s="495"/>
      <c r="G320" s="513">
        <f t="array" ref="G320">SUM(IF("155"&amp;C320=KHN&amp;MH,SL))</f>
        <v>61</v>
      </c>
      <c r="H320" s="513">
        <f t="array" ref="H320">SUM(IF("155"&amp;C320=KHN&amp;MH,TH))</f>
        <v>1212562</v>
      </c>
      <c r="I320" s="513">
        <f t="array" ref="I320">SUM(IF("155"&amp;C320=KHC&amp;MH,SL))</f>
        <v>61</v>
      </c>
      <c r="J320" s="513">
        <f t="array" ref="J320">SUM(IF("155"&amp;C320=KHC&amp;MH,TH))</f>
        <v>1212562</v>
      </c>
      <c r="K320" s="495">
        <f t="shared" si="33"/>
        <v>0</v>
      </c>
      <c r="L320" s="495">
        <f t="shared" si="34"/>
        <v>0</v>
      </c>
      <c r="M320" s="300"/>
      <c r="N320" s="300"/>
    </row>
    <row r="321" spans="1:14" s="294" customFormat="1" ht="19.5" customHeight="1">
      <c r="A321" s="300" t="str">
        <f t="shared" si="31"/>
        <v>TP</v>
      </c>
      <c r="B321" s="571">
        <f t="shared" si="32"/>
        <v>172</v>
      </c>
      <c r="C321" s="566" t="s">
        <v>885</v>
      </c>
      <c r="D321" s="572" t="s">
        <v>1373</v>
      </c>
      <c r="E321" s="495"/>
      <c r="F321" s="495"/>
      <c r="G321" s="513">
        <f t="array" ref="G321">SUM(IF("155"&amp;C321=KHN&amp;MH,SL))</f>
        <v>207</v>
      </c>
      <c r="H321" s="513">
        <f t="array" ref="H321">SUM(IF("155"&amp;C321=KHN&amp;MH,TH))</f>
        <v>4792429</v>
      </c>
      <c r="I321" s="513">
        <f t="array" ref="I321">SUM(IF("155"&amp;C321=KHC&amp;MH,SL))</f>
        <v>207</v>
      </c>
      <c r="J321" s="513">
        <f t="array" ref="J321">SUM(IF("155"&amp;C321=KHC&amp;MH,TH))</f>
        <v>4792429</v>
      </c>
      <c r="K321" s="495">
        <f t="shared" si="33"/>
        <v>0</v>
      </c>
      <c r="L321" s="495">
        <f t="shared" si="34"/>
        <v>0</v>
      </c>
      <c r="M321" s="300"/>
      <c r="N321" s="300"/>
    </row>
    <row r="322" spans="1:14" s="294" customFormat="1" ht="19.5" customHeight="1">
      <c r="A322" s="300" t="str">
        <f t="shared" si="31"/>
        <v>TP</v>
      </c>
      <c r="B322" s="571">
        <f t="shared" si="32"/>
        <v>173</v>
      </c>
      <c r="C322" s="566" t="s">
        <v>887</v>
      </c>
      <c r="D322" s="572" t="s">
        <v>1373</v>
      </c>
      <c r="E322" s="495"/>
      <c r="F322" s="495"/>
      <c r="G322" s="513">
        <f t="array" ref="G322">SUM(IF("155"&amp;C322=KHN&amp;MH,SL))</f>
        <v>3</v>
      </c>
      <c r="H322" s="513">
        <f t="array" ref="H322">SUM(IF("155"&amp;C322=KHN&amp;MH,TH))</f>
        <v>57428</v>
      </c>
      <c r="I322" s="513">
        <f t="array" ref="I322">SUM(IF("155"&amp;C322=KHC&amp;MH,SL))</f>
        <v>3</v>
      </c>
      <c r="J322" s="513">
        <f t="array" ref="J322">SUM(IF("155"&amp;C322=KHC&amp;MH,TH))</f>
        <v>57428</v>
      </c>
      <c r="K322" s="495">
        <f t="shared" si="33"/>
        <v>0</v>
      </c>
      <c r="L322" s="495">
        <f t="shared" si="34"/>
        <v>0</v>
      </c>
      <c r="M322" s="300"/>
      <c r="N322" s="300"/>
    </row>
    <row r="323" spans="1:14" s="294" customFormat="1" ht="19.5" customHeight="1">
      <c r="A323" s="300" t="str">
        <f t="shared" si="31"/>
        <v>TP</v>
      </c>
      <c r="B323" s="571">
        <f t="shared" si="32"/>
        <v>174</v>
      </c>
      <c r="C323" s="566" t="s">
        <v>843</v>
      </c>
      <c r="D323" s="572" t="s">
        <v>1373</v>
      </c>
      <c r="E323" s="495"/>
      <c r="F323" s="495"/>
      <c r="G323" s="513">
        <f t="array" ref="G323">SUM(IF("155"&amp;C323=KHN&amp;MH,SL))</f>
        <v>414</v>
      </c>
      <c r="H323" s="513">
        <f t="array" ref="H323">SUM(IF("155"&amp;C323=KHN&amp;MH,TH))</f>
        <v>10382782</v>
      </c>
      <c r="I323" s="513">
        <f t="array" ref="I323">SUM(IF("155"&amp;C323=KHC&amp;MH,SL))</f>
        <v>414</v>
      </c>
      <c r="J323" s="513">
        <f t="array" ref="J323">SUM(IF("155"&amp;C323=KHC&amp;MH,TH))</f>
        <v>10382782</v>
      </c>
      <c r="K323" s="495">
        <f t="shared" si="33"/>
        <v>0</v>
      </c>
      <c r="L323" s="495">
        <f t="shared" si="34"/>
        <v>0</v>
      </c>
      <c r="M323" s="300"/>
      <c r="N323" s="300"/>
    </row>
    <row r="324" spans="1:14" s="294" customFormat="1" ht="19.5" customHeight="1">
      <c r="A324" s="300" t="str">
        <f t="shared" si="31"/>
        <v>TP</v>
      </c>
      <c r="B324" s="571">
        <f t="shared" si="32"/>
        <v>175</v>
      </c>
      <c r="C324" s="567" t="s">
        <v>1313</v>
      </c>
      <c r="D324" s="572" t="s">
        <v>1373</v>
      </c>
      <c r="E324" s="495"/>
      <c r="F324" s="495"/>
      <c r="G324" s="513">
        <f t="array" ref="G324">SUM(IF("155"&amp;C324=KHN&amp;MH,SL))</f>
        <v>51</v>
      </c>
      <c r="H324" s="513">
        <f t="array" ref="H324">SUM(IF("155"&amp;C324=KHN&amp;MH,TH))</f>
        <v>904612</v>
      </c>
      <c r="I324" s="513">
        <f t="array" ref="I324">SUM(IF("155"&amp;C324=KHC&amp;MH,SL))</f>
        <v>51</v>
      </c>
      <c r="J324" s="513">
        <f t="array" ref="J324">SUM(IF("155"&amp;C324=KHC&amp;MH,TH))</f>
        <v>904612</v>
      </c>
      <c r="K324" s="495">
        <f t="shared" si="33"/>
        <v>0</v>
      </c>
      <c r="L324" s="495">
        <f t="shared" si="34"/>
        <v>0</v>
      </c>
      <c r="M324" s="300"/>
      <c r="N324" s="300"/>
    </row>
    <row r="325" spans="1:14" s="294" customFormat="1" ht="19.5" customHeight="1">
      <c r="A325" s="300" t="str">
        <f t="shared" si="31"/>
        <v>TP</v>
      </c>
      <c r="B325" s="571">
        <f t="shared" si="32"/>
        <v>176</v>
      </c>
      <c r="C325" s="567" t="s">
        <v>1314</v>
      </c>
      <c r="D325" s="572" t="s">
        <v>1373</v>
      </c>
      <c r="E325" s="495"/>
      <c r="F325" s="495"/>
      <c r="G325" s="513">
        <f t="array" ref="G325">SUM(IF("155"&amp;C325=KHN&amp;MH,SL))</f>
        <v>57</v>
      </c>
      <c r="H325" s="513">
        <f t="array" ref="H325">SUM(IF("155"&amp;C325=KHN&amp;MH,TH))</f>
        <v>1011037</v>
      </c>
      <c r="I325" s="513">
        <f t="array" ref="I325">SUM(IF("155"&amp;C325=KHC&amp;MH,SL))</f>
        <v>57</v>
      </c>
      <c r="J325" s="513">
        <f t="array" ref="J325">SUM(IF("155"&amp;C325=KHC&amp;MH,TH))</f>
        <v>1011037</v>
      </c>
      <c r="K325" s="495">
        <f t="shared" si="33"/>
        <v>0</v>
      </c>
      <c r="L325" s="495">
        <f t="shared" si="34"/>
        <v>0</v>
      </c>
      <c r="M325" s="300"/>
      <c r="N325" s="300"/>
    </row>
    <row r="326" spans="1:14" s="294" customFormat="1" ht="19.5" customHeight="1">
      <c r="A326" s="300" t="str">
        <f t="shared" si="31"/>
        <v>TP</v>
      </c>
      <c r="B326" s="571">
        <f t="shared" si="32"/>
        <v>177</v>
      </c>
      <c r="C326" s="573" t="s">
        <v>1201</v>
      </c>
      <c r="D326" s="572" t="s">
        <v>1373</v>
      </c>
      <c r="E326" s="495"/>
      <c r="F326" s="495"/>
      <c r="G326" s="513">
        <f t="array" ref="G326">SUM(IF("155"&amp;C326=KHN&amp;MH,SL))</f>
        <v>308</v>
      </c>
      <c r="H326" s="513">
        <f t="array" ref="H326">SUM(IF("155"&amp;C326=KHN&amp;MH,TH))</f>
        <v>4741042</v>
      </c>
      <c r="I326" s="513">
        <f t="array" ref="I326">SUM(IF("155"&amp;C326=KHC&amp;MH,SL))</f>
        <v>308</v>
      </c>
      <c r="J326" s="513">
        <f t="array" ref="J326">SUM(IF("155"&amp;C326=KHC&amp;MH,TH))</f>
        <v>4741042</v>
      </c>
      <c r="K326" s="495">
        <f t="shared" si="33"/>
        <v>0</v>
      </c>
      <c r="L326" s="495">
        <f t="shared" si="34"/>
        <v>0</v>
      </c>
      <c r="M326" s="300"/>
      <c r="N326" s="300"/>
    </row>
    <row r="327" spans="1:14" s="294" customFormat="1" ht="19.5" customHeight="1">
      <c r="A327" s="300" t="str">
        <f t="shared" si="31"/>
        <v>TP</v>
      </c>
      <c r="B327" s="571">
        <f t="shared" si="32"/>
        <v>178</v>
      </c>
      <c r="C327" s="567" t="s">
        <v>1281</v>
      </c>
      <c r="D327" s="572" t="s">
        <v>1373</v>
      </c>
      <c r="E327" s="495"/>
      <c r="F327" s="495"/>
      <c r="G327" s="513">
        <f t="array" ref="G327">SUM(IF("155"&amp;C327=KHN&amp;MH,SL))</f>
        <v>442</v>
      </c>
      <c r="H327" s="513">
        <f t="array" ref="H327">SUM(IF("155"&amp;C327=KHN&amp;MH,TH))</f>
        <v>676267</v>
      </c>
      <c r="I327" s="513">
        <f t="array" ref="I327">SUM(IF("155"&amp;C327=KHC&amp;MH,SL))</f>
        <v>442</v>
      </c>
      <c r="J327" s="513">
        <f t="array" ref="J327">SUM(IF("155"&amp;C327=KHC&amp;MH,TH))</f>
        <v>676267</v>
      </c>
      <c r="K327" s="495">
        <f t="shared" si="33"/>
        <v>0</v>
      </c>
      <c r="L327" s="495">
        <f t="shared" si="34"/>
        <v>0</v>
      </c>
      <c r="M327" s="300"/>
      <c r="N327" s="300"/>
    </row>
    <row r="328" spans="1:14" s="294" customFormat="1" ht="19.5" customHeight="1">
      <c r="A328" s="300" t="str">
        <f t="shared" si="31"/>
        <v>TP</v>
      </c>
      <c r="B328" s="571">
        <f t="shared" si="32"/>
        <v>179</v>
      </c>
      <c r="C328" s="567" t="s">
        <v>1284</v>
      </c>
      <c r="D328" s="572" t="s">
        <v>1373</v>
      </c>
      <c r="E328" s="495"/>
      <c r="F328" s="495"/>
      <c r="G328" s="513">
        <f t="array" ref="G328">SUM(IF("155"&amp;C328=KHN&amp;MH,SL))</f>
        <v>442</v>
      </c>
      <c r="H328" s="513">
        <f t="array" ref="H328">SUM(IF("155"&amp;C328=KHN&amp;MH,TH))</f>
        <v>640675</v>
      </c>
      <c r="I328" s="513">
        <f t="array" ref="I328">SUM(IF("155"&amp;C328=KHC&amp;MH,SL))</f>
        <v>442</v>
      </c>
      <c r="J328" s="513">
        <f t="array" ref="J328">SUM(IF("155"&amp;C328=KHC&amp;MH,TH))</f>
        <v>640675</v>
      </c>
      <c r="K328" s="495">
        <f t="shared" si="33"/>
        <v>0</v>
      </c>
      <c r="L328" s="495">
        <f t="shared" si="34"/>
        <v>0</v>
      </c>
      <c r="M328" s="300"/>
      <c r="N328" s="300"/>
    </row>
    <row r="329" spans="1:14" s="294" customFormat="1" ht="19.5" customHeight="1">
      <c r="A329" s="300" t="str">
        <f t="shared" si="31"/>
        <v>TP</v>
      </c>
      <c r="B329" s="571">
        <f t="shared" si="32"/>
        <v>180</v>
      </c>
      <c r="C329" s="567" t="s">
        <v>1283</v>
      </c>
      <c r="D329" s="572" t="s">
        <v>1373</v>
      </c>
      <c r="E329" s="495"/>
      <c r="F329" s="495"/>
      <c r="G329" s="513">
        <f t="array" ref="G329">SUM(IF("155"&amp;C329=KHN&amp;MH,SL))</f>
        <v>242</v>
      </c>
      <c r="H329" s="513">
        <f t="array" ref="H329">SUM(IF("155"&amp;C329=KHN&amp;MH,TH))</f>
        <v>372075</v>
      </c>
      <c r="I329" s="513">
        <f t="array" ref="I329">SUM(IF("155"&amp;C329=KHC&amp;MH,SL))</f>
        <v>242</v>
      </c>
      <c r="J329" s="513">
        <f t="array" ref="J329">SUM(IF("155"&amp;C329=KHC&amp;MH,TH))</f>
        <v>372075</v>
      </c>
      <c r="K329" s="495">
        <f t="shared" si="33"/>
        <v>0</v>
      </c>
      <c r="L329" s="495">
        <f t="shared" si="34"/>
        <v>0</v>
      </c>
      <c r="M329" s="300"/>
      <c r="N329" s="300"/>
    </row>
    <row r="330" spans="1:14" s="294" customFormat="1" ht="19.5" customHeight="1">
      <c r="A330" s="300" t="str">
        <f t="shared" si="31"/>
        <v>TP</v>
      </c>
      <c r="B330" s="571">
        <f t="shared" si="32"/>
        <v>181</v>
      </c>
      <c r="C330" s="566" t="s">
        <v>973</v>
      </c>
      <c r="D330" s="572" t="s">
        <v>1373</v>
      </c>
      <c r="E330" s="495"/>
      <c r="F330" s="495"/>
      <c r="G330" s="513">
        <f t="array" ref="G330">SUM(IF("155"&amp;C330=KHN&amp;MH,SL))</f>
        <v>281</v>
      </c>
      <c r="H330" s="513">
        <f t="array" ref="H330">SUM(IF("155"&amp;C330=KHN&amp;MH,TH))</f>
        <v>2458354</v>
      </c>
      <c r="I330" s="513">
        <f t="array" ref="I330">SUM(IF("155"&amp;C330=KHC&amp;MH,SL))</f>
        <v>281</v>
      </c>
      <c r="J330" s="513">
        <f t="array" ref="J330">SUM(IF("155"&amp;C330=KHC&amp;MH,TH))</f>
        <v>2458354</v>
      </c>
      <c r="K330" s="495">
        <f t="shared" si="33"/>
        <v>0</v>
      </c>
      <c r="L330" s="495">
        <f t="shared" si="34"/>
        <v>0</v>
      </c>
      <c r="M330" s="300"/>
      <c r="N330" s="300"/>
    </row>
    <row r="331" spans="1:14" s="294" customFormat="1" ht="19.5" customHeight="1">
      <c r="A331" s="300" t="str">
        <f t="shared" si="31"/>
        <v>TP</v>
      </c>
      <c r="B331" s="571">
        <f t="shared" si="32"/>
        <v>182</v>
      </c>
      <c r="C331" s="566" t="s">
        <v>972</v>
      </c>
      <c r="D331" s="572" t="s">
        <v>1373</v>
      </c>
      <c r="E331" s="495"/>
      <c r="F331" s="495"/>
      <c r="G331" s="513">
        <f t="array" ref="G331">SUM(IF("155"&amp;C331=KHN&amp;MH,SL))</f>
        <v>214</v>
      </c>
      <c r="H331" s="513">
        <f t="array" ref="H331">SUM(IF("155"&amp;C331=KHN&amp;MH,TH))</f>
        <v>1582401</v>
      </c>
      <c r="I331" s="513">
        <f t="array" ref="I331">SUM(IF("155"&amp;C331=KHC&amp;MH,SL))</f>
        <v>214</v>
      </c>
      <c r="J331" s="513">
        <f t="array" ref="J331">SUM(IF("155"&amp;C331=KHC&amp;MH,TH))</f>
        <v>1582401</v>
      </c>
      <c r="K331" s="495">
        <f t="shared" si="33"/>
        <v>0</v>
      </c>
      <c r="L331" s="495">
        <f t="shared" si="34"/>
        <v>0</v>
      </c>
      <c r="M331" s="300"/>
      <c r="N331" s="300"/>
    </row>
    <row r="332" spans="1:14" s="294" customFormat="1" ht="19.5" customHeight="1">
      <c r="A332" s="300" t="str">
        <f t="shared" si="31"/>
        <v>TP</v>
      </c>
      <c r="B332" s="571">
        <f t="shared" si="32"/>
        <v>183</v>
      </c>
      <c r="C332" s="566" t="s">
        <v>1006</v>
      </c>
      <c r="D332" s="572" t="s">
        <v>1373</v>
      </c>
      <c r="E332" s="495"/>
      <c r="F332" s="495"/>
      <c r="G332" s="513">
        <f t="array" ref="G332">SUM(IF("155"&amp;C332=KHN&amp;MH,SL))</f>
        <v>1</v>
      </c>
      <c r="H332" s="513">
        <f t="array" ref="H332">SUM(IF("155"&amp;C332=KHN&amp;MH,TH))</f>
        <v>4447</v>
      </c>
      <c r="I332" s="513">
        <f t="array" ref="I332">SUM(IF("155"&amp;C332=KHC&amp;MH,SL))</f>
        <v>1</v>
      </c>
      <c r="J332" s="513">
        <f t="array" ref="J332">SUM(IF("155"&amp;C332=KHC&amp;MH,TH))</f>
        <v>4447</v>
      </c>
      <c r="K332" s="495">
        <f t="shared" si="33"/>
        <v>0</v>
      </c>
      <c r="L332" s="495">
        <f t="shared" si="34"/>
        <v>0</v>
      </c>
      <c r="M332" s="300"/>
      <c r="N332" s="300"/>
    </row>
    <row r="333" spans="1:14" s="294" customFormat="1" ht="19.5" customHeight="1">
      <c r="A333" s="300" t="str">
        <f t="shared" si="31"/>
        <v>TP</v>
      </c>
      <c r="B333" s="571">
        <f t="shared" si="32"/>
        <v>184</v>
      </c>
      <c r="C333" s="566" t="s">
        <v>1014</v>
      </c>
      <c r="D333" s="572" t="s">
        <v>1373</v>
      </c>
      <c r="E333" s="495"/>
      <c r="F333" s="495"/>
      <c r="G333" s="513">
        <f t="array" ref="G333">SUM(IF("155"&amp;C333=KHN&amp;MH,SL))</f>
        <v>2</v>
      </c>
      <c r="H333" s="513">
        <f t="array" ref="H333">SUM(IF("155"&amp;C333=KHN&amp;MH,TH))</f>
        <v>16693</v>
      </c>
      <c r="I333" s="513">
        <f t="array" ref="I333">SUM(IF("155"&amp;C333=KHC&amp;MH,SL))</f>
        <v>2</v>
      </c>
      <c r="J333" s="513">
        <f t="array" ref="J333">SUM(IF("155"&amp;C333=KHC&amp;MH,TH))</f>
        <v>16693</v>
      </c>
      <c r="K333" s="495">
        <f t="shared" si="33"/>
        <v>0</v>
      </c>
      <c r="L333" s="495">
        <f t="shared" si="34"/>
        <v>0</v>
      </c>
      <c r="M333" s="300"/>
      <c r="N333" s="300"/>
    </row>
    <row r="334" spans="1:14" s="294" customFormat="1" ht="19.5" customHeight="1">
      <c r="A334" s="300" t="str">
        <f t="shared" si="31"/>
        <v>TP</v>
      </c>
      <c r="B334" s="571">
        <f t="shared" si="32"/>
        <v>185</v>
      </c>
      <c r="C334" s="566" t="s">
        <v>1011</v>
      </c>
      <c r="D334" s="572" t="s">
        <v>1373</v>
      </c>
      <c r="E334" s="495"/>
      <c r="F334" s="495"/>
      <c r="G334" s="513">
        <f t="array" ref="G334">SUM(IF("155"&amp;C334=KHN&amp;MH,SL))</f>
        <v>1</v>
      </c>
      <c r="H334" s="513">
        <f t="array" ref="H334">SUM(IF("155"&amp;C334=KHN&amp;MH,TH))</f>
        <v>9490</v>
      </c>
      <c r="I334" s="513">
        <f t="array" ref="I334">SUM(IF("155"&amp;C334=KHC&amp;MH,SL))</f>
        <v>1</v>
      </c>
      <c r="J334" s="513">
        <f t="array" ref="J334">SUM(IF("155"&amp;C334=KHC&amp;MH,TH))</f>
        <v>9490</v>
      </c>
      <c r="K334" s="495">
        <f t="shared" si="33"/>
        <v>0</v>
      </c>
      <c r="L334" s="495">
        <f t="shared" si="34"/>
        <v>0</v>
      </c>
      <c r="M334" s="300"/>
      <c r="N334" s="300"/>
    </row>
    <row r="335" spans="1:14" s="294" customFormat="1" ht="19.5" customHeight="1">
      <c r="A335" s="300" t="str">
        <f t="shared" si="31"/>
        <v>TP</v>
      </c>
      <c r="B335" s="571">
        <f t="shared" si="32"/>
        <v>186</v>
      </c>
      <c r="C335" s="566" t="s">
        <v>1015</v>
      </c>
      <c r="D335" s="572" t="s">
        <v>1373</v>
      </c>
      <c r="E335" s="495"/>
      <c r="F335" s="495"/>
      <c r="G335" s="513">
        <f t="array" ref="G335">SUM(IF("155"&amp;C335=KHN&amp;MH,SL))</f>
        <v>1</v>
      </c>
      <c r="H335" s="513">
        <f t="array" ref="H335">SUM(IF("155"&amp;C335=KHN&amp;MH,TH))</f>
        <v>10374</v>
      </c>
      <c r="I335" s="513">
        <f t="array" ref="I335">SUM(IF("155"&amp;C335=KHC&amp;MH,SL))</f>
        <v>1</v>
      </c>
      <c r="J335" s="513">
        <f t="array" ref="J335">SUM(IF("155"&amp;C335=KHC&amp;MH,TH))</f>
        <v>10374</v>
      </c>
      <c r="K335" s="495">
        <f t="shared" si="33"/>
        <v>0</v>
      </c>
      <c r="L335" s="495">
        <f t="shared" si="34"/>
        <v>0</v>
      </c>
      <c r="M335" s="300"/>
      <c r="N335" s="300"/>
    </row>
    <row r="336" spans="1:14" s="294" customFormat="1" ht="19.5" customHeight="1">
      <c r="A336" s="300" t="str">
        <f t="shared" si="31"/>
        <v>TP</v>
      </c>
      <c r="B336" s="571">
        <f t="shared" si="32"/>
        <v>187</v>
      </c>
      <c r="C336" s="566" t="s">
        <v>1007</v>
      </c>
      <c r="D336" s="572" t="s">
        <v>1373</v>
      </c>
      <c r="E336" s="495"/>
      <c r="F336" s="495"/>
      <c r="G336" s="513">
        <f t="array" ref="G336">SUM(IF("155"&amp;C336=KHN&amp;MH,SL))</f>
        <v>133</v>
      </c>
      <c r="H336" s="513">
        <f t="array" ref="H336">SUM(IF("155"&amp;C336=KHN&amp;MH,TH))</f>
        <v>983455</v>
      </c>
      <c r="I336" s="513">
        <f t="array" ref="I336">SUM(IF("155"&amp;C336=KHC&amp;MH,SL))</f>
        <v>133</v>
      </c>
      <c r="J336" s="513">
        <f t="array" ref="J336">SUM(IF("155"&amp;C336=KHC&amp;MH,TH))</f>
        <v>983455</v>
      </c>
      <c r="K336" s="495">
        <f t="shared" si="33"/>
        <v>0</v>
      </c>
      <c r="L336" s="495">
        <f t="shared" si="34"/>
        <v>0</v>
      </c>
      <c r="M336" s="300"/>
      <c r="N336" s="300"/>
    </row>
    <row r="337" spans="1:14" s="294" customFormat="1" ht="19.5" customHeight="1">
      <c r="A337" s="300" t="str">
        <f t="shared" si="31"/>
        <v>TP</v>
      </c>
      <c r="B337" s="571">
        <f t="shared" si="32"/>
        <v>188</v>
      </c>
      <c r="C337" s="566" t="s">
        <v>1012</v>
      </c>
      <c r="D337" s="572" t="s">
        <v>1373</v>
      </c>
      <c r="E337" s="495"/>
      <c r="F337" s="495"/>
      <c r="G337" s="513">
        <f t="array" ref="G337">SUM(IF("155"&amp;C337=KHN&amp;MH,SL))</f>
        <v>1</v>
      </c>
      <c r="H337" s="513">
        <f t="array" ref="H337">SUM(IF("155"&amp;C337=KHN&amp;MH,TH))</f>
        <v>10309</v>
      </c>
      <c r="I337" s="513">
        <f t="array" ref="I337">SUM(IF("155"&amp;C337=KHC&amp;MH,SL))</f>
        <v>1</v>
      </c>
      <c r="J337" s="513">
        <f t="array" ref="J337">SUM(IF("155"&amp;C337=KHC&amp;MH,TH))</f>
        <v>10309</v>
      </c>
      <c r="K337" s="495">
        <f t="shared" si="33"/>
        <v>0</v>
      </c>
      <c r="L337" s="495">
        <f t="shared" si="34"/>
        <v>0</v>
      </c>
      <c r="M337" s="300"/>
      <c r="N337" s="300"/>
    </row>
    <row r="338" spans="1:14" s="294" customFormat="1" ht="19.5" customHeight="1">
      <c r="A338" s="300" t="str">
        <f t="shared" si="31"/>
        <v>TP</v>
      </c>
      <c r="B338" s="571">
        <f t="shared" si="32"/>
        <v>189</v>
      </c>
      <c r="C338" s="566" t="s">
        <v>1008</v>
      </c>
      <c r="D338" s="572" t="s">
        <v>1373</v>
      </c>
      <c r="E338" s="495"/>
      <c r="F338" s="495"/>
      <c r="G338" s="513">
        <f t="array" ref="G338">SUM(IF("155"&amp;C338=KHN&amp;MH,SL))</f>
        <v>141</v>
      </c>
      <c r="H338" s="513">
        <f t="array" ref="H338">SUM(IF("155"&amp;C338=KHN&amp;MH,TH))</f>
        <v>1176842</v>
      </c>
      <c r="I338" s="513">
        <f t="array" ref="I338">SUM(IF("155"&amp;C338=KHC&amp;MH,SL))</f>
        <v>141</v>
      </c>
      <c r="J338" s="513">
        <f t="array" ref="J338">SUM(IF("155"&amp;C338=KHC&amp;MH,TH))</f>
        <v>1176842</v>
      </c>
      <c r="K338" s="495">
        <f t="shared" si="33"/>
        <v>0</v>
      </c>
      <c r="L338" s="495">
        <f t="shared" si="34"/>
        <v>0</v>
      </c>
      <c r="M338" s="300"/>
      <c r="N338" s="300"/>
    </row>
    <row r="339" spans="1:14" s="294" customFormat="1" ht="19.5" customHeight="1">
      <c r="A339" s="300" t="str">
        <f t="shared" si="31"/>
        <v>TP</v>
      </c>
      <c r="B339" s="571">
        <f t="shared" si="32"/>
        <v>190</v>
      </c>
      <c r="C339" s="566" t="s">
        <v>1009</v>
      </c>
      <c r="D339" s="572" t="s">
        <v>1373</v>
      </c>
      <c r="E339" s="495"/>
      <c r="F339" s="495"/>
      <c r="G339" s="513">
        <f t="array" ref="G339">SUM(IF("155"&amp;C339=KHN&amp;MH,SL))</f>
        <v>292</v>
      </c>
      <c r="H339" s="513">
        <f t="array" ref="H339">SUM(IF("155"&amp;C339=KHN&amp;MH,TH))</f>
        <v>2402506</v>
      </c>
      <c r="I339" s="513">
        <f t="array" ref="I339">SUM(IF("155"&amp;C339=KHC&amp;MH,SL))</f>
        <v>292</v>
      </c>
      <c r="J339" s="513">
        <f t="array" ref="J339">SUM(IF("155"&amp;C339=KHC&amp;MH,TH))</f>
        <v>2402506</v>
      </c>
      <c r="K339" s="495">
        <f t="shared" si="33"/>
        <v>0</v>
      </c>
      <c r="L339" s="495">
        <f t="shared" si="34"/>
        <v>0</v>
      </c>
      <c r="M339" s="300"/>
      <c r="N339" s="300"/>
    </row>
    <row r="340" spans="1:14" s="294" customFormat="1" ht="19.5" customHeight="1">
      <c r="A340" s="300" t="str">
        <f t="shared" si="31"/>
        <v>TP</v>
      </c>
      <c r="B340" s="571">
        <f t="shared" si="32"/>
        <v>191</v>
      </c>
      <c r="C340" s="566" t="s">
        <v>856</v>
      </c>
      <c r="D340" s="572" t="s">
        <v>1373</v>
      </c>
      <c r="E340" s="495"/>
      <c r="F340" s="495"/>
      <c r="G340" s="513">
        <f t="array" ref="G340">SUM(IF("155"&amp;C340=KHN&amp;MH,SL))</f>
        <v>303</v>
      </c>
      <c r="H340" s="513">
        <f t="array" ref="H340">SUM(IF("155"&amp;C340=KHN&amp;MH,TH))</f>
        <v>1759979</v>
      </c>
      <c r="I340" s="513">
        <f t="array" ref="I340">SUM(IF("155"&amp;C340=KHC&amp;MH,SL))</f>
        <v>303</v>
      </c>
      <c r="J340" s="513">
        <f t="array" ref="J340">SUM(IF("155"&amp;C340=KHC&amp;MH,TH))</f>
        <v>1759979</v>
      </c>
      <c r="K340" s="495">
        <f t="shared" si="33"/>
        <v>0</v>
      </c>
      <c r="L340" s="495">
        <f t="shared" si="34"/>
        <v>0</v>
      </c>
      <c r="M340" s="300"/>
      <c r="N340" s="300"/>
    </row>
    <row r="341" spans="1:14" s="294" customFormat="1" ht="19.5" customHeight="1">
      <c r="A341" s="300" t="str">
        <f t="shared" si="31"/>
        <v>TP</v>
      </c>
      <c r="B341" s="571">
        <f t="shared" si="32"/>
        <v>192</v>
      </c>
      <c r="C341" s="566" t="s">
        <v>855</v>
      </c>
      <c r="D341" s="572" t="s">
        <v>1373</v>
      </c>
      <c r="E341" s="495"/>
      <c r="F341" s="495"/>
      <c r="G341" s="513">
        <f t="array" ref="G341">SUM(IF("155"&amp;C341=KHN&amp;MH,SL))</f>
        <v>3721</v>
      </c>
      <c r="H341" s="513">
        <f t="array" ref="H341">SUM(IF("155"&amp;C341=KHN&amp;MH,TH))</f>
        <v>23261232</v>
      </c>
      <c r="I341" s="513">
        <f t="array" ref="I341">SUM(IF("155"&amp;C341=KHC&amp;MH,SL))</f>
        <v>3721</v>
      </c>
      <c r="J341" s="513">
        <f t="array" ref="J341">SUM(IF("155"&amp;C341=KHC&amp;MH,TH))</f>
        <v>23261232</v>
      </c>
      <c r="K341" s="495">
        <f t="shared" si="33"/>
        <v>0</v>
      </c>
      <c r="L341" s="495">
        <f t="shared" si="34"/>
        <v>0</v>
      </c>
      <c r="M341" s="300"/>
      <c r="N341" s="300"/>
    </row>
    <row r="342" spans="1:14" s="294" customFormat="1" ht="19.5" customHeight="1">
      <c r="A342" s="300" t="str">
        <f t="shared" ref="A342:A405" si="35">IF(B342&lt;&gt;"","TP","")</f>
        <v>TP</v>
      </c>
      <c r="B342" s="571">
        <f t="shared" ref="B342:B405" si="36">IF(C342&lt;&gt;"",B341+1,"")</f>
        <v>193</v>
      </c>
      <c r="C342" s="566" t="s">
        <v>1010</v>
      </c>
      <c r="D342" s="572" t="s">
        <v>1373</v>
      </c>
      <c r="E342" s="495"/>
      <c r="F342" s="495"/>
      <c r="G342" s="513">
        <f t="array" ref="G342">SUM(IF("155"&amp;C342=KHN&amp;MH,SL))</f>
        <v>1</v>
      </c>
      <c r="H342" s="513">
        <f t="array" ref="H342">SUM(IF("155"&amp;C342=KHN&amp;MH,TH))</f>
        <v>10374</v>
      </c>
      <c r="I342" s="513">
        <f t="array" ref="I342">SUM(IF("155"&amp;C342=KHC&amp;MH,SL))</f>
        <v>1</v>
      </c>
      <c r="J342" s="513">
        <f t="array" ref="J342">SUM(IF("155"&amp;C342=KHC&amp;MH,TH))</f>
        <v>10374</v>
      </c>
      <c r="K342" s="495">
        <f t="shared" ref="K342:K405" si="37">E342+G342-I342</f>
        <v>0</v>
      </c>
      <c r="L342" s="495">
        <f t="shared" ref="L342:L405" si="38">F342+H342-J342</f>
        <v>0</v>
      </c>
      <c r="M342" s="300"/>
      <c r="N342" s="300"/>
    </row>
    <row r="343" spans="1:14" s="294" customFormat="1" ht="18" customHeight="1">
      <c r="A343" s="300" t="str">
        <f t="shared" si="35"/>
        <v>TP</v>
      </c>
      <c r="B343" s="571">
        <f t="shared" si="36"/>
        <v>194</v>
      </c>
      <c r="C343" s="566" t="s">
        <v>1016</v>
      </c>
      <c r="D343" s="572" t="s">
        <v>1373</v>
      </c>
      <c r="E343" s="495"/>
      <c r="F343" s="495"/>
      <c r="G343" s="513">
        <f t="array" ref="G343">SUM(IF("155"&amp;C343=KHN&amp;MH,SL))</f>
        <v>747</v>
      </c>
      <c r="H343" s="513">
        <f t="array" ref="H343">SUM(IF("155"&amp;C343=KHN&amp;MH,TH))</f>
        <v>8852632</v>
      </c>
      <c r="I343" s="513">
        <f t="array" ref="I343">SUM(IF("155"&amp;C343=KHC&amp;MH,SL))</f>
        <v>747</v>
      </c>
      <c r="J343" s="513">
        <f t="array" ref="J343">SUM(IF("155"&amp;C343=KHC&amp;MH,TH))</f>
        <v>8852632</v>
      </c>
      <c r="K343" s="495">
        <f t="shared" si="37"/>
        <v>0</v>
      </c>
      <c r="L343" s="495">
        <f t="shared" si="38"/>
        <v>0</v>
      </c>
      <c r="M343" s="300"/>
      <c r="N343" s="300"/>
    </row>
    <row r="344" spans="1:14" s="294" customFormat="1" ht="18" customHeight="1">
      <c r="A344" s="300" t="str">
        <f t="shared" si="35"/>
        <v>TP</v>
      </c>
      <c r="B344" s="571">
        <f t="shared" si="36"/>
        <v>195</v>
      </c>
      <c r="C344" s="566" t="s">
        <v>1013</v>
      </c>
      <c r="D344" s="572" t="s">
        <v>1373</v>
      </c>
      <c r="E344" s="495"/>
      <c r="F344" s="495"/>
      <c r="G344" s="513">
        <f t="array" ref="G344">SUM(IF("155"&amp;C344=KHN&amp;MH,SL))</f>
        <v>824</v>
      </c>
      <c r="H344" s="513">
        <f t="array" ref="H344">SUM(IF("155"&amp;C344=KHN&amp;MH,TH))</f>
        <v>10670717</v>
      </c>
      <c r="I344" s="513">
        <f t="array" ref="I344">SUM(IF("155"&amp;C344=KHC&amp;MH,SL))</f>
        <v>824</v>
      </c>
      <c r="J344" s="513">
        <f t="array" ref="J344">SUM(IF("155"&amp;C344=KHC&amp;MH,TH))</f>
        <v>10670717</v>
      </c>
      <c r="K344" s="495">
        <f t="shared" si="37"/>
        <v>0</v>
      </c>
      <c r="L344" s="495">
        <f t="shared" si="38"/>
        <v>0</v>
      </c>
      <c r="M344" s="300"/>
      <c r="N344" s="300"/>
    </row>
    <row r="345" spans="1:14" s="294" customFormat="1" ht="18.75" customHeight="1">
      <c r="A345" s="300" t="str">
        <f t="shared" si="35"/>
        <v>TP</v>
      </c>
      <c r="B345" s="571">
        <f t="shared" si="36"/>
        <v>196</v>
      </c>
      <c r="C345" s="566" t="s">
        <v>1017</v>
      </c>
      <c r="D345" s="572" t="s">
        <v>1373</v>
      </c>
      <c r="E345" s="495"/>
      <c r="F345" s="495"/>
      <c r="G345" s="513">
        <f t="array" ref="G345">SUM(IF("155"&amp;C345=KHN&amp;MH,SL))</f>
        <v>70</v>
      </c>
      <c r="H345" s="513">
        <f t="array" ref="H345">SUM(IF("155"&amp;C345=KHN&amp;MH,TH))</f>
        <v>953778</v>
      </c>
      <c r="I345" s="513">
        <f t="array" ref="I345">SUM(IF("155"&amp;C345=KHC&amp;MH,SL))</f>
        <v>70</v>
      </c>
      <c r="J345" s="513">
        <f t="array" ref="J345">SUM(IF("155"&amp;C345=KHC&amp;MH,TH))</f>
        <v>953778</v>
      </c>
      <c r="K345" s="495">
        <f t="shared" si="37"/>
        <v>0</v>
      </c>
      <c r="L345" s="495">
        <f t="shared" si="38"/>
        <v>0</v>
      </c>
      <c r="M345" s="300"/>
      <c r="N345" s="300"/>
    </row>
    <row r="346" spans="1:14" s="294" customFormat="1" ht="18.75" customHeight="1">
      <c r="A346" s="300" t="str">
        <f t="shared" si="35"/>
        <v>TP</v>
      </c>
      <c r="B346" s="571">
        <f t="shared" si="36"/>
        <v>197</v>
      </c>
      <c r="C346" s="566" t="s">
        <v>785</v>
      </c>
      <c r="D346" s="572" t="s">
        <v>1373</v>
      </c>
      <c r="E346" s="495"/>
      <c r="F346" s="495"/>
      <c r="G346" s="513">
        <f t="array" ref="G346">SUM(IF("155"&amp;C346=KHN&amp;MH,SL))</f>
        <v>2</v>
      </c>
      <c r="H346" s="513">
        <f t="array" ref="H346">SUM(IF("155"&amp;C346=KHN&amp;MH,TH))</f>
        <v>7311</v>
      </c>
      <c r="I346" s="513">
        <f t="array" ref="I346">SUM(IF("155"&amp;C346=KHC&amp;MH,SL))</f>
        <v>2</v>
      </c>
      <c r="J346" s="513">
        <f t="array" ref="J346">SUM(IF("155"&amp;C346=KHC&amp;MH,TH))</f>
        <v>7311</v>
      </c>
      <c r="K346" s="495">
        <f t="shared" si="37"/>
        <v>0</v>
      </c>
      <c r="L346" s="495">
        <f t="shared" si="38"/>
        <v>0</v>
      </c>
      <c r="M346" s="300"/>
      <c r="N346" s="300"/>
    </row>
    <row r="347" spans="1:14" s="294" customFormat="1" ht="18.75" customHeight="1">
      <c r="A347" s="300" t="str">
        <f t="shared" si="35"/>
        <v>TP</v>
      </c>
      <c r="B347" s="571">
        <f t="shared" si="36"/>
        <v>198</v>
      </c>
      <c r="C347" s="566" t="s">
        <v>790</v>
      </c>
      <c r="D347" s="572" t="s">
        <v>1373</v>
      </c>
      <c r="E347" s="495"/>
      <c r="F347" s="495"/>
      <c r="G347" s="513">
        <f t="array" ref="G347">SUM(IF("155"&amp;C347=KHN&amp;MH,SL))</f>
        <v>2</v>
      </c>
      <c r="H347" s="513">
        <f t="array" ref="H347">SUM(IF("155"&amp;C347=KHN&amp;MH,TH))</f>
        <v>7168</v>
      </c>
      <c r="I347" s="513">
        <f t="array" ref="I347">SUM(IF("155"&amp;C347=KHC&amp;MH,SL))</f>
        <v>2</v>
      </c>
      <c r="J347" s="513">
        <f t="array" ref="J347">SUM(IF("155"&amp;C347=KHC&amp;MH,TH))</f>
        <v>7168</v>
      </c>
      <c r="K347" s="495">
        <f t="shared" si="37"/>
        <v>0</v>
      </c>
      <c r="L347" s="495">
        <f t="shared" si="38"/>
        <v>0</v>
      </c>
      <c r="M347" s="300"/>
      <c r="N347" s="300"/>
    </row>
    <row r="348" spans="1:14" s="294" customFormat="1" ht="18.75" customHeight="1">
      <c r="A348" s="300" t="str">
        <f t="shared" si="35"/>
        <v>TP</v>
      </c>
      <c r="B348" s="571">
        <f t="shared" si="36"/>
        <v>199</v>
      </c>
      <c r="C348" s="566" t="s">
        <v>797</v>
      </c>
      <c r="D348" s="572" t="s">
        <v>1373</v>
      </c>
      <c r="E348" s="495"/>
      <c r="F348" s="495"/>
      <c r="G348" s="513">
        <f t="array" ref="G348">SUM(IF("155"&amp;C348=KHN&amp;MH,SL))</f>
        <v>2</v>
      </c>
      <c r="H348" s="513">
        <f t="array" ref="H348">SUM(IF("155"&amp;C348=KHN&amp;MH,TH))</f>
        <v>14381</v>
      </c>
      <c r="I348" s="513">
        <f t="array" ref="I348">SUM(IF("155"&amp;C348=KHC&amp;MH,SL))</f>
        <v>2</v>
      </c>
      <c r="J348" s="513">
        <f t="array" ref="J348">SUM(IF("155"&amp;C348=KHC&amp;MH,TH))</f>
        <v>14381</v>
      </c>
      <c r="K348" s="495">
        <f t="shared" si="37"/>
        <v>0</v>
      </c>
      <c r="L348" s="495">
        <f t="shared" si="38"/>
        <v>0</v>
      </c>
      <c r="M348" s="300"/>
      <c r="N348" s="300"/>
    </row>
    <row r="349" spans="1:14" s="294" customFormat="1" ht="18.75" customHeight="1">
      <c r="A349" s="300" t="str">
        <f t="shared" si="35"/>
        <v>TP</v>
      </c>
      <c r="B349" s="571">
        <f t="shared" si="36"/>
        <v>200</v>
      </c>
      <c r="C349" s="566" t="s">
        <v>989</v>
      </c>
      <c r="D349" s="572" t="s">
        <v>1373</v>
      </c>
      <c r="E349" s="495"/>
      <c r="F349" s="495"/>
      <c r="G349" s="513">
        <f t="array" ref="G349">SUM(IF("155"&amp;C349=KHN&amp;MH,SL))</f>
        <v>1</v>
      </c>
      <c r="H349" s="513">
        <f t="array" ref="H349">SUM(IF("155"&amp;C349=KHN&amp;MH,TH))</f>
        <v>6671</v>
      </c>
      <c r="I349" s="513">
        <f t="array" ref="I349">SUM(IF("155"&amp;C349=KHC&amp;MH,SL))</f>
        <v>1</v>
      </c>
      <c r="J349" s="513">
        <f t="array" ref="J349">SUM(IF("155"&amp;C349=KHC&amp;MH,TH))</f>
        <v>6671</v>
      </c>
      <c r="K349" s="495">
        <f t="shared" si="37"/>
        <v>0</v>
      </c>
      <c r="L349" s="495">
        <f t="shared" si="38"/>
        <v>0</v>
      </c>
      <c r="M349" s="300"/>
      <c r="N349" s="300"/>
    </row>
    <row r="350" spans="1:14" s="294" customFormat="1" ht="18.75" customHeight="1">
      <c r="A350" s="300" t="str">
        <f t="shared" si="35"/>
        <v>TP</v>
      </c>
      <c r="B350" s="571">
        <f t="shared" si="36"/>
        <v>201</v>
      </c>
      <c r="C350" s="566" t="s">
        <v>798</v>
      </c>
      <c r="D350" s="572" t="s">
        <v>1373</v>
      </c>
      <c r="E350" s="495"/>
      <c r="F350" s="495"/>
      <c r="G350" s="513">
        <f t="array" ref="G350">SUM(IF("155"&amp;C350=KHN&amp;MH,SL))</f>
        <v>5</v>
      </c>
      <c r="H350" s="513">
        <f t="array" ref="H350">SUM(IF("155"&amp;C350=KHN&amp;MH,TH))</f>
        <v>34858</v>
      </c>
      <c r="I350" s="513">
        <f t="array" ref="I350">SUM(IF("155"&amp;C350=KHC&amp;MH,SL))</f>
        <v>5</v>
      </c>
      <c r="J350" s="513">
        <f t="array" ref="J350">SUM(IF("155"&amp;C350=KHC&amp;MH,TH))</f>
        <v>34858</v>
      </c>
      <c r="K350" s="495">
        <f t="shared" si="37"/>
        <v>0</v>
      </c>
      <c r="L350" s="495">
        <f t="shared" si="38"/>
        <v>0</v>
      </c>
      <c r="M350" s="300"/>
      <c r="N350" s="300"/>
    </row>
    <row r="351" spans="1:14" s="294" customFormat="1" ht="18.75" customHeight="1">
      <c r="A351" s="300" t="str">
        <f t="shared" si="35"/>
        <v>TP</v>
      </c>
      <c r="B351" s="571">
        <f t="shared" si="36"/>
        <v>202</v>
      </c>
      <c r="C351" s="566" t="s">
        <v>788</v>
      </c>
      <c r="D351" s="572" t="s">
        <v>1373</v>
      </c>
      <c r="E351" s="495"/>
      <c r="F351" s="495"/>
      <c r="G351" s="513">
        <f t="array" ref="G351">SUM(IF("155"&amp;C351=KHN&amp;MH,SL))</f>
        <v>1</v>
      </c>
      <c r="H351" s="513">
        <f t="array" ref="H351">SUM(IF("155"&amp;C351=KHN&amp;MH,TH))</f>
        <v>6972</v>
      </c>
      <c r="I351" s="513">
        <f t="array" ref="I351">SUM(IF("155"&amp;C351=KHC&amp;MH,SL))</f>
        <v>1</v>
      </c>
      <c r="J351" s="513">
        <f t="array" ref="J351">SUM(IF("155"&amp;C351=KHC&amp;MH,TH))</f>
        <v>6972</v>
      </c>
      <c r="K351" s="495">
        <f t="shared" si="37"/>
        <v>0</v>
      </c>
      <c r="L351" s="495">
        <f t="shared" si="38"/>
        <v>0</v>
      </c>
      <c r="M351" s="300"/>
      <c r="N351" s="300"/>
    </row>
    <row r="352" spans="1:14" s="294" customFormat="1" ht="18.75" customHeight="1">
      <c r="A352" s="300" t="str">
        <f t="shared" si="35"/>
        <v>TP</v>
      </c>
      <c r="B352" s="571">
        <f t="shared" si="36"/>
        <v>203</v>
      </c>
      <c r="C352" s="566" t="s">
        <v>789</v>
      </c>
      <c r="D352" s="572" t="s">
        <v>1373</v>
      </c>
      <c r="E352" s="495"/>
      <c r="F352" s="495"/>
      <c r="G352" s="513">
        <f t="array" ref="G352">SUM(IF("155"&amp;C352=KHN&amp;MH,SL))</f>
        <v>4</v>
      </c>
      <c r="H352" s="513">
        <f t="array" ref="H352">SUM(IF("155"&amp;C352=KHN&amp;MH,TH))</f>
        <v>23234</v>
      </c>
      <c r="I352" s="513">
        <f t="array" ref="I352">SUM(IF("155"&amp;C352=KHC&amp;MH,SL))</f>
        <v>4</v>
      </c>
      <c r="J352" s="513">
        <f t="array" ref="J352">SUM(IF("155"&amp;C352=KHC&amp;MH,TH))</f>
        <v>23234</v>
      </c>
      <c r="K352" s="495">
        <f t="shared" si="37"/>
        <v>0</v>
      </c>
      <c r="L352" s="495">
        <f t="shared" si="38"/>
        <v>0</v>
      </c>
      <c r="M352" s="300"/>
      <c r="N352" s="300"/>
    </row>
    <row r="353" spans="1:14" s="294" customFormat="1" ht="18.75" customHeight="1">
      <c r="A353" s="300" t="str">
        <f t="shared" si="35"/>
        <v>TP</v>
      </c>
      <c r="B353" s="571">
        <f t="shared" si="36"/>
        <v>204</v>
      </c>
      <c r="C353" s="566" t="s">
        <v>990</v>
      </c>
      <c r="D353" s="572" t="s">
        <v>1373</v>
      </c>
      <c r="E353" s="495"/>
      <c r="F353" s="495"/>
      <c r="G353" s="513">
        <f t="array" ref="G353">SUM(IF("155"&amp;C353=KHN&amp;MH,SL))</f>
        <v>3</v>
      </c>
      <c r="H353" s="513">
        <f t="array" ref="H353">SUM(IF("155"&amp;C353=KHN&amp;MH,TH))</f>
        <v>33561</v>
      </c>
      <c r="I353" s="513">
        <f t="array" ref="I353">SUM(IF("155"&amp;C353=KHC&amp;MH,SL))</f>
        <v>3</v>
      </c>
      <c r="J353" s="513">
        <f t="array" ref="J353">SUM(IF("155"&amp;C353=KHC&amp;MH,TH))</f>
        <v>33561</v>
      </c>
      <c r="K353" s="495">
        <f t="shared" si="37"/>
        <v>0</v>
      </c>
      <c r="L353" s="495">
        <f t="shared" si="38"/>
        <v>0</v>
      </c>
      <c r="M353" s="300"/>
      <c r="N353" s="300"/>
    </row>
    <row r="354" spans="1:14" s="294" customFormat="1" ht="18.75" customHeight="1">
      <c r="A354" s="300" t="str">
        <f t="shared" si="35"/>
        <v>TP</v>
      </c>
      <c r="B354" s="571">
        <f t="shared" si="36"/>
        <v>205</v>
      </c>
      <c r="C354" s="566" t="s">
        <v>787</v>
      </c>
      <c r="D354" s="572" t="s">
        <v>1373</v>
      </c>
      <c r="E354" s="495"/>
      <c r="F354" s="495"/>
      <c r="G354" s="513">
        <f t="array" ref="G354">SUM(IF("155"&amp;C354=KHN&amp;MH,SL))</f>
        <v>20</v>
      </c>
      <c r="H354" s="513">
        <f t="array" ref="H354">SUM(IF("155"&amp;C354=KHN&amp;MH,TH))</f>
        <v>322870</v>
      </c>
      <c r="I354" s="513">
        <f t="array" ref="I354">SUM(IF("155"&amp;C354=KHC&amp;MH,SL))</f>
        <v>20</v>
      </c>
      <c r="J354" s="513">
        <f t="array" ref="J354">SUM(IF("155"&amp;C354=KHC&amp;MH,TH))</f>
        <v>322870</v>
      </c>
      <c r="K354" s="495">
        <f t="shared" si="37"/>
        <v>0</v>
      </c>
      <c r="L354" s="495">
        <f t="shared" si="38"/>
        <v>0</v>
      </c>
      <c r="M354" s="300"/>
      <c r="N354" s="300"/>
    </row>
    <row r="355" spans="1:14" s="294" customFormat="1" ht="18.75" customHeight="1">
      <c r="A355" s="300" t="str">
        <f t="shared" si="35"/>
        <v>TP</v>
      </c>
      <c r="B355" s="571">
        <f t="shared" si="36"/>
        <v>206</v>
      </c>
      <c r="C355" s="566" t="s">
        <v>784</v>
      </c>
      <c r="D355" s="572" t="s">
        <v>1373</v>
      </c>
      <c r="E355" s="495"/>
      <c r="F355" s="495"/>
      <c r="G355" s="513">
        <f t="array" ref="G355">SUM(IF("155"&amp;C355=KHN&amp;MH,SL))</f>
        <v>2</v>
      </c>
      <c r="H355" s="513">
        <f t="array" ref="H355">SUM(IF("155"&amp;C355=KHN&amp;MH,TH))</f>
        <v>15519</v>
      </c>
      <c r="I355" s="513">
        <f t="array" ref="I355">SUM(IF("155"&amp;C355=KHC&amp;MH,SL))</f>
        <v>2</v>
      </c>
      <c r="J355" s="513">
        <f t="array" ref="J355">SUM(IF("155"&amp;C355=KHC&amp;MH,TH))</f>
        <v>15519</v>
      </c>
      <c r="K355" s="495">
        <f t="shared" si="37"/>
        <v>0</v>
      </c>
      <c r="L355" s="495">
        <f t="shared" si="38"/>
        <v>0</v>
      </c>
      <c r="M355" s="300"/>
      <c r="N355" s="300"/>
    </row>
    <row r="356" spans="1:14" s="294" customFormat="1" ht="18.75" customHeight="1">
      <c r="A356" s="300" t="str">
        <f t="shared" si="35"/>
        <v>TP</v>
      </c>
      <c r="B356" s="571">
        <f t="shared" si="36"/>
        <v>207</v>
      </c>
      <c r="C356" s="566" t="s">
        <v>992</v>
      </c>
      <c r="D356" s="572" t="s">
        <v>1373</v>
      </c>
      <c r="E356" s="495"/>
      <c r="F356" s="495"/>
      <c r="G356" s="513">
        <f t="array" ref="G356">SUM(IF("155"&amp;C356=KHN&amp;MH,SL))</f>
        <v>1</v>
      </c>
      <c r="H356" s="513">
        <f t="array" ref="H356">SUM(IF("155"&amp;C356=KHN&amp;MH,TH))</f>
        <v>10309</v>
      </c>
      <c r="I356" s="513">
        <f t="array" ref="I356">SUM(IF("155"&amp;C356=KHC&amp;MH,SL))</f>
        <v>1</v>
      </c>
      <c r="J356" s="513">
        <f t="array" ref="J356">SUM(IF("155"&amp;C356=KHC&amp;MH,TH))</f>
        <v>10309</v>
      </c>
      <c r="K356" s="495">
        <f t="shared" si="37"/>
        <v>0</v>
      </c>
      <c r="L356" s="495">
        <f t="shared" si="38"/>
        <v>0</v>
      </c>
      <c r="M356" s="300"/>
      <c r="N356" s="300"/>
    </row>
    <row r="357" spans="1:14" s="294" customFormat="1" ht="18.75" customHeight="1">
      <c r="A357" s="300" t="str">
        <f t="shared" si="35"/>
        <v>TP</v>
      </c>
      <c r="B357" s="571">
        <f t="shared" si="36"/>
        <v>208</v>
      </c>
      <c r="C357" s="566" t="s">
        <v>786</v>
      </c>
      <c r="D357" s="572" t="s">
        <v>1373</v>
      </c>
      <c r="E357" s="495"/>
      <c r="F357" s="495"/>
      <c r="G357" s="513">
        <f t="array" ref="G357">SUM(IF("155"&amp;C357=KHN&amp;MH,SL))</f>
        <v>195</v>
      </c>
      <c r="H357" s="513">
        <f t="array" ref="H357">SUM(IF("155"&amp;C357=KHN&amp;MH,TH))</f>
        <v>1538705</v>
      </c>
      <c r="I357" s="513">
        <f t="array" ref="I357">SUM(IF("155"&amp;C357=KHC&amp;MH,SL))</f>
        <v>195</v>
      </c>
      <c r="J357" s="513">
        <f t="array" ref="J357">SUM(IF("155"&amp;C357=KHC&amp;MH,TH))</f>
        <v>1538705</v>
      </c>
      <c r="K357" s="495">
        <f t="shared" si="37"/>
        <v>0</v>
      </c>
      <c r="L357" s="495">
        <f t="shared" si="38"/>
        <v>0</v>
      </c>
      <c r="M357" s="300"/>
      <c r="N357" s="300"/>
    </row>
    <row r="358" spans="1:14" s="294" customFormat="1" ht="18.75" customHeight="1">
      <c r="A358" s="300" t="str">
        <f t="shared" si="35"/>
        <v>TP</v>
      </c>
      <c r="B358" s="571">
        <f t="shared" si="36"/>
        <v>209</v>
      </c>
      <c r="C358" s="566" t="s">
        <v>997</v>
      </c>
      <c r="D358" s="572" t="s">
        <v>1373</v>
      </c>
      <c r="E358" s="495"/>
      <c r="F358" s="495"/>
      <c r="G358" s="513">
        <f t="array" ref="G358">SUM(IF("155"&amp;C358=KHN&amp;MH,SL))</f>
        <v>138</v>
      </c>
      <c r="H358" s="513">
        <f t="array" ref="H358">SUM(IF("155"&amp;C358=KHN&amp;MH,TH))</f>
        <v>1020427</v>
      </c>
      <c r="I358" s="513">
        <f t="array" ref="I358">SUM(IF("155"&amp;C358=KHC&amp;MH,SL))</f>
        <v>138</v>
      </c>
      <c r="J358" s="513">
        <f t="array" ref="J358">SUM(IF("155"&amp;C358=KHC&amp;MH,TH))</f>
        <v>1020427</v>
      </c>
      <c r="K358" s="495">
        <f t="shared" si="37"/>
        <v>0</v>
      </c>
      <c r="L358" s="495">
        <f t="shared" si="38"/>
        <v>0</v>
      </c>
      <c r="M358" s="300"/>
      <c r="N358" s="300"/>
    </row>
    <row r="359" spans="1:14" s="294" customFormat="1" ht="18.75" customHeight="1">
      <c r="A359" s="300" t="str">
        <f t="shared" si="35"/>
        <v>TP</v>
      </c>
      <c r="B359" s="571">
        <f t="shared" si="36"/>
        <v>210</v>
      </c>
      <c r="C359" s="566" t="s">
        <v>803</v>
      </c>
      <c r="D359" s="572" t="s">
        <v>1373</v>
      </c>
      <c r="E359" s="495"/>
      <c r="F359" s="495"/>
      <c r="G359" s="513">
        <f t="array" ref="G359">SUM(IF("155"&amp;C359=KHN&amp;MH,SL))</f>
        <v>2</v>
      </c>
      <c r="H359" s="513">
        <f t="array" ref="H359">SUM(IF("155"&amp;C359=KHN&amp;MH,TH))</f>
        <v>19959</v>
      </c>
      <c r="I359" s="513">
        <f t="array" ref="I359">SUM(IF("155"&amp;C359=KHC&amp;MH,SL))</f>
        <v>2</v>
      </c>
      <c r="J359" s="513">
        <f t="array" ref="J359">SUM(IF("155"&amp;C359=KHC&amp;MH,TH))</f>
        <v>19959</v>
      </c>
      <c r="K359" s="495">
        <f t="shared" si="37"/>
        <v>0</v>
      </c>
      <c r="L359" s="495">
        <f t="shared" si="38"/>
        <v>0</v>
      </c>
      <c r="M359" s="300"/>
      <c r="N359" s="300"/>
    </row>
    <row r="360" spans="1:14" s="294" customFormat="1" ht="18.75" customHeight="1">
      <c r="A360" s="300" t="str">
        <f t="shared" si="35"/>
        <v>TP</v>
      </c>
      <c r="B360" s="571">
        <f t="shared" si="36"/>
        <v>211</v>
      </c>
      <c r="C360" s="566" t="s">
        <v>998</v>
      </c>
      <c r="D360" s="572" t="s">
        <v>1373</v>
      </c>
      <c r="E360" s="495"/>
      <c r="F360" s="495"/>
      <c r="G360" s="513">
        <f t="array" ref="G360">SUM(IF("155"&amp;C360=KHN&amp;MH,SL))</f>
        <v>279</v>
      </c>
      <c r="H360" s="513">
        <f t="array" ref="H360">SUM(IF("155"&amp;C360=KHN&amp;MH,TH))</f>
        <v>2328645</v>
      </c>
      <c r="I360" s="513">
        <f t="array" ref="I360">SUM(IF("155"&amp;C360=KHC&amp;MH,SL))</f>
        <v>279</v>
      </c>
      <c r="J360" s="513">
        <f t="array" ref="J360">SUM(IF("155"&amp;C360=KHC&amp;MH,TH))</f>
        <v>2328645</v>
      </c>
      <c r="K360" s="495">
        <f t="shared" si="37"/>
        <v>0</v>
      </c>
      <c r="L360" s="495">
        <f t="shared" si="38"/>
        <v>0</v>
      </c>
      <c r="M360" s="300"/>
      <c r="N360" s="300"/>
    </row>
    <row r="361" spans="1:14" s="294" customFormat="1" ht="18.75" customHeight="1">
      <c r="A361" s="300" t="str">
        <f t="shared" si="35"/>
        <v>TP</v>
      </c>
      <c r="B361" s="571">
        <f t="shared" si="36"/>
        <v>212</v>
      </c>
      <c r="C361" s="566" t="s">
        <v>1001</v>
      </c>
      <c r="D361" s="572" t="s">
        <v>1373</v>
      </c>
      <c r="E361" s="495"/>
      <c r="F361" s="495"/>
      <c r="G361" s="513">
        <f t="array" ref="G361">SUM(IF("155"&amp;C361=KHN&amp;MH,SL))</f>
        <v>463</v>
      </c>
      <c r="H361" s="513">
        <f t="array" ref="H361">SUM(IF("155"&amp;C361=KHN&amp;MH,TH))</f>
        <v>3683467</v>
      </c>
      <c r="I361" s="513">
        <f t="array" ref="I361">SUM(IF("155"&amp;C361=KHC&amp;MH,SL))</f>
        <v>463</v>
      </c>
      <c r="J361" s="513">
        <f t="array" ref="J361">SUM(IF("155"&amp;C361=KHC&amp;MH,TH))</f>
        <v>3683467</v>
      </c>
      <c r="K361" s="495">
        <f t="shared" si="37"/>
        <v>0</v>
      </c>
      <c r="L361" s="495">
        <f t="shared" si="38"/>
        <v>0</v>
      </c>
      <c r="M361" s="300"/>
      <c r="N361" s="300"/>
    </row>
    <row r="362" spans="1:14" s="294" customFormat="1" ht="18.75" customHeight="1">
      <c r="A362" s="300" t="str">
        <f t="shared" si="35"/>
        <v>TP</v>
      </c>
      <c r="B362" s="571">
        <f t="shared" si="36"/>
        <v>213</v>
      </c>
      <c r="C362" s="566" t="s">
        <v>791</v>
      </c>
      <c r="D362" s="572" t="s">
        <v>1373</v>
      </c>
      <c r="E362" s="495"/>
      <c r="F362" s="495"/>
      <c r="G362" s="513">
        <f t="array" ref="G362">SUM(IF("155"&amp;C362=KHN&amp;MH,SL))</f>
        <v>2</v>
      </c>
      <c r="H362" s="513">
        <f t="array" ref="H362">SUM(IF("155"&amp;C362=KHN&amp;MH,TH))</f>
        <v>17255</v>
      </c>
      <c r="I362" s="513">
        <f t="array" ref="I362">SUM(IF("155"&amp;C362=KHC&amp;MH,SL))</f>
        <v>2</v>
      </c>
      <c r="J362" s="513">
        <f t="array" ref="J362">SUM(IF("155"&amp;C362=KHC&amp;MH,TH))</f>
        <v>17255</v>
      </c>
      <c r="K362" s="495">
        <f t="shared" si="37"/>
        <v>0</v>
      </c>
      <c r="L362" s="495">
        <f t="shared" si="38"/>
        <v>0</v>
      </c>
      <c r="M362" s="300"/>
      <c r="N362" s="300"/>
    </row>
    <row r="363" spans="1:14" s="294" customFormat="1" ht="18.75" customHeight="1">
      <c r="A363" s="300" t="str">
        <f t="shared" si="35"/>
        <v>TP</v>
      </c>
      <c r="B363" s="571">
        <f t="shared" si="36"/>
        <v>214</v>
      </c>
      <c r="C363" s="566" t="s">
        <v>991</v>
      </c>
      <c r="D363" s="572" t="s">
        <v>1373</v>
      </c>
      <c r="E363" s="495"/>
      <c r="F363" s="495"/>
      <c r="G363" s="513">
        <f t="array" ref="G363">SUM(IF("155"&amp;C363=KHN&amp;MH,SL))</f>
        <v>2</v>
      </c>
      <c r="H363" s="513">
        <f t="array" ref="H363">SUM(IF("155"&amp;C363=KHN&amp;MH,TH))</f>
        <v>20618</v>
      </c>
      <c r="I363" s="513">
        <f t="array" ref="I363">SUM(IF("155"&amp;C363=KHC&amp;MH,SL))</f>
        <v>2</v>
      </c>
      <c r="J363" s="513">
        <f t="array" ref="J363">SUM(IF("155"&amp;C363=KHC&amp;MH,TH))</f>
        <v>20618</v>
      </c>
      <c r="K363" s="495">
        <f t="shared" si="37"/>
        <v>0</v>
      </c>
      <c r="L363" s="495">
        <f t="shared" si="38"/>
        <v>0</v>
      </c>
      <c r="M363" s="300"/>
      <c r="N363" s="300"/>
    </row>
    <row r="364" spans="1:14" s="294" customFormat="1" ht="18.75" customHeight="1">
      <c r="A364" s="300" t="str">
        <f t="shared" si="35"/>
        <v>TP</v>
      </c>
      <c r="B364" s="571">
        <f t="shared" si="36"/>
        <v>215</v>
      </c>
      <c r="C364" s="566" t="s">
        <v>804</v>
      </c>
      <c r="D364" s="572" t="s">
        <v>1373</v>
      </c>
      <c r="E364" s="495"/>
      <c r="F364" s="495"/>
      <c r="G364" s="513">
        <f t="array" ref="G364">SUM(IF("155"&amp;C364=KHN&amp;MH,SL))</f>
        <v>10</v>
      </c>
      <c r="H364" s="513">
        <f t="array" ref="H364">SUM(IF("155"&amp;C364=KHN&amp;MH,TH))</f>
        <v>132175</v>
      </c>
      <c r="I364" s="513">
        <f t="array" ref="I364">SUM(IF("155"&amp;C364=KHC&amp;MH,SL))</f>
        <v>10</v>
      </c>
      <c r="J364" s="513">
        <f t="array" ref="J364">SUM(IF("155"&amp;C364=KHC&amp;MH,TH))</f>
        <v>132175</v>
      </c>
      <c r="K364" s="495">
        <f t="shared" si="37"/>
        <v>0</v>
      </c>
      <c r="L364" s="495">
        <f t="shared" si="38"/>
        <v>0</v>
      </c>
      <c r="M364" s="300"/>
      <c r="N364" s="300"/>
    </row>
    <row r="365" spans="1:14" s="294" customFormat="1" ht="18.75" customHeight="1">
      <c r="A365" s="300" t="str">
        <f t="shared" si="35"/>
        <v>TP</v>
      </c>
      <c r="B365" s="571">
        <f t="shared" si="36"/>
        <v>216</v>
      </c>
      <c r="C365" s="566" t="s">
        <v>993</v>
      </c>
      <c r="D365" s="572" t="s">
        <v>1373</v>
      </c>
      <c r="E365" s="495"/>
      <c r="F365" s="495"/>
      <c r="G365" s="513">
        <f t="array" ref="G365">SUM(IF("155"&amp;C365=KHN&amp;MH,SL))</f>
        <v>1</v>
      </c>
      <c r="H365" s="513">
        <f t="array" ref="H365">SUM(IF("155"&amp;C365=KHN&amp;MH,TH))</f>
        <v>9490</v>
      </c>
      <c r="I365" s="513">
        <f t="array" ref="I365">SUM(IF("155"&amp;C365=KHC&amp;MH,SL))</f>
        <v>1</v>
      </c>
      <c r="J365" s="513">
        <f t="array" ref="J365">SUM(IF("155"&amp;C365=KHC&amp;MH,TH))</f>
        <v>9490</v>
      </c>
      <c r="K365" s="495">
        <f t="shared" si="37"/>
        <v>0</v>
      </c>
      <c r="L365" s="495">
        <f t="shared" si="38"/>
        <v>0</v>
      </c>
      <c r="M365" s="300"/>
      <c r="N365" s="300"/>
    </row>
    <row r="366" spans="1:14" s="294" customFormat="1" ht="18.75" customHeight="1">
      <c r="A366" s="300" t="str">
        <f t="shared" si="35"/>
        <v>TP</v>
      </c>
      <c r="B366" s="571">
        <f t="shared" si="36"/>
        <v>217</v>
      </c>
      <c r="C366" s="566" t="s">
        <v>1000</v>
      </c>
      <c r="D366" s="572" t="s">
        <v>1373</v>
      </c>
      <c r="E366" s="495"/>
      <c r="F366" s="495"/>
      <c r="G366" s="513">
        <f t="array" ref="G366">SUM(IF("155"&amp;C366=KHN&amp;MH,SL))</f>
        <v>151</v>
      </c>
      <c r="H366" s="513">
        <f t="array" ref="H366">SUM(IF("155"&amp;C366=KHN&amp;MH,TH))</f>
        <v>1643022</v>
      </c>
      <c r="I366" s="513">
        <f t="array" ref="I366">SUM(IF("155"&amp;C366=KHC&amp;MH,SL))</f>
        <v>151</v>
      </c>
      <c r="J366" s="513">
        <f t="array" ref="J366">SUM(IF("155"&amp;C366=KHC&amp;MH,TH))</f>
        <v>1643022</v>
      </c>
      <c r="K366" s="495">
        <f t="shared" si="37"/>
        <v>0</v>
      </c>
      <c r="L366" s="495">
        <f t="shared" si="38"/>
        <v>0</v>
      </c>
      <c r="M366" s="300"/>
      <c r="N366" s="300"/>
    </row>
    <row r="367" spans="1:14" s="294" customFormat="1" ht="18.75" customHeight="1">
      <c r="A367" s="300" t="str">
        <f t="shared" si="35"/>
        <v>TP</v>
      </c>
      <c r="B367" s="571">
        <f t="shared" si="36"/>
        <v>218</v>
      </c>
      <c r="C367" s="566" t="s">
        <v>1002</v>
      </c>
      <c r="D367" s="572" t="s">
        <v>1373</v>
      </c>
      <c r="E367" s="495"/>
      <c r="F367" s="495"/>
      <c r="G367" s="513">
        <f t="array" ref="G367">SUM(IF("155"&amp;C367=KHN&amp;MH,SL))</f>
        <v>163</v>
      </c>
      <c r="H367" s="513">
        <f t="array" ref="H367">SUM(IF("155"&amp;C367=KHN&amp;MH,TH))</f>
        <v>2121561</v>
      </c>
      <c r="I367" s="513">
        <f t="array" ref="I367">SUM(IF("155"&amp;C367=KHC&amp;MH,SL))</f>
        <v>163</v>
      </c>
      <c r="J367" s="513">
        <f t="array" ref="J367">SUM(IF("155"&amp;C367=KHC&amp;MH,TH))</f>
        <v>2121561</v>
      </c>
      <c r="K367" s="495">
        <f t="shared" si="37"/>
        <v>0</v>
      </c>
      <c r="L367" s="495">
        <f t="shared" si="38"/>
        <v>0</v>
      </c>
      <c r="M367" s="300"/>
      <c r="N367" s="300"/>
    </row>
    <row r="368" spans="1:14" s="294" customFormat="1" ht="18.75" customHeight="1">
      <c r="A368" s="300" t="str">
        <f t="shared" si="35"/>
        <v>TP</v>
      </c>
      <c r="B368" s="571">
        <f t="shared" si="36"/>
        <v>219</v>
      </c>
      <c r="C368" s="566" t="s">
        <v>806</v>
      </c>
      <c r="D368" s="572" t="s">
        <v>1373</v>
      </c>
      <c r="E368" s="495"/>
      <c r="F368" s="495"/>
      <c r="G368" s="513">
        <f t="array" ref="G368">SUM(IF("155"&amp;C368=KHN&amp;MH,SL))</f>
        <v>1380</v>
      </c>
      <c r="H368" s="513">
        <f t="array" ref="H368">SUM(IF("155"&amp;C368=KHN&amp;MH,TH))</f>
        <v>19264128</v>
      </c>
      <c r="I368" s="513">
        <f t="array" ref="I368">SUM(IF("155"&amp;C368=KHC&amp;MH,SL))</f>
        <v>1380</v>
      </c>
      <c r="J368" s="513">
        <f t="array" ref="J368">SUM(IF("155"&amp;C368=KHC&amp;MH,TH))</f>
        <v>19264128</v>
      </c>
      <c r="K368" s="495">
        <f t="shared" si="37"/>
        <v>0</v>
      </c>
      <c r="L368" s="495">
        <f t="shared" si="38"/>
        <v>0</v>
      </c>
      <c r="M368" s="300"/>
      <c r="N368" s="300"/>
    </row>
    <row r="369" spans="1:14" s="294" customFormat="1" ht="18.75" customHeight="1">
      <c r="A369" s="300" t="str">
        <f t="shared" si="35"/>
        <v>TP</v>
      </c>
      <c r="B369" s="571">
        <f t="shared" si="36"/>
        <v>220</v>
      </c>
      <c r="C369" s="566" t="s">
        <v>802</v>
      </c>
      <c r="D369" s="572" t="s">
        <v>1373</v>
      </c>
      <c r="E369" s="495"/>
      <c r="F369" s="495"/>
      <c r="G369" s="513">
        <f t="array" ref="G369">SUM(IF("155"&amp;C369=KHN&amp;MH,SL))</f>
        <v>364</v>
      </c>
      <c r="H369" s="513">
        <f t="array" ref="H369">SUM(IF("155"&amp;C369=KHN&amp;MH,TH))</f>
        <v>5623063</v>
      </c>
      <c r="I369" s="513">
        <f t="array" ref="I369">SUM(IF("155"&amp;C369=KHC&amp;MH,SL))</f>
        <v>364</v>
      </c>
      <c r="J369" s="513">
        <f t="array" ref="J369">SUM(IF("155"&amp;C369=KHC&amp;MH,TH))</f>
        <v>5623063</v>
      </c>
      <c r="K369" s="495">
        <f t="shared" si="37"/>
        <v>0</v>
      </c>
      <c r="L369" s="495">
        <f t="shared" si="38"/>
        <v>0</v>
      </c>
      <c r="M369" s="300"/>
      <c r="N369" s="300"/>
    </row>
    <row r="370" spans="1:14" s="294" customFormat="1" ht="18.75" customHeight="1">
      <c r="A370" s="300" t="str">
        <f t="shared" si="35"/>
        <v>TP</v>
      </c>
      <c r="B370" s="571">
        <f t="shared" si="36"/>
        <v>221</v>
      </c>
      <c r="C370" s="566" t="s">
        <v>995</v>
      </c>
      <c r="D370" s="572" t="s">
        <v>1373</v>
      </c>
      <c r="E370" s="495"/>
      <c r="F370" s="495"/>
      <c r="G370" s="513">
        <f t="array" ref="G370">SUM(IF("155"&amp;C370=KHN&amp;MH,SL))</f>
        <v>700</v>
      </c>
      <c r="H370" s="513">
        <f t="array" ref="H370">SUM(IF("155"&amp;C370=KHN&amp;MH,TH))</f>
        <v>9064929</v>
      </c>
      <c r="I370" s="513">
        <f t="array" ref="I370">SUM(IF("155"&amp;C370=KHC&amp;MH,SL))</f>
        <v>700</v>
      </c>
      <c r="J370" s="513">
        <f t="array" ref="J370">SUM(IF("155"&amp;C370=KHC&amp;MH,TH))</f>
        <v>9064929</v>
      </c>
      <c r="K370" s="495">
        <f t="shared" si="37"/>
        <v>0</v>
      </c>
      <c r="L370" s="495">
        <f t="shared" si="38"/>
        <v>0</v>
      </c>
      <c r="M370" s="300"/>
      <c r="N370" s="300"/>
    </row>
    <row r="371" spans="1:14" s="294" customFormat="1" ht="18.75" customHeight="1">
      <c r="A371" s="300" t="str">
        <f t="shared" si="35"/>
        <v>TP</v>
      </c>
      <c r="B371" s="571">
        <f t="shared" si="36"/>
        <v>222</v>
      </c>
      <c r="C371" s="566" t="s">
        <v>994</v>
      </c>
      <c r="D371" s="572" t="s">
        <v>1373</v>
      </c>
      <c r="E371" s="495"/>
      <c r="F371" s="495"/>
      <c r="G371" s="513">
        <f t="array" ref="G371">SUM(IF("155"&amp;C371=KHN&amp;MH,SL))</f>
        <v>2</v>
      </c>
      <c r="H371" s="513">
        <f t="array" ref="H371">SUM(IF("155"&amp;C371=KHN&amp;MH,TH))</f>
        <v>20618</v>
      </c>
      <c r="I371" s="513">
        <f t="array" ref="I371">SUM(IF("155"&amp;C371=KHC&amp;MH,SL))</f>
        <v>2</v>
      </c>
      <c r="J371" s="513">
        <f t="array" ref="J371">SUM(IF("155"&amp;C371=KHC&amp;MH,TH))</f>
        <v>20618</v>
      </c>
      <c r="K371" s="495">
        <f t="shared" si="37"/>
        <v>0</v>
      </c>
      <c r="L371" s="495">
        <f t="shared" si="38"/>
        <v>0</v>
      </c>
      <c r="M371" s="300"/>
      <c r="N371" s="300"/>
    </row>
    <row r="372" spans="1:14" s="294" customFormat="1" ht="18.75" customHeight="1">
      <c r="A372" s="300" t="str">
        <f t="shared" si="35"/>
        <v>TP</v>
      </c>
      <c r="B372" s="571">
        <f t="shared" si="36"/>
        <v>223</v>
      </c>
      <c r="C372" s="566" t="s">
        <v>807</v>
      </c>
      <c r="D372" s="572" t="s">
        <v>1373</v>
      </c>
      <c r="E372" s="495"/>
      <c r="F372" s="495"/>
      <c r="G372" s="513">
        <f t="array" ref="G372">SUM(IF("155"&amp;C372=KHN&amp;MH,SL))</f>
        <v>1127</v>
      </c>
      <c r="H372" s="513">
        <f t="array" ref="H372">SUM(IF("155"&amp;C372=KHN&amp;MH,TH))</f>
        <v>15744971</v>
      </c>
      <c r="I372" s="513">
        <f t="array" ref="I372">SUM(IF("155"&amp;C372=KHC&amp;MH,SL))</f>
        <v>1127</v>
      </c>
      <c r="J372" s="513">
        <f t="array" ref="J372">SUM(IF("155"&amp;C372=KHC&amp;MH,TH))</f>
        <v>15744971</v>
      </c>
      <c r="K372" s="495">
        <f t="shared" si="37"/>
        <v>0</v>
      </c>
      <c r="L372" s="495">
        <f t="shared" si="38"/>
        <v>0</v>
      </c>
      <c r="M372" s="300"/>
      <c r="N372" s="300"/>
    </row>
    <row r="373" spans="1:14" s="294" customFormat="1" ht="18.75" customHeight="1">
      <c r="A373" s="300" t="str">
        <f t="shared" si="35"/>
        <v>TP</v>
      </c>
      <c r="B373" s="571">
        <f t="shared" si="36"/>
        <v>224</v>
      </c>
      <c r="C373" s="566" t="s">
        <v>801</v>
      </c>
      <c r="D373" s="572" t="s">
        <v>1373</v>
      </c>
      <c r="E373" s="495"/>
      <c r="F373" s="495"/>
      <c r="G373" s="513">
        <f t="array" ref="G373">SUM(IF("155"&amp;C373=KHN&amp;MH,SL))</f>
        <v>24</v>
      </c>
      <c r="H373" s="513">
        <f t="array" ref="H373">SUM(IF("155"&amp;C373=KHN&amp;MH,TH))</f>
        <v>356580</v>
      </c>
      <c r="I373" s="513">
        <f t="array" ref="I373">SUM(IF("155"&amp;C373=KHC&amp;MH,SL))</f>
        <v>24</v>
      </c>
      <c r="J373" s="513">
        <f t="array" ref="J373">SUM(IF("155"&amp;C373=KHC&amp;MH,TH))</f>
        <v>356580</v>
      </c>
      <c r="K373" s="495">
        <f t="shared" si="37"/>
        <v>0</v>
      </c>
      <c r="L373" s="495">
        <f t="shared" si="38"/>
        <v>0</v>
      </c>
      <c r="M373" s="300"/>
      <c r="N373" s="300"/>
    </row>
    <row r="374" spans="1:14" s="294" customFormat="1" ht="18.75" customHeight="1">
      <c r="A374" s="300" t="str">
        <f t="shared" si="35"/>
        <v>TP</v>
      </c>
      <c r="B374" s="571">
        <f t="shared" si="36"/>
        <v>225</v>
      </c>
      <c r="C374" s="566" t="s">
        <v>996</v>
      </c>
      <c r="D374" s="572" t="s">
        <v>1373</v>
      </c>
      <c r="E374" s="495"/>
      <c r="F374" s="495"/>
      <c r="G374" s="513">
        <f t="array" ref="G374">SUM(IF("155"&amp;C374=KHN&amp;MH,SL))</f>
        <v>63</v>
      </c>
      <c r="H374" s="513">
        <f t="array" ref="H374">SUM(IF("155"&amp;C374=KHN&amp;MH,TH))</f>
        <v>878287</v>
      </c>
      <c r="I374" s="513">
        <f t="array" ref="I374">SUM(IF("155"&amp;C374=KHC&amp;MH,SL))</f>
        <v>63</v>
      </c>
      <c r="J374" s="513">
        <f t="array" ref="J374">SUM(IF("155"&amp;C374=KHC&amp;MH,TH))</f>
        <v>878287</v>
      </c>
      <c r="K374" s="495">
        <f t="shared" si="37"/>
        <v>0</v>
      </c>
      <c r="L374" s="495">
        <f t="shared" si="38"/>
        <v>0</v>
      </c>
      <c r="M374" s="300"/>
      <c r="N374" s="300"/>
    </row>
    <row r="375" spans="1:14" s="294" customFormat="1" ht="18.75" customHeight="1">
      <c r="A375" s="300" t="str">
        <f t="shared" si="35"/>
        <v>TP</v>
      </c>
      <c r="B375" s="571">
        <f t="shared" si="36"/>
        <v>226</v>
      </c>
      <c r="C375" s="566" t="s">
        <v>805</v>
      </c>
      <c r="D375" s="572" t="s">
        <v>1373</v>
      </c>
      <c r="E375" s="495"/>
      <c r="F375" s="495"/>
      <c r="G375" s="513">
        <f t="array" ref="G375">SUM(IF("155"&amp;C375=KHN&amp;MH,SL))</f>
        <v>414</v>
      </c>
      <c r="H375" s="513">
        <f t="array" ref="H375">SUM(IF("155"&amp;C375=KHN&amp;MH,TH))</f>
        <v>6384038</v>
      </c>
      <c r="I375" s="513">
        <f t="array" ref="I375">SUM(IF("155"&amp;C375=KHC&amp;MH,SL))</f>
        <v>414</v>
      </c>
      <c r="J375" s="513">
        <f t="array" ref="J375">SUM(IF("155"&amp;C375=KHC&amp;MH,TH))</f>
        <v>6384038</v>
      </c>
      <c r="K375" s="495">
        <f t="shared" si="37"/>
        <v>0</v>
      </c>
      <c r="L375" s="495">
        <f t="shared" si="38"/>
        <v>0</v>
      </c>
      <c r="M375" s="300"/>
      <c r="N375" s="300"/>
    </row>
    <row r="376" spans="1:14" s="294" customFormat="1" ht="18.75" customHeight="1">
      <c r="A376" s="300" t="str">
        <f t="shared" si="35"/>
        <v>TP</v>
      </c>
      <c r="B376" s="571">
        <f t="shared" si="36"/>
        <v>227</v>
      </c>
      <c r="C376" s="566" t="s">
        <v>988</v>
      </c>
      <c r="D376" s="572" t="s">
        <v>1373</v>
      </c>
      <c r="E376" s="495"/>
      <c r="F376" s="495"/>
      <c r="G376" s="513">
        <f t="array" ref="G376">SUM(IF("155"&amp;C376=KHN&amp;MH,SL))</f>
        <v>4</v>
      </c>
      <c r="H376" s="513">
        <f t="array" ref="H376">SUM(IF("155"&amp;C376=KHN&amp;MH,TH))</f>
        <v>71610</v>
      </c>
      <c r="I376" s="513">
        <f t="array" ref="I376">SUM(IF("155"&amp;C376=KHC&amp;MH,SL))</f>
        <v>4</v>
      </c>
      <c r="J376" s="513">
        <f t="array" ref="J376">SUM(IF("155"&amp;C376=KHC&amp;MH,TH))</f>
        <v>71610</v>
      </c>
      <c r="K376" s="495">
        <f t="shared" si="37"/>
        <v>0</v>
      </c>
      <c r="L376" s="495">
        <f t="shared" si="38"/>
        <v>0</v>
      </c>
      <c r="M376" s="300"/>
      <c r="N376" s="300"/>
    </row>
    <row r="377" spans="1:14" s="294" customFormat="1" ht="18.75" customHeight="1">
      <c r="A377" s="300" t="str">
        <f t="shared" si="35"/>
        <v>TP</v>
      </c>
      <c r="B377" s="571">
        <f t="shared" si="36"/>
        <v>228</v>
      </c>
      <c r="C377" s="566" t="s">
        <v>800</v>
      </c>
      <c r="D377" s="572" t="s">
        <v>1373</v>
      </c>
      <c r="E377" s="495"/>
      <c r="F377" s="495"/>
      <c r="G377" s="513">
        <f t="array" ref="G377">SUM(IF("155"&amp;C377=KHN&amp;MH,SL))</f>
        <v>4</v>
      </c>
      <c r="H377" s="513">
        <f t="array" ref="H377">SUM(IF("155"&amp;C377=KHN&amp;MH,TH))</f>
        <v>59430</v>
      </c>
      <c r="I377" s="513">
        <f t="array" ref="I377">SUM(IF("155"&amp;C377=KHC&amp;MH,SL))</f>
        <v>4</v>
      </c>
      <c r="J377" s="513">
        <f t="array" ref="J377">SUM(IF("155"&amp;C377=KHC&amp;MH,TH))</f>
        <v>59430</v>
      </c>
      <c r="K377" s="495">
        <f t="shared" si="37"/>
        <v>0</v>
      </c>
      <c r="L377" s="495">
        <f t="shared" si="38"/>
        <v>0</v>
      </c>
      <c r="M377" s="300"/>
      <c r="N377" s="300"/>
    </row>
    <row r="378" spans="1:14" s="294" customFormat="1" ht="18.75" customHeight="1">
      <c r="A378" s="300" t="str">
        <f t="shared" si="35"/>
        <v>TP</v>
      </c>
      <c r="B378" s="571">
        <f t="shared" si="36"/>
        <v>229</v>
      </c>
      <c r="C378" s="566" t="s">
        <v>966</v>
      </c>
      <c r="D378" s="572" t="s">
        <v>1373</v>
      </c>
      <c r="E378" s="495"/>
      <c r="F378" s="495"/>
      <c r="G378" s="513">
        <f t="array" ref="G378">SUM(IF("155"&amp;C378=KHN&amp;MH,SL))</f>
        <v>989</v>
      </c>
      <c r="H378" s="513">
        <f t="array" ref="H378">SUM(IF("155"&amp;C378=KHN&amp;MH,TH))</f>
        <v>8254588</v>
      </c>
      <c r="I378" s="513">
        <f t="array" ref="I378">SUM(IF("155"&amp;C378=KHC&amp;MH,SL))</f>
        <v>989</v>
      </c>
      <c r="J378" s="513">
        <f t="array" ref="J378">SUM(IF("155"&amp;C378=KHC&amp;MH,TH))</f>
        <v>8254588</v>
      </c>
      <c r="K378" s="495">
        <f t="shared" si="37"/>
        <v>0</v>
      </c>
      <c r="L378" s="495">
        <f t="shared" si="38"/>
        <v>0</v>
      </c>
      <c r="M378" s="300"/>
      <c r="N378" s="300"/>
    </row>
    <row r="379" spans="1:14" s="294" customFormat="1" ht="18.75" customHeight="1">
      <c r="A379" s="300" t="str">
        <f t="shared" si="35"/>
        <v>TP</v>
      </c>
      <c r="B379" s="571">
        <f t="shared" si="36"/>
        <v>230</v>
      </c>
      <c r="C379" s="566" t="s">
        <v>891</v>
      </c>
      <c r="D379" s="572" t="s">
        <v>1373</v>
      </c>
      <c r="E379" s="495"/>
      <c r="F379" s="495"/>
      <c r="G379" s="513">
        <f t="array" ref="G379">SUM(IF("155"&amp;C379=KHN&amp;MH,SL))</f>
        <v>103</v>
      </c>
      <c r="H379" s="513">
        <f t="array" ref="H379">SUM(IF("155"&amp;C379=KHN&amp;MH,TH))</f>
        <v>760708</v>
      </c>
      <c r="I379" s="513">
        <f t="array" ref="I379">SUM(IF("155"&amp;C379=KHC&amp;MH,SL))</f>
        <v>103</v>
      </c>
      <c r="J379" s="513">
        <f t="array" ref="J379">SUM(IF("155"&amp;C379=KHC&amp;MH,TH))</f>
        <v>760708</v>
      </c>
      <c r="K379" s="495">
        <f t="shared" si="37"/>
        <v>0</v>
      </c>
      <c r="L379" s="495">
        <f t="shared" si="38"/>
        <v>0</v>
      </c>
      <c r="M379" s="300"/>
      <c r="N379" s="300"/>
    </row>
    <row r="380" spans="1:14" s="294" customFormat="1" ht="18.75" customHeight="1">
      <c r="A380" s="300" t="str">
        <f t="shared" si="35"/>
        <v>TP</v>
      </c>
      <c r="B380" s="571">
        <f t="shared" si="36"/>
        <v>231</v>
      </c>
      <c r="C380" s="566" t="s">
        <v>771</v>
      </c>
      <c r="D380" s="572" t="s">
        <v>1373</v>
      </c>
      <c r="E380" s="495"/>
      <c r="F380" s="495"/>
      <c r="G380" s="513">
        <f t="array" ref="G380">SUM(IF("155"&amp;C380=KHN&amp;MH,SL))</f>
        <v>398</v>
      </c>
      <c r="H380" s="513">
        <f t="array" ref="H380">SUM(IF("155"&amp;C380=KHN&amp;MH,TH))</f>
        <v>2861823</v>
      </c>
      <c r="I380" s="513">
        <f t="array" ref="I380">SUM(IF("155"&amp;C380=KHC&amp;MH,SL))</f>
        <v>398</v>
      </c>
      <c r="J380" s="513">
        <f t="array" ref="J380">SUM(IF("155"&amp;C380=KHC&amp;MH,TH))</f>
        <v>2861823</v>
      </c>
      <c r="K380" s="495">
        <f t="shared" si="37"/>
        <v>0</v>
      </c>
      <c r="L380" s="495">
        <f t="shared" si="38"/>
        <v>0</v>
      </c>
      <c r="M380" s="300"/>
      <c r="N380" s="300"/>
    </row>
    <row r="381" spans="1:14" s="294" customFormat="1" ht="18.75" customHeight="1">
      <c r="A381" s="300" t="str">
        <f t="shared" si="35"/>
        <v>TP</v>
      </c>
      <c r="B381" s="571">
        <f t="shared" si="36"/>
        <v>232</v>
      </c>
      <c r="C381" s="566" t="s">
        <v>892</v>
      </c>
      <c r="D381" s="572" t="s">
        <v>1373</v>
      </c>
      <c r="E381" s="495"/>
      <c r="F381" s="495"/>
      <c r="G381" s="513">
        <f t="array" ref="G381">SUM(IF("155"&amp;C381=KHN&amp;MH,SL))</f>
        <v>101</v>
      </c>
      <c r="H381" s="513">
        <f t="array" ref="H381">SUM(IF("155"&amp;C381=KHN&amp;MH,TH))</f>
        <v>745937</v>
      </c>
      <c r="I381" s="513">
        <f t="array" ref="I381">SUM(IF("155"&amp;C381=KHC&amp;MH,SL))</f>
        <v>101</v>
      </c>
      <c r="J381" s="513">
        <f t="array" ref="J381">SUM(IF("155"&amp;C381=KHC&amp;MH,TH))</f>
        <v>745937</v>
      </c>
      <c r="K381" s="495">
        <f t="shared" si="37"/>
        <v>0</v>
      </c>
      <c r="L381" s="495">
        <f t="shared" si="38"/>
        <v>0</v>
      </c>
      <c r="M381" s="300"/>
      <c r="N381" s="300"/>
    </row>
    <row r="382" spans="1:14" s="294" customFormat="1" ht="18.75" customHeight="1">
      <c r="A382" s="300" t="str">
        <f t="shared" si="35"/>
        <v>TP</v>
      </c>
      <c r="B382" s="571">
        <f t="shared" si="36"/>
        <v>233</v>
      </c>
      <c r="C382" s="566" t="s">
        <v>770</v>
      </c>
      <c r="D382" s="572" t="s">
        <v>1373</v>
      </c>
      <c r="E382" s="495"/>
      <c r="F382" s="495"/>
      <c r="G382" s="513">
        <f t="array" ref="G382">SUM(IF("155"&amp;C382=KHN&amp;MH,SL))</f>
        <v>790</v>
      </c>
      <c r="H382" s="513">
        <f t="array" ref="H382">SUM(IF("155"&amp;C382=KHN&amp;MH,TH))</f>
        <v>5636064</v>
      </c>
      <c r="I382" s="513">
        <f t="array" ref="I382">SUM(IF("155"&amp;C382=KHC&amp;MH,SL))</f>
        <v>790</v>
      </c>
      <c r="J382" s="513">
        <f t="array" ref="J382">SUM(IF("155"&amp;C382=KHC&amp;MH,TH))</f>
        <v>5636064</v>
      </c>
      <c r="K382" s="495">
        <f t="shared" si="37"/>
        <v>0</v>
      </c>
      <c r="L382" s="495">
        <f t="shared" si="38"/>
        <v>0</v>
      </c>
      <c r="M382" s="300"/>
      <c r="N382" s="300"/>
    </row>
    <row r="383" spans="1:14" s="294" customFormat="1" ht="18.75" customHeight="1">
      <c r="A383" s="300" t="str">
        <f t="shared" si="35"/>
        <v>TP</v>
      </c>
      <c r="B383" s="571">
        <f t="shared" si="36"/>
        <v>234</v>
      </c>
      <c r="C383" s="566" t="s">
        <v>767</v>
      </c>
      <c r="D383" s="572" t="s">
        <v>1373</v>
      </c>
      <c r="E383" s="495"/>
      <c r="F383" s="495"/>
      <c r="G383" s="513">
        <f t="array" ref="G383">SUM(IF("155"&amp;C383=KHN&amp;MH,SL))</f>
        <v>207</v>
      </c>
      <c r="H383" s="513">
        <f t="array" ref="H383">SUM(IF("155"&amp;C383=KHN&amp;MH,TH))</f>
        <v>3547884</v>
      </c>
      <c r="I383" s="513">
        <f t="array" ref="I383">SUM(IF("155"&amp;C383=KHC&amp;MH,SL))</f>
        <v>207</v>
      </c>
      <c r="J383" s="513">
        <f t="array" ref="J383">SUM(IF("155"&amp;C383=KHC&amp;MH,TH))</f>
        <v>3547884</v>
      </c>
      <c r="K383" s="495">
        <f t="shared" si="37"/>
        <v>0</v>
      </c>
      <c r="L383" s="495">
        <f t="shared" si="38"/>
        <v>0</v>
      </c>
      <c r="M383" s="300"/>
      <c r="N383" s="300"/>
    </row>
    <row r="384" spans="1:14" s="294" customFormat="1" ht="18.75" customHeight="1">
      <c r="A384" s="300" t="str">
        <f t="shared" si="35"/>
        <v>TP</v>
      </c>
      <c r="B384" s="571">
        <f t="shared" si="36"/>
        <v>235</v>
      </c>
      <c r="C384" s="566" t="s">
        <v>768</v>
      </c>
      <c r="D384" s="572" t="s">
        <v>1373</v>
      </c>
      <c r="E384" s="495"/>
      <c r="F384" s="495"/>
      <c r="G384" s="513">
        <f t="array" ref="G384">SUM(IF("155"&amp;C384=KHN&amp;MH,SL))</f>
        <v>177</v>
      </c>
      <c r="H384" s="513">
        <f t="array" ref="H384">SUM(IF("155"&amp;C384=KHN&amp;MH,TH))</f>
        <v>2429883</v>
      </c>
      <c r="I384" s="513">
        <f t="array" ref="I384">SUM(IF("155"&amp;C384=KHC&amp;MH,SL))</f>
        <v>177</v>
      </c>
      <c r="J384" s="513">
        <f t="array" ref="J384">SUM(IF("155"&amp;C384=KHC&amp;MH,TH))</f>
        <v>2429883</v>
      </c>
      <c r="K384" s="495">
        <f t="shared" si="37"/>
        <v>0</v>
      </c>
      <c r="L384" s="495">
        <f t="shared" si="38"/>
        <v>0</v>
      </c>
      <c r="M384" s="300"/>
      <c r="N384" s="300"/>
    </row>
    <row r="385" spans="1:14" s="294" customFormat="1" ht="18.75" customHeight="1">
      <c r="A385" s="300" t="str">
        <f t="shared" si="35"/>
        <v>TP</v>
      </c>
      <c r="B385" s="571">
        <f t="shared" si="36"/>
        <v>236</v>
      </c>
      <c r="C385" s="566" t="s">
        <v>775</v>
      </c>
      <c r="D385" s="572" t="s">
        <v>1373</v>
      </c>
      <c r="E385" s="495"/>
      <c r="F385" s="495"/>
      <c r="G385" s="513">
        <f t="array" ref="G385">SUM(IF("155"&amp;C385=KHN&amp;MH,SL))</f>
        <v>191</v>
      </c>
      <c r="H385" s="513">
        <f t="array" ref="H385">SUM(IF("155"&amp;C385=KHN&amp;MH,TH))</f>
        <v>3302041</v>
      </c>
      <c r="I385" s="513">
        <f t="array" ref="I385">SUM(IF("155"&amp;C385=KHC&amp;MH,SL))</f>
        <v>191</v>
      </c>
      <c r="J385" s="513">
        <f t="array" ref="J385">SUM(IF("155"&amp;C385=KHC&amp;MH,TH))</f>
        <v>3302041</v>
      </c>
      <c r="K385" s="495">
        <f t="shared" si="37"/>
        <v>0</v>
      </c>
      <c r="L385" s="495">
        <f t="shared" si="38"/>
        <v>0</v>
      </c>
      <c r="M385" s="300"/>
      <c r="N385" s="300"/>
    </row>
    <row r="386" spans="1:14" s="294" customFormat="1" ht="18.75" customHeight="1">
      <c r="A386" s="300" t="str">
        <f t="shared" si="35"/>
        <v>TP</v>
      </c>
      <c r="B386" s="571">
        <f t="shared" si="36"/>
        <v>237</v>
      </c>
      <c r="C386" s="566" t="s">
        <v>772</v>
      </c>
      <c r="D386" s="572" t="s">
        <v>1373</v>
      </c>
      <c r="E386" s="495"/>
      <c r="F386" s="495"/>
      <c r="G386" s="513">
        <f t="array" ref="G386">SUM(IF("155"&amp;C386=KHN&amp;MH,SL))</f>
        <v>98</v>
      </c>
      <c r="H386" s="513">
        <f t="array" ref="H386">SUM(IF("155"&amp;C386=KHN&amp;MH,TH))</f>
        <v>1345431</v>
      </c>
      <c r="I386" s="513">
        <f t="array" ref="I386">SUM(IF("155"&amp;C386=KHC&amp;MH,SL))</f>
        <v>98</v>
      </c>
      <c r="J386" s="513">
        <f t="array" ref="J386">SUM(IF("155"&amp;C386=KHC&amp;MH,TH))</f>
        <v>1345431</v>
      </c>
      <c r="K386" s="495">
        <f t="shared" si="37"/>
        <v>0</v>
      </c>
      <c r="L386" s="495">
        <f t="shared" si="38"/>
        <v>0</v>
      </c>
      <c r="M386" s="300"/>
      <c r="N386" s="300"/>
    </row>
    <row r="387" spans="1:14" s="294" customFormat="1" ht="18.75" customHeight="1">
      <c r="A387" s="300" t="str">
        <f t="shared" si="35"/>
        <v>TP</v>
      </c>
      <c r="B387" s="571">
        <f t="shared" si="36"/>
        <v>238</v>
      </c>
      <c r="C387" s="566" t="s">
        <v>776</v>
      </c>
      <c r="D387" s="572" t="s">
        <v>1373</v>
      </c>
      <c r="E387" s="495"/>
      <c r="F387" s="495"/>
      <c r="G387" s="513">
        <f t="array" ref="G387">SUM(IF("155"&amp;C387=KHN&amp;MH,SL))</f>
        <v>206</v>
      </c>
      <c r="H387" s="513">
        <f t="array" ref="H387">SUM(IF("155"&amp;C387=KHN&amp;MH,TH))</f>
        <v>3060647</v>
      </c>
      <c r="I387" s="513">
        <f t="array" ref="I387">SUM(IF("155"&amp;C387=KHC&amp;MH,SL))</f>
        <v>206</v>
      </c>
      <c r="J387" s="513">
        <f t="array" ref="J387">SUM(IF("155"&amp;C387=KHC&amp;MH,TH))</f>
        <v>3060647</v>
      </c>
      <c r="K387" s="495">
        <f t="shared" si="37"/>
        <v>0</v>
      </c>
      <c r="L387" s="495">
        <f t="shared" si="38"/>
        <v>0</v>
      </c>
      <c r="M387" s="300"/>
      <c r="N387" s="300"/>
    </row>
    <row r="388" spans="1:14" s="294" customFormat="1" ht="18.75" customHeight="1">
      <c r="A388" s="300" t="str">
        <f t="shared" si="35"/>
        <v>TP</v>
      </c>
      <c r="B388" s="571">
        <f t="shared" si="36"/>
        <v>239</v>
      </c>
      <c r="C388" s="566" t="s">
        <v>799</v>
      </c>
      <c r="D388" s="572" t="s">
        <v>1373</v>
      </c>
      <c r="E388" s="495"/>
      <c r="F388" s="495"/>
      <c r="G388" s="513">
        <f t="array" ref="G388">SUM(IF("155"&amp;C388=KHN&amp;MH,SL))</f>
        <v>86</v>
      </c>
      <c r="H388" s="513">
        <f t="array" ref="H388">SUM(IF("155"&amp;C388=KHN&amp;MH,TH))</f>
        <v>1572468</v>
      </c>
      <c r="I388" s="513">
        <f t="array" ref="I388">SUM(IF("155"&amp;C388=KHC&amp;MH,SL))</f>
        <v>86</v>
      </c>
      <c r="J388" s="513">
        <f t="array" ref="J388">SUM(IF("155"&amp;C388=KHC&amp;MH,TH))</f>
        <v>1572468</v>
      </c>
      <c r="K388" s="495">
        <f t="shared" si="37"/>
        <v>0</v>
      </c>
      <c r="L388" s="495">
        <f t="shared" si="38"/>
        <v>0</v>
      </c>
      <c r="M388" s="300"/>
      <c r="N388" s="300"/>
    </row>
    <row r="389" spans="1:14" s="294" customFormat="1" ht="18.75" customHeight="1">
      <c r="A389" s="300" t="str">
        <f t="shared" si="35"/>
        <v>TP</v>
      </c>
      <c r="B389" s="571">
        <f t="shared" si="36"/>
        <v>240</v>
      </c>
      <c r="C389" s="566" t="s">
        <v>893</v>
      </c>
      <c r="D389" s="572" t="s">
        <v>1373</v>
      </c>
      <c r="E389" s="495"/>
      <c r="F389" s="495"/>
      <c r="G389" s="513">
        <f t="array" ref="G389">SUM(IF("155"&amp;C389=KHN&amp;MH,SL))</f>
        <v>104</v>
      </c>
      <c r="H389" s="513">
        <f t="array" ref="H389">SUM(IF("155"&amp;C389=KHN&amp;MH,TH))</f>
        <v>2245933</v>
      </c>
      <c r="I389" s="513">
        <f t="array" ref="I389">SUM(IF("155"&amp;C389=KHC&amp;MH,SL))</f>
        <v>104</v>
      </c>
      <c r="J389" s="513">
        <f t="array" ref="J389">SUM(IF("155"&amp;C389=KHC&amp;MH,TH))</f>
        <v>2245933</v>
      </c>
      <c r="K389" s="495">
        <f t="shared" si="37"/>
        <v>0</v>
      </c>
      <c r="L389" s="495">
        <f t="shared" si="38"/>
        <v>0</v>
      </c>
      <c r="M389" s="300"/>
      <c r="N389" s="300"/>
    </row>
    <row r="390" spans="1:14" s="294" customFormat="1" ht="18.75" customHeight="1">
      <c r="A390" s="300" t="str">
        <f t="shared" si="35"/>
        <v>TP</v>
      </c>
      <c r="B390" s="571">
        <f t="shared" si="36"/>
        <v>241</v>
      </c>
      <c r="C390" s="566" t="s">
        <v>769</v>
      </c>
      <c r="D390" s="572" t="s">
        <v>1373</v>
      </c>
      <c r="E390" s="495"/>
      <c r="F390" s="495"/>
      <c r="G390" s="513">
        <f t="array" ref="G390">SUM(IF("155"&amp;C390=KHN&amp;MH,SL))</f>
        <v>205</v>
      </c>
      <c r="H390" s="513">
        <f t="array" ref="H390">SUM(IF("155"&amp;C390=KHN&amp;MH,TH))</f>
        <v>3648824</v>
      </c>
      <c r="I390" s="513">
        <f t="array" ref="I390">SUM(IF("155"&amp;C390=KHC&amp;MH,SL))</f>
        <v>205</v>
      </c>
      <c r="J390" s="513">
        <f t="array" ref="J390">SUM(IF("155"&amp;C390=KHC&amp;MH,TH))</f>
        <v>3648824</v>
      </c>
      <c r="K390" s="495">
        <f t="shared" si="37"/>
        <v>0</v>
      </c>
      <c r="L390" s="495">
        <f t="shared" si="38"/>
        <v>0</v>
      </c>
      <c r="M390" s="300"/>
      <c r="N390" s="300"/>
    </row>
    <row r="391" spans="1:14" s="294" customFormat="1" ht="18.75" customHeight="1">
      <c r="A391" s="300" t="str">
        <f t="shared" si="35"/>
        <v>TP</v>
      </c>
      <c r="B391" s="571">
        <f t="shared" si="36"/>
        <v>242</v>
      </c>
      <c r="C391" s="566" t="s">
        <v>964</v>
      </c>
      <c r="D391" s="572" t="s">
        <v>1373</v>
      </c>
      <c r="E391" s="495"/>
      <c r="F391" s="495"/>
      <c r="G391" s="513">
        <f t="array" ref="G391">SUM(IF("155"&amp;C391=KHN&amp;MH,SL))</f>
        <v>980</v>
      </c>
      <c r="H391" s="513">
        <f t="array" ref="H391">SUM(IF("155"&amp;C391=KHN&amp;MH,TH))</f>
        <v>9755081</v>
      </c>
      <c r="I391" s="513">
        <f t="array" ref="I391">SUM(IF("155"&amp;C391=KHC&amp;MH,SL))</f>
        <v>980</v>
      </c>
      <c r="J391" s="513">
        <f t="array" ref="J391">SUM(IF("155"&amp;C391=KHC&amp;MH,TH))</f>
        <v>9755081</v>
      </c>
      <c r="K391" s="495">
        <f t="shared" si="37"/>
        <v>0</v>
      </c>
      <c r="L391" s="495">
        <f t="shared" si="38"/>
        <v>0</v>
      </c>
      <c r="M391" s="300"/>
      <c r="N391" s="300"/>
    </row>
    <row r="392" spans="1:14" s="294" customFormat="1" ht="18.75" customHeight="1">
      <c r="A392" s="300" t="str">
        <f t="shared" si="35"/>
        <v>TP</v>
      </c>
      <c r="B392" s="571">
        <f t="shared" si="36"/>
        <v>243</v>
      </c>
      <c r="C392" s="566" t="s">
        <v>777</v>
      </c>
      <c r="D392" s="572" t="s">
        <v>1373</v>
      </c>
      <c r="E392" s="495"/>
      <c r="F392" s="495"/>
      <c r="G392" s="513">
        <f t="array" ref="G392">SUM(IF("155"&amp;C392=KHN&amp;MH,SL))</f>
        <v>674</v>
      </c>
      <c r="H392" s="513">
        <f t="array" ref="H392">SUM(IF("155"&amp;C392=KHN&amp;MH,TH))</f>
        <v>5367639</v>
      </c>
      <c r="I392" s="513">
        <f t="array" ref="I392">SUM(IF("155"&amp;C392=KHC&amp;MH,SL))</f>
        <v>674</v>
      </c>
      <c r="J392" s="513">
        <f t="array" ref="J392">SUM(IF("155"&amp;C392=KHC&amp;MH,TH))</f>
        <v>5367639</v>
      </c>
      <c r="K392" s="495">
        <f t="shared" si="37"/>
        <v>0</v>
      </c>
      <c r="L392" s="495">
        <f t="shared" si="38"/>
        <v>0</v>
      </c>
      <c r="M392" s="300"/>
      <c r="N392" s="300"/>
    </row>
    <row r="393" spans="1:14" s="294" customFormat="1" ht="18.75" customHeight="1">
      <c r="A393" s="300" t="str">
        <f t="shared" si="35"/>
        <v>TP</v>
      </c>
      <c r="B393" s="571">
        <f t="shared" si="36"/>
        <v>244</v>
      </c>
      <c r="C393" s="566" t="s">
        <v>890</v>
      </c>
      <c r="D393" s="572" t="s">
        <v>1373</v>
      </c>
      <c r="E393" s="495"/>
      <c r="F393" s="495"/>
      <c r="G393" s="513">
        <f t="array" ref="G393">SUM(IF("155"&amp;C393=KHN&amp;MH,SL))</f>
        <v>306</v>
      </c>
      <c r="H393" s="513">
        <f t="array" ref="H393">SUM(IF("155"&amp;C393=KHN&amp;MH,TH))</f>
        <v>4088776</v>
      </c>
      <c r="I393" s="513">
        <f t="array" ref="I393">SUM(IF("155"&amp;C393=KHC&amp;MH,SL))</f>
        <v>306</v>
      </c>
      <c r="J393" s="513">
        <f t="array" ref="J393">SUM(IF("155"&amp;C393=KHC&amp;MH,TH))</f>
        <v>4088776</v>
      </c>
      <c r="K393" s="495">
        <f t="shared" si="37"/>
        <v>0</v>
      </c>
      <c r="L393" s="495">
        <f t="shared" si="38"/>
        <v>0</v>
      </c>
      <c r="M393" s="300"/>
      <c r="N393" s="300"/>
    </row>
    <row r="394" spans="1:14" s="294" customFormat="1" ht="18.75" customHeight="1">
      <c r="A394" s="300" t="str">
        <f t="shared" si="35"/>
        <v>TP</v>
      </c>
      <c r="B394" s="571">
        <f t="shared" si="36"/>
        <v>245</v>
      </c>
      <c r="C394" s="566" t="s">
        <v>778</v>
      </c>
      <c r="D394" s="572" t="s">
        <v>1373</v>
      </c>
      <c r="E394" s="495"/>
      <c r="F394" s="495"/>
      <c r="G394" s="513">
        <f t="array" ref="G394">SUM(IF("155"&amp;C394=KHN&amp;MH,SL))</f>
        <v>300</v>
      </c>
      <c r="H394" s="513">
        <f t="array" ref="H394">SUM(IF("155"&amp;C394=KHN&amp;MH,TH))</f>
        <v>3846103</v>
      </c>
      <c r="I394" s="513">
        <f t="array" ref="I394">SUM(IF("155"&amp;C394=KHC&amp;MH,SL))</f>
        <v>300</v>
      </c>
      <c r="J394" s="513">
        <f t="array" ref="J394">SUM(IF("155"&amp;C394=KHC&amp;MH,TH))</f>
        <v>3846103</v>
      </c>
      <c r="K394" s="495">
        <f t="shared" si="37"/>
        <v>0</v>
      </c>
      <c r="L394" s="495">
        <f t="shared" si="38"/>
        <v>0</v>
      </c>
      <c r="M394" s="300"/>
      <c r="N394" s="300"/>
    </row>
    <row r="395" spans="1:14" s="294" customFormat="1" ht="18.75" customHeight="1">
      <c r="A395" s="300" t="str">
        <f t="shared" si="35"/>
        <v>TP</v>
      </c>
      <c r="B395" s="571">
        <f t="shared" si="36"/>
        <v>246</v>
      </c>
      <c r="C395" s="566" t="s">
        <v>781</v>
      </c>
      <c r="D395" s="572" t="s">
        <v>1373</v>
      </c>
      <c r="E395" s="495"/>
      <c r="F395" s="495"/>
      <c r="G395" s="513">
        <f t="array" ref="G395">SUM(IF("155"&amp;C395=KHN&amp;MH,SL))</f>
        <v>90</v>
      </c>
      <c r="H395" s="513">
        <f t="array" ref="H395">SUM(IF("155"&amp;C395=KHN&amp;MH,TH))</f>
        <v>1377901</v>
      </c>
      <c r="I395" s="513">
        <f t="array" ref="I395">SUM(IF("155"&amp;C395=KHC&amp;MH,SL))</f>
        <v>90</v>
      </c>
      <c r="J395" s="513">
        <f t="array" ref="J395">SUM(IF("155"&amp;C395=KHC&amp;MH,TH))</f>
        <v>1377901</v>
      </c>
      <c r="K395" s="495">
        <f t="shared" si="37"/>
        <v>0</v>
      </c>
      <c r="L395" s="495">
        <f t="shared" si="38"/>
        <v>0</v>
      </c>
      <c r="M395" s="300"/>
      <c r="N395" s="300"/>
    </row>
    <row r="396" spans="1:14" s="294" customFormat="1" ht="18.75" customHeight="1">
      <c r="A396" s="300" t="str">
        <f t="shared" si="35"/>
        <v>TP</v>
      </c>
      <c r="B396" s="571">
        <f t="shared" si="36"/>
        <v>247</v>
      </c>
      <c r="C396" s="566" t="s">
        <v>780</v>
      </c>
      <c r="D396" s="572" t="s">
        <v>1373</v>
      </c>
      <c r="E396" s="495"/>
      <c r="F396" s="495"/>
      <c r="G396" s="513">
        <f t="array" ref="G396">SUM(IF("155"&amp;C396=KHN&amp;MH,SL))</f>
        <v>7</v>
      </c>
      <c r="H396" s="513">
        <f t="array" ref="H396">SUM(IF("155"&amp;C396=KHN&amp;MH,TH))</f>
        <v>122392</v>
      </c>
      <c r="I396" s="513">
        <f t="array" ref="I396">SUM(IF("155"&amp;C396=KHC&amp;MH,SL))</f>
        <v>7</v>
      </c>
      <c r="J396" s="513">
        <f t="array" ref="J396">SUM(IF("155"&amp;C396=KHC&amp;MH,TH))</f>
        <v>122392</v>
      </c>
      <c r="K396" s="495">
        <f t="shared" si="37"/>
        <v>0</v>
      </c>
      <c r="L396" s="495">
        <f t="shared" si="38"/>
        <v>0</v>
      </c>
      <c r="M396" s="300"/>
      <c r="N396" s="300"/>
    </row>
    <row r="397" spans="1:14" s="294" customFormat="1" ht="18.75" customHeight="1">
      <c r="A397" s="300" t="str">
        <f t="shared" si="35"/>
        <v>TP</v>
      </c>
      <c r="B397" s="571">
        <f t="shared" si="36"/>
        <v>248</v>
      </c>
      <c r="C397" s="556" t="s">
        <v>779</v>
      </c>
      <c r="D397" s="572" t="s">
        <v>1373</v>
      </c>
      <c r="E397" s="495"/>
      <c r="F397" s="495"/>
      <c r="G397" s="513">
        <f t="array" ref="G397">SUM(IF("155"&amp;C397=KHN&amp;MH,SL))</f>
        <v>7</v>
      </c>
      <c r="H397" s="513">
        <f t="array" ref="H397">SUM(IF("155"&amp;C397=KHN&amp;MH,TH))</f>
        <v>122392</v>
      </c>
      <c r="I397" s="513">
        <f t="array" ref="I397">SUM(IF("155"&amp;C397=KHC&amp;MH,SL))</f>
        <v>7</v>
      </c>
      <c r="J397" s="513">
        <f t="array" ref="J397">SUM(IF("155"&amp;C397=KHC&amp;MH,TH))</f>
        <v>122392</v>
      </c>
      <c r="K397" s="495">
        <f t="shared" si="37"/>
        <v>0</v>
      </c>
      <c r="L397" s="495">
        <f t="shared" si="38"/>
        <v>0</v>
      </c>
      <c r="M397" s="300"/>
      <c r="N397" s="300"/>
    </row>
    <row r="398" spans="1:14" s="294" customFormat="1" ht="18.75" customHeight="1">
      <c r="A398" s="300" t="str">
        <f t="shared" si="35"/>
        <v>TP</v>
      </c>
      <c r="B398" s="571">
        <f t="shared" si="36"/>
        <v>249</v>
      </c>
      <c r="C398" s="566" t="s">
        <v>965</v>
      </c>
      <c r="D398" s="572" t="s">
        <v>1373</v>
      </c>
      <c r="E398" s="495"/>
      <c r="F398" s="495"/>
      <c r="G398" s="513">
        <f t="array" ref="G398">SUM(IF("155"&amp;C398=KHN&amp;MH,SL))</f>
        <v>1000</v>
      </c>
      <c r="H398" s="513">
        <f t="array" ref="H398">SUM(IF("155"&amp;C398=KHN&amp;MH,TH))</f>
        <v>7593199</v>
      </c>
      <c r="I398" s="513">
        <f t="array" ref="I398">SUM(IF("155"&amp;C398=KHC&amp;MH,SL))</f>
        <v>1000</v>
      </c>
      <c r="J398" s="513">
        <f t="array" ref="J398">SUM(IF("155"&amp;C398=KHC&amp;MH,TH))</f>
        <v>7593199</v>
      </c>
      <c r="K398" s="495">
        <f t="shared" si="37"/>
        <v>0</v>
      </c>
      <c r="L398" s="495">
        <f t="shared" si="38"/>
        <v>0</v>
      </c>
      <c r="M398" s="300"/>
      <c r="N398" s="300"/>
    </row>
    <row r="399" spans="1:14" s="294" customFormat="1" ht="18.75" customHeight="1">
      <c r="A399" s="300" t="str">
        <f t="shared" si="35"/>
        <v>TP</v>
      </c>
      <c r="B399" s="571">
        <f t="shared" si="36"/>
        <v>250</v>
      </c>
      <c r="C399" s="566" t="s">
        <v>967</v>
      </c>
      <c r="D399" s="572" t="s">
        <v>1373</v>
      </c>
      <c r="E399" s="495"/>
      <c r="F399" s="495"/>
      <c r="G399" s="513">
        <f t="array" ref="G399">SUM(IF("155"&amp;C399=KHN&amp;MH,SL))</f>
        <v>590</v>
      </c>
      <c r="H399" s="513">
        <f t="array" ref="H399">SUM(IF("155"&amp;C399=KHN&amp;MH,TH))</f>
        <v>5305361</v>
      </c>
      <c r="I399" s="513">
        <f t="array" ref="I399">SUM(IF("155"&amp;C399=KHC&amp;MH,SL))</f>
        <v>590</v>
      </c>
      <c r="J399" s="513">
        <f t="array" ref="J399">SUM(IF("155"&amp;C399=KHC&amp;MH,TH))</f>
        <v>5305361</v>
      </c>
      <c r="K399" s="495">
        <f t="shared" si="37"/>
        <v>0</v>
      </c>
      <c r="L399" s="495">
        <f t="shared" si="38"/>
        <v>0</v>
      </c>
      <c r="M399" s="300"/>
      <c r="N399" s="300"/>
    </row>
    <row r="400" spans="1:14" s="294" customFormat="1" ht="18.75" customHeight="1">
      <c r="A400" s="300" t="str">
        <f t="shared" si="35"/>
        <v>TP</v>
      </c>
      <c r="B400" s="571">
        <f t="shared" si="36"/>
        <v>251</v>
      </c>
      <c r="C400" s="537" t="s">
        <v>1295</v>
      </c>
      <c r="D400" s="572" t="s">
        <v>1373</v>
      </c>
      <c r="E400" s="495"/>
      <c r="F400" s="495"/>
      <c r="G400" s="513">
        <f t="array" ref="G400">SUM(IF("155"&amp;C400=KHN&amp;MH,SL))</f>
        <v>505</v>
      </c>
      <c r="H400" s="513">
        <f t="array" ref="H400">SUM(IF("155"&amp;C400=KHN&amp;MH,TH))</f>
        <v>2987211</v>
      </c>
      <c r="I400" s="513">
        <f t="array" ref="I400">SUM(IF("155"&amp;C400=KHC&amp;MH,SL))</f>
        <v>505</v>
      </c>
      <c r="J400" s="513">
        <f t="array" ref="J400">SUM(IF("155"&amp;C400=KHC&amp;MH,TH))</f>
        <v>2987211</v>
      </c>
      <c r="K400" s="495">
        <f t="shared" si="37"/>
        <v>0</v>
      </c>
      <c r="L400" s="495">
        <f t="shared" si="38"/>
        <v>0</v>
      </c>
      <c r="M400" s="300"/>
      <c r="N400" s="300"/>
    </row>
    <row r="401" spans="1:14" s="294" customFormat="1" ht="18.75" customHeight="1">
      <c r="A401" s="300" t="str">
        <f t="shared" si="35"/>
        <v>TP</v>
      </c>
      <c r="B401" s="571">
        <f t="shared" si="36"/>
        <v>252</v>
      </c>
      <c r="C401" s="567" t="s">
        <v>1151</v>
      </c>
      <c r="D401" s="572" t="s">
        <v>1373</v>
      </c>
      <c r="E401" s="495"/>
      <c r="F401" s="495"/>
      <c r="G401" s="513">
        <f t="array" ref="G401">SUM(IF("155"&amp;C401=KHN&amp;MH,SL))</f>
        <v>400</v>
      </c>
      <c r="H401" s="513">
        <f t="array" ref="H401">SUM(IF("155"&amp;C401=KHN&amp;MH,TH))</f>
        <v>1122842</v>
      </c>
      <c r="I401" s="513">
        <f t="array" ref="I401">SUM(IF("155"&amp;C401=KHC&amp;MH,SL))</f>
        <v>400</v>
      </c>
      <c r="J401" s="513">
        <f t="array" ref="J401">SUM(IF("155"&amp;C401=KHC&amp;MH,TH))</f>
        <v>1122842</v>
      </c>
      <c r="K401" s="495">
        <f t="shared" si="37"/>
        <v>0</v>
      </c>
      <c r="L401" s="495">
        <f t="shared" si="38"/>
        <v>0</v>
      </c>
      <c r="M401" s="300"/>
      <c r="N401" s="300"/>
    </row>
    <row r="402" spans="1:14" s="294" customFormat="1" ht="18.75" customHeight="1">
      <c r="A402" s="300" t="str">
        <f t="shared" si="35"/>
        <v>TP</v>
      </c>
      <c r="B402" s="571">
        <f t="shared" si="36"/>
        <v>253</v>
      </c>
      <c r="C402" s="573" t="s">
        <v>1179</v>
      </c>
      <c r="D402" s="572" t="s">
        <v>1373</v>
      </c>
      <c r="E402" s="495"/>
      <c r="F402" s="495"/>
      <c r="G402" s="513">
        <f t="array" ref="G402">SUM(IF("155"&amp;C402=KHN&amp;MH,SL))</f>
        <v>2420</v>
      </c>
      <c r="H402" s="513">
        <f t="array" ref="H402">SUM(IF("155"&amp;C402=KHN&amp;MH,TH))</f>
        <v>25936390</v>
      </c>
      <c r="I402" s="513">
        <f t="array" ref="I402">SUM(IF("155"&amp;C402=KHC&amp;MH,SL))</f>
        <v>2420</v>
      </c>
      <c r="J402" s="513">
        <f t="array" ref="J402">SUM(IF("155"&amp;C402=KHC&amp;MH,TH))</f>
        <v>25936390</v>
      </c>
      <c r="K402" s="495">
        <f t="shared" si="37"/>
        <v>0</v>
      </c>
      <c r="L402" s="495">
        <f t="shared" si="38"/>
        <v>0</v>
      </c>
      <c r="M402" s="300"/>
      <c r="N402" s="300"/>
    </row>
    <row r="403" spans="1:14" s="294" customFormat="1" ht="18.75" customHeight="1">
      <c r="A403" s="300" t="str">
        <f t="shared" si="35"/>
        <v>TP</v>
      </c>
      <c r="B403" s="571">
        <f t="shared" si="36"/>
        <v>254</v>
      </c>
      <c r="C403" s="573" t="s">
        <v>1181</v>
      </c>
      <c r="D403" s="572" t="s">
        <v>1373</v>
      </c>
      <c r="E403" s="495"/>
      <c r="F403" s="495"/>
      <c r="G403" s="513">
        <f t="array" ref="G403">SUM(IF("155"&amp;C403=KHN&amp;MH,SL))</f>
        <v>2954.1641048824595</v>
      </c>
      <c r="H403" s="513">
        <f t="array" ref="H403">SUM(IF("155"&amp;C403=KHN&amp;MH,TH))</f>
        <v>32108905</v>
      </c>
      <c r="I403" s="513">
        <f t="array" ref="I403">SUM(IF("155"&amp;C403=KHC&amp;MH,SL))</f>
        <v>2954.1641048824595</v>
      </c>
      <c r="J403" s="513">
        <f t="array" ref="J403">SUM(IF("155"&amp;C403=KHC&amp;MH,TH))</f>
        <v>32108905</v>
      </c>
      <c r="K403" s="495">
        <f t="shared" si="37"/>
        <v>0</v>
      </c>
      <c r="L403" s="495">
        <f t="shared" si="38"/>
        <v>0</v>
      </c>
      <c r="M403" s="300"/>
      <c r="N403" s="300"/>
    </row>
    <row r="404" spans="1:14" s="294" customFormat="1" ht="18.75" customHeight="1">
      <c r="A404" s="300" t="str">
        <f t="shared" si="35"/>
        <v>TP</v>
      </c>
      <c r="B404" s="571">
        <f t="shared" si="36"/>
        <v>255</v>
      </c>
      <c r="C404" s="567" t="s">
        <v>1327</v>
      </c>
      <c r="D404" s="572" t="s">
        <v>1373</v>
      </c>
      <c r="E404" s="495"/>
      <c r="F404" s="495"/>
      <c r="G404" s="513">
        <f t="array" ref="G404">SUM(IF("155"&amp;C404=KHN&amp;MH,SL))</f>
        <v>392</v>
      </c>
      <c r="H404" s="513">
        <f t="array" ref="H404">SUM(IF("155"&amp;C404=KHN&amp;MH,TH))</f>
        <v>3146194</v>
      </c>
      <c r="I404" s="513">
        <f t="array" ref="I404">SUM(IF("155"&amp;C404=KHC&amp;MH,SL))</f>
        <v>392</v>
      </c>
      <c r="J404" s="513">
        <f t="array" ref="J404">SUM(IF("155"&amp;C404=KHC&amp;MH,TH))</f>
        <v>3146194</v>
      </c>
      <c r="K404" s="495">
        <f t="shared" si="37"/>
        <v>0</v>
      </c>
      <c r="L404" s="495">
        <f t="shared" si="38"/>
        <v>0</v>
      </c>
      <c r="M404" s="300"/>
      <c r="N404" s="300"/>
    </row>
    <row r="405" spans="1:14" s="294" customFormat="1" ht="18.75" customHeight="1">
      <c r="A405" s="300" t="str">
        <f t="shared" si="35"/>
        <v>TP</v>
      </c>
      <c r="B405" s="571">
        <f t="shared" si="36"/>
        <v>256</v>
      </c>
      <c r="C405" s="567" t="s">
        <v>1286</v>
      </c>
      <c r="D405" s="572" t="s">
        <v>1373</v>
      </c>
      <c r="E405" s="495"/>
      <c r="F405" s="495"/>
      <c r="G405" s="513">
        <f t="array" ref="G405">SUM(IF("155"&amp;C405=KHN&amp;MH,SL))</f>
        <v>980</v>
      </c>
      <c r="H405" s="513">
        <f t="array" ref="H405">SUM(IF("155"&amp;C405=KHN&amp;MH,TH))</f>
        <v>16049957</v>
      </c>
      <c r="I405" s="513">
        <f t="array" ref="I405">SUM(IF("155"&amp;C405=KHC&amp;MH,SL))</f>
        <v>980</v>
      </c>
      <c r="J405" s="513">
        <f t="array" ref="J405">SUM(IF("155"&amp;C405=KHC&amp;MH,TH))</f>
        <v>16049957</v>
      </c>
      <c r="K405" s="495">
        <f t="shared" si="37"/>
        <v>0</v>
      </c>
      <c r="L405" s="495">
        <f t="shared" si="38"/>
        <v>0</v>
      </c>
      <c r="M405" s="300"/>
      <c r="N405" s="300"/>
    </row>
    <row r="406" spans="1:14" s="294" customFormat="1" ht="18.75" customHeight="1">
      <c r="A406" s="300" t="str">
        <f t="shared" ref="A406:A469" si="39">IF(B406&lt;&gt;"","TP","")</f>
        <v>TP</v>
      </c>
      <c r="B406" s="571">
        <f t="shared" ref="B406:B469" si="40">IF(C406&lt;&gt;"",B405+1,"")</f>
        <v>257</v>
      </c>
      <c r="C406" s="567" t="s">
        <v>1288</v>
      </c>
      <c r="D406" s="572" t="s">
        <v>1373</v>
      </c>
      <c r="E406" s="495"/>
      <c r="F406" s="495"/>
      <c r="G406" s="513">
        <f t="array" ref="G406">SUM(IF("155"&amp;C406=KHN&amp;MH,SL))</f>
        <v>1990</v>
      </c>
      <c r="H406" s="513">
        <f t="array" ref="H406">SUM(IF("155"&amp;C406=KHN&amp;MH,TH))</f>
        <v>16225630</v>
      </c>
      <c r="I406" s="513">
        <f t="array" ref="I406">SUM(IF("155"&amp;C406=KHC&amp;MH,SL))</f>
        <v>1990</v>
      </c>
      <c r="J406" s="513">
        <f t="array" ref="J406">SUM(IF("155"&amp;C406=KHC&amp;MH,TH))</f>
        <v>16225630</v>
      </c>
      <c r="K406" s="495">
        <f t="shared" ref="K406:K469" si="41">E406+G406-I406</f>
        <v>0</v>
      </c>
      <c r="L406" s="495">
        <f t="shared" ref="L406:L469" si="42">F406+H406-J406</f>
        <v>0</v>
      </c>
      <c r="M406" s="300"/>
      <c r="N406" s="300"/>
    </row>
    <row r="407" spans="1:14" s="294" customFormat="1" ht="18.75" customHeight="1">
      <c r="A407" s="300" t="str">
        <f t="shared" si="39"/>
        <v>TP</v>
      </c>
      <c r="B407" s="571">
        <f t="shared" si="40"/>
        <v>258</v>
      </c>
      <c r="C407" s="566" t="s">
        <v>971</v>
      </c>
      <c r="D407" s="572" t="s">
        <v>1373</v>
      </c>
      <c r="E407" s="495"/>
      <c r="F407" s="495"/>
      <c r="G407" s="513">
        <f t="array" ref="G407">SUM(IF("155"&amp;C407=KHN&amp;MH,SL))</f>
        <v>142</v>
      </c>
      <c r="H407" s="513">
        <f t="array" ref="H407">SUM(IF("155"&amp;C407=KHN&amp;MH,TH))</f>
        <v>2657515</v>
      </c>
      <c r="I407" s="513">
        <f t="array" ref="I407">SUM(IF("155"&amp;C407=KHC&amp;MH,SL))</f>
        <v>142</v>
      </c>
      <c r="J407" s="513">
        <f t="array" ref="J407">SUM(IF("155"&amp;C407=KHC&amp;MH,TH))</f>
        <v>2657515</v>
      </c>
      <c r="K407" s="495">
        <f t="shared" si="41"/>
        <v>0</v>
      </c>
      <c r="L407" s="495">
        <f t="shared" si="42"/>
        <v>0</v>
      </c>
      <c r="M407" s="300"/>
      <c r="N407" s="300"/>
    </row>
    <row r="408" spans="1:14" s="294" customFormat="1" ht="18.75" customHeight="1">
      <c r="A408" s="300" t="str">
        <f t="shared" si="39"/>
        <v>TP</v>
      </c>
      <c r="B408" s="571">
        <f t="shared" si="40"/>
        <v>259</v>
      </c>
      <c r="C408" s="566" t="s">
        <v>712</v>
      </c>
      <c r="D408" s="572" t="s">
        <v>1373</v>
      </c>
      <c r="E408" s="495"/>
      <c r="F408" s="495"/>
      <c r="G408" s="513">
        <f t="array" ref="G408">SUM(IF("155"&amp;C408=KHN&amp;MH,SL))</f>
        <v>101</v>
      </c>
      <c r="H408" s="513">
        <f t="array" ref="H408">SUM(IF("155"&amp;C408=KHN&amp;MH,TH))</f>
        <v>3729477</v>
      </c>
      <c r="I408" s="513">
        <f t="array" ref="I408">SUM(IF("155"&amp;C408=KHC&amp;MH,SL))</f>
        <v>101</v>
      </c>
      <c r="J408" s="513">
        <f t="array" ref="J408">SUM(IF("155"&amp;C408=KHC&amp;MH,TH))</f>
        <v>3729477</v>
      </c>
      <c r="K408" s="495">
        <f t="shared" si="41"/>
        <v>0</v>
      </c>
      <c r="L408" s="495">
        <f t="shared" si="42"/>
        <v>0</v>
      </c>
      <c r="M408" s="300"/>
      <c r="N408" s="300"/>
    </row>
    <row r="409" spans="1:14" s="294" customFormat="1" ht="18.75" customHeight="1">
      <c r="A409" s="300" t="str">
        <f t="shared" si="39"/>
        <v>TP</v>
      </c>
      <c r="B409" s="571">
        <f t="shared" si="40"/>
        <v>260</v>
      </c>
      <c r="C409" s="566" t="s">
        <v>715</v>
      </c>
      <c r="D409" s="572" t="s">
        <v>1373</v>
      </c>
      <c r="E409" s="495"/>
      <c r="F409" s="495"/>
      <c r="G409" s="513">
        <f t="array" ref="G409">SUM(IF("155"&amp;C409=KHN&amp;MH,SL))</f>
        <v>101</v>
      </c>
      <c r="H409" s="513">
        <f t="array" ref="H409">SUM(IF("155"&amp;C409=KHN&amp;MH,TH))</f>
        <v>3754323</v>
      </c>
      <c r="I409" s="513">
        <f t="array" ref="I409">SUM(IF("155"&amp;C409=KHC&amp;MH,SL))</f>
        <v>101</v>
      </c>
      <c r="J409" s="513">
        <f t="array" ref="J409">SUM(IF("155"&amp;C409=KHC&amp;MH,TH))</f>
        <v>3754323</v>
      </c>
      <c r="K409" s="495">
        <f t="shared" si="41"/>
        <v>0</v>
      </c>
      <c r="L409" s="495">
        <f t="shared" si="42"/>
        <v>0</v>
      </c>
      <c r="M409" s="300"/>
      <c r="N409" s="300"/>
    </row>
    <row r="410" spans="1:14" s="294" customFormat="1" ht="18.75" customHeight="1">
      <c r="A410" s="300" t="str">
        <f t="shared" si="39"/>
        <v>TP</v>
      </c>
      <c r="B410" s="571">
        <f t="shared" si="40"/>
        <v>261</v>
      </c>
      <c r="C410" s="573" t="s">
        <v>1191</v>
      </c>
      <c r="D410" s="572" t="s">
        <v>1373</v>
      </c>
      <c r="E410" s="495"/>
      <c r="F410" s="495"/>
      <c r="G410" s="513">
        <f t="array" ref="G410">SUM(IF("155"&amp;C410=KHN&amp;MH,SL))</f>
        <v>308</v>
      </c>
      <c r="H410" s="513">
        <f t="array" ref="H410">SUM(IF("155"&amp;C410=KHN&amp;MH,TH))</f>
        <v>1187804</v>
      </c>
      <c r="I410" s="513">
        <f t="array" ref="I410">SUM(IF("155"&amp;C410=KHC&amp;MH,SL))</f>
        <v>308</v>
      </c>
      <c r="J410" s="513">
        <f t="array" ref="J410">SUM(IF("155"&amp;C410=KHC&amp;MH,TH))</f>
        <v>1187804</v>
      </c>
      <c r="K410" s="495">
        <f t="shared" si="41"/>
        <v>0</v>
      </c>
      <c r="L410" s="495">
        <f t="shared" si="42"/>
        <v>0</v>
      </c>
      <c r="M410" s="300"/>
      <c r="N410" s="300"/>
    </row>
    <row r="411" spans="1:14" s="294" customFormat="1" ht="18.75" customHeight="1">
      <c r="A411" s="300" t="str">
        <f t="shared" si="39"/>
        <v>TP</v>
      </c>
      <c r="B411" s="571">
        <f t="shared" si="40"/>
        <v>262</v>
      </c>
      <c r="C411" s="566" t="s">
        <v>862</v>
      </c>
      <c r="D411" s="572" t="s">
        <v>1373</v>
      </c>
      <c r="E411" s="495"/>
      <c r="F411" s="495"/>
      <c r="G411" s="513">
        <f t="array" ref="G411">SUM(IF("155"&amp;C411=KHN&amp;MH,SL))</f>
        <v>80</v>
      </c>
      <c r="H411" s="513">
        <f t="array" ref="H411">SUM(IF("155"&amp;C411=KHN&amp;MH,TH))</f>
        <v>1256566</v>
      </c>
      <c r="I411" s="513">
        <f t="array" ref="I411">SUM(IF("155"&amp;C411=KHC&amp;MH,SL))</f>
        <v>80</v>
      </c>
      <c r="J411" s="513">
        <f t="array" ref="J411">SUM(IF("155"&amp;C411=KHC&amp;MH,TH))</f>
        <v>1256566</v>
      </c>
      <c r="K411" s="495">
        <f t="shared" si="41"/>
        <v>0</v>
      </c>
      <c r="L411" s="495">
        <f t="shared" si="42"/>
        <v>0</v>
      </c>
      <c r="M411" s="300"/>
      <c r="N411" s="300"/>
    </row>
    <row r="412" spans="1:14" s="294" customFormat="1" ht="18.75" customHeight="1">
      <c r="A412" s="300" t="str">
        <f t="shared" si="39"/>
        <v>TP</v>
      </c>
      <c r="B412" s="571">
        <f t="shared" si="40"/>
        <v>263</v>
      </c>
      <c r="C412" s="566" t="s">
        <v>822</v>
      </c>
      <c r="D412" s="572" t="s">
        <v>1373</v>
      </c>
      <c r="E412" s="495"/>
      <c r="F412" s="495"/>
      <c r="G412" s="513">
        <f t="array" ref="G412">SUM(IF("155"&amp;C412=KHN&amp;MH,SL))</f>
        <v>5</v>
      </c>
      <c r="H412" s="513">
        <f t="array" ref="H412">SUM(IF("155"&amp;C412=KHN&amp;MH,TH))</f>
        <v>29043</v>
      </c>
      <c r="I412" s="513">
        <f t="array" ref="I412">SUM(IF("155"&amp;C412=KHC&amp;MH,SL))</f>
        <v>5</v>
      </c>
      <c r="J412" s="513">
        <f t="array" ref="J412">SUM(IF("155"&amp;C412=KHC&amp;MH,TH))</f>
        <v>29043</v>
      </c>
      <c r="K412" s="495">
        <f t="shared" si="41"/>
        <v>0</v>
      </c>
      <c r="L412" s="495">
        <f t="shared" si="42"/>
        <v>0</v>
      </c>
      <c r="M412" s="300"/>
      <c r="N412" s="300"/>
    </row>
    <row r="413" spans="1:14" s="294" customFormat="1" ht="18.75" customHeight="1">
      <c r="A413" s="300" t="str">
        <f t="shared" si="39"/>
        <v>TP</v>
      </c>
      <c r="B413" s="571">
        <f t="shared" si="40"/>
        <v>264</v>
      </c>
      <c r="C413" s="566" t="s">
        <v>825</v>
      </c>
      <c r="D413" s="572" t="s">
        <v>1373</v>
      </c>
      <c r="E413" s="495"/>
      <c r="F413" s="495"/>
      <c r="G413" s="513">
        <f t="array" ref="G413">SUM(IF("155"&amp;C413=KHN&amp;MH,SL))</f>
        <v>9</v>
      </c>
      <c r="H413" s="513">
        <f t="array" ref="H413">SUM(IF("155"&amp;C413=KHN&amp;MH,TH))</f>
        <v>69836</v>
      </c>
      <c r="I413" s="513">
        <f t="array" ref="I413">SUM(IF("155"&amp;C413=KHC&amp;MH,SL))</f>
        <v>9</v>
      </c>
      <c r="J413" s="513">
        <f t="array" ref="J413">SUM(IF("155"&amp;C413=KHC&amp;MH,TH))</f>
        <v>69836</v>
      </c>
      <c r="K413" s="495">
        <f t="shared" si="41"/>
        <v>0</v>
      </c>
      <c r="L413" s="495">
        <f t="shared" si="42"/>
        <v>0</v>
      </c>
      <c r="M413" s="300"/>
      <c r="N413" s="300"/>
    </row>
    <row r="414" spans="1:14" s="294" customFormat="1" ht="18.75" customHeight="1">
      <c r="A414" s="300" t="str">
        <f t="shared" si="39"/>
        <v>TP</v>
      </c>
      <c r="B414" s="571">
        <f t="shared" si="40"/>
        <v>265</v>
      </c>
      <c r="C414" s="566" t="s">
        <v>820</v>
      </c>
      <c r="D414" s="572" t="s">
        <v>1373</v>
      </c>
      <c r="E414" s="495"/>
      <c r="F414" s="495"/>
      <c r="G414" s="513">
        <f t="array" ref="G414">SUM(IF("155"&amp;C414=KHN&amp;MH,SL))</f>
        <v>16</v>
      </c>
      <c r="H414" s="513">
        <f t="array" ref="H414">SUM(IF("155"&amp;C414=KHN&amp;MH,TH))</f>
        <v>119736</v>
      </c>
      <c r="I414" s="513">
        <f t="array" ref="I414">SUM(IF("155"&amp;C414=KHC&amp;MH,SL))</f>
        <v>16</v>
      </c>
      <c r="J414" s="513">
        <f t="array" ref="J414">SUM(IF("155"&amp;C414=KHC&amp;MH,TH))</f>
        <v>119736</v>
      </c>
      <c r="K414" s="495">
        <f t="shared" si="41"/>
        <v>0</v>
      </c>
      <c r="L414" s="495">
        <f t="shared" si="42"/>
        <v>0</v>
      </c>
      <c r="M414" s="300"/>
      <c r="N414" s="300"/>
    </row>
    <row r="415" spans="1:14" s="294" customFormat="1" ht="18.75" customHeight="1">
      <c r="A415" s="300" t="str">
        <f t="shared" si="39"/>
        <v>TP</v>
      </c>
      <c r="B415" s="571">
        <f t="shared" si="40"/>
        <v>266</v>
      </c>
      <c r="C415" s="566" t="s">
        <v>826</v>
      </c>
      <c r="D415" s="572" t="s">
        <v>1373</v>
      </c>
      <c r="E415" s="495"/>
      <c r="F415" s="495"/>
      <c r="G415" s="513">
        <f t="array" ref="G415">SUM(IF("155"&amp;C415=KHN&amp;MH,SL))</f>
        <v>8</v>
      </c>
      <c r="H415" s="513">
        <f t="array" ref="H415">SUM(IF("155"&amp;C415=KHN&amp;MH,TH))</f>
        <v>79836</v>
      </c>
      <c r="I415" s="513">
        <f t="array" ref="I415">SUM(IF("155"&amp;C415=KHC&amp;MH,SL))</f>
        <v>8</v>
      </c>
      <c r="J415" s="513">
        <f t="array" ref="J415">SUM(IF("155"&amp;C415=KHC&amp;MH,TH))</f>
        <v>79836</v>
      </c>
      <c r="K415" s="495">
        <f t="shared" si="41"/>
        <v>0</v>
      </c>
      <c r="L415" s="495">
        <f t="shared" si="42"/>
        <v>0</v>
      </c>
      <c r="M415" s="300"/>
      <c r="N415" s="300"/>
    </row>
    <row r="416" spans="1:14" s="294" customFormat="1" ht="18.75" customHeight="1">
      <c r="A416" s="300" t="str">
        <f t="shared" si="39"/>
        <v>TP</v>
      </c>
      <c r="B416" s="571">
        <f t="shared" si="40"/>
        <v>267</v>
      </c>
      <c r="C416" s="566" t="s">
        <v>827</v>
      </c>
      <c r="D416" s="572" t="s">
        <v>1373</v>
      </c>
      <c r="E416" s="495"/>
      <c r="F416" s="495"/>
      <c r="G416" s="513">
        <f t="array" ref="G416">SUM(IF("155"&amp;C416=KHN&amp;MH,SL))</f>
        <v>7</v>
      </c>
      <c r="H416" s="513">
        <f t="array" ref="H416">SUM(IF("155"&amp;C416=KHN&amp;MH,TH))</f>
        <v>69857</v>
      </c>
      <c r="I416" s="513">
        <f t="array" ref="I416">SUM(IF("155"&amp;C416=KHC&amp;MH,SL))</f>
        <v>7</v>
      </c>
      <c r="J416" s="513">
        <f t="array" ref="J416">SUM(IF("155"&amp;C416=KHC&amp;MH,TH))</f>
        <v>69857</v>
      </c>
      <c r="K416" s="495">
        <f t="shared" si="41"/>
        <v>0</v>
      </c>
      <c r="L416" s="495">
        <f t="shared" si="42"/>
        <v>0</v>
      </c>
      <c r="M416" s="300"/>
      <c r="N416" s="300"/>
    </row>
    <row r="417" spans="1:14" s="294" customFormat="1" ht="18.75" customHeight="1">
      <c r="A417" s="300" t="str">
        <f t="shared" si="39"/>
        <v>TP</v>
      </c>
      <c r="B417" s="571">
        <f t="shared" si="40"/>
        <v>268</v>
      </c>
      <c r="C417" s="566" t="s">
        <v>830</v>
      </c>
      <c r="D417" s="572" t="s">
        <v>1373</v>
      </c>
      <c r="E417" s="495"/>
      <c r="F417" s="495"/>
      <c r="G417" s="513">
        <f t="array" ref="G417">SUM(IF("155"&amp;C417=KHN&amp;MH,SL))</f>
        <v>5</v>
      </c>
      <c r="H417" s="513">
        <f t="array" ref="H417">SUM(IF("155"&amp;C417=KHN&amp;MH,TH))</f>
        <v>64733</v>
      </c>
      <c r="I417" s="513">
        <f t="array" ref="I417">SUM(IF("155"&amp;C417=KHC&amp;MH,SL))</f>
        <v>5</v>
      </c>
      <c r="J417" s="513">
        <f t="array" ref="J417">SUM(IF("155"&amp;C417=KHC&amp;MH,TH))</f>
        <v>64733</v>
      </c>
      <c r="K417" s="495">
        <f t="shared" si="41"/>
        <v>0</v>
      </c>
      <c r="L417" s="495">
        <f t="shared" si="42"/>
        <v>0</v>
      </c>
      <c r="M417" s="300"/>
      <c r="N417" s="300"/>
    </row>
    <row r="418" spans="1:14" s="294" customFormat="1" ht="18.75" customHeight="1">
      <c r="A418" s="300" t="str">
        <f t="shared" si="39"/>
        <v>TP</v>
      </c>
      <c r="B418" s="571">
        <f t="shared" si="40"/>
        <v>269</v>
      </c>
      <c r="C418" s="566" t="s">
        <v>817</v>
      </c>
      <c r="D418" s="572" t="s">
        <v>1373</v>
      </c>
      <c r="E418" s="495"/>
      <c r="F418" s="495"/>
      <c r="G418" s="513">
        <f t="array" ref="G418">SUM(IF("155"&amp;C418=KHN&amp;MH,SL))</f>
        <v>4</v>
      </c>
      <c r="H418" s="513">
        <f t="array" ref="H418">SUM(IF("155"&amp;C418=KHN&amp;MH,TH))</f>
        <v>39918</v>
      </c>
      <c r="I418" s="513">
        <f t="array" ref="I418">SUM(IF("155"&amp;C418=KHC&amp;MH,SL))</f>
        <v>4</v>
      </c>
      <c r="J418" s="513">
        <f t="array" ref="J418">SUM(IF("155"&amp;C418=KHC&amp;MH,TH))</f>
        <v>39918</v>
      </c>
      <c r="K418" s="495">
        <f t="shared" si="41"/>
        <v>0</v>
      </c>
      <c r="L418" s="495">
        <f t="shared" si="42"/>
        <v>0</v>
      </c>
      <c r="M418" s="300"/>
      <c r="N418" s="300"/>
    </row>
    <row r="419" spans="1:14" s="294" customFormat="1" ht="18.75" customHeight="1">
      <c r="A419" s="300" t="str">
        <f t="shared" si="39"/>
        <v>TP</v>
      </c>
      <c r="B419" s="571">
        <f t="shared" si="40"/>
        <v>270</v>
      </c>
      <c r="C419" s="566" t="s">
        <v>828</v>
      </c>
      <c r="D419" s="572" t="s">
        <v>1373</v>
      </c>
      <c r="E419" s="495"/>
      <c r="F419" s="495"/>
      <c r="G419" s="513">
        <f t="array" ref="G419">SUM(IF("155"&amp;C419=KHN&amp;MH,SL))</f>
        <v>13</v>
      </c>
      <c r="H419" s="513">
        <f t="array" ref="H419">SUM(IF("155"&amp;C419=KHN&amp;MH,TH))</f>
        <v>168305</v>
      </c>
      <c r="I419" s="513">
        <f t="array" ref="I419">SUM(IF("155"&amp;C419=KHC&amp;MH,SL))</f>
        <v>13</v>
      </c>
      <c r="J419" s="513">
        <f t="array" ref="J419">SUM(IF("155"&amp;C419=KHC&amp;MH,TH))</f>
        <v>168305</v>
      </c>
      <c r="K419" s="495">
        <f t="shared" si="41"/>
        <v>0</v>
      </c>
      <c r="L419" s="495">
        <f t="shared" si="42"/>
        <v>0</v>
      </c>
      <c r="M419" s="300"/>
      <c r="N419" s="300"/>
    </row>
    <row r="420" spans="1:14" s="294" customFormat="1" ht="18.75" customHeight="1">
      <c r="A420" s="300" t="str">
        <f t="shared" si="39"/>
        <v>TP</v>
      </c>
      <c r="B420" s="571">
        <f t="shared" si="40"/>
        <v>271</v>
      </c>
      <c r="C420" s="566" t="s">
        <v>832</v>
      </c>
      <c r="D420" s="572" t="s">
        <v>1373</v>
      </c>
      <c r="E420" s="495"/>
      <c r="F420" s="495"/>
      <c r="G420" s="513">
        <f t="array" ref="G420">SUM(IF("155"&amp;C420=KHN&amp;MH,SL))</f>
        <v>245</v>
      </c>
      <c r="H420" s="513">
        <f t="array" ref="H420">SUM(IF("155"&amp;C420=KHN&amp;MH,TH))</f>
        <v>1833461</v>
      </c>
      <c r="I420" s="513">
        <f t="array" ref="I420">SUM(IF("155"&amp;C420=KHC&amp;MH,SL))</f>
        <v>245</v>
      </c>
      <c r="J420" s="513">
        <f t="array" ref="J420">SUM(IF("155"&amp;C420=KHC&amp;MH,TH))</f>
        <v>1833461</v>
      </c>
      <c r="K420" s="495">
        <f t="shared" si="41"/>
        <v>0</v>
      </c>
      <c r="L420" s="495">
        <f t="shared" si="42"/>
        <v>0</v>
      </c>
      <c r="M420" s="300"/>
      <c r="N420" s="300"/>
    </row>
    <row r="421" spans="1:14" s="294" customFormat="1" ht="18.75" customHeight="1">
      <c r="A421" s="300" t="str">
        <f t="shared" si="39"/>
        <v>TP</v>
      </c>
      <c r="B421" s="571">
        <f t="shared" si="40"/>
        <v>272</v>
      </c>
      <c r="C421" s="566" t="s">
        <v>816</v>
      </c>
      <c r="D421" s="572" t="s">
        <v>1373</v>
      </c>
      <c r="E421" s="495"/>
      <c r="F421" s="495"/>
      <c r="G421" s="513">
        <f t="array" ref="G421">SUM(IF("155"&amp;C421=KHN&amp;MH,SL))</f>
        <v>350</v>
      </c>
      <c r="H421" s="513">
        <f t="array" ref="H421">SUM(IF("155"&amp;C421=KHN&amp;MH,TH))</f>
        <v>3280380</v>
      </c>
      <c r="I421" s="513">
        <f t="array" ref="I421">SUM(IF("155"&amp;C421=KHC&amp;MH,SL))</f>
        <v>350</v>
      </c>
      <c r="J421" s="513">
        <f t="array" ref="J421">SUM(IF("155"&amp;C421=KHC&amp;MH,TH))</f>
        <v>3280380</v>
      </c>
      <c r="K421" s="495">
        <f t="shared" si="41"/>
        <v>0</v>
      </c>
      <c r="L421" s="495">
        <f t="shared" si="42"/>
        <v>0</v>
      </c>
      <c r="M421" s="300"/>
      <c r="N421" s="300"/>
    </row>
    <row r="422" spans="1:14" s="294" customFormat="1" ht="18.75" customHeight="1">
      <c r="A422" s="300" t="str">
        <f t="shared" si="39"/>
        <v>TP</v>
      </c>
      <c r="B422" s="571">
        <f t="shared" si="40"/>
        <v>273</v>
      </c>
      <c r="C422" s="566" t="s">
        <v>818</v>
      </c>
      <c r="D422" s="572" t="s">
        <v>1373</v>
      </c>
      <c r="E422" s="495"/>
      <c r="F422" s="495"/>
      <c r="G422" s="513">
        <f t="array" ref="G422">SUM(IF("155"&amp;C422=KHN&amp;MH,SL))</f>
        <v>67</v>
      </c>
      <c r="H422" s="513">
        <f t="array" ref="H422">SUM(IF("155"&amp;C422=KHN&amp;MH,TH))</f>
        <v>668627</v>
      </c>
      <c r="I422" s="513">
        <f t="array" ref="I422">SUM(IF("155"&amp;C422=KHC&amp;MH,SL))</f>
        <v>67</v>
      </c>
      <c r="J422" s="513">
        <f t="array" ref="J422">SUM(IF("155"&amp;C422=KHC&amp;MH,TH))</f>
        <v>668627</v>
      </c>
      <c r="K422" s="495">
        <f t="shared" si="41"/>
        <v>0</v>
      </c>
      <c r="L422" s="495">
        <f t="shared" si="42"/>
        <v>0</v>
      </c>
      <c r="M422" s="300"/>
      <c r="N422" s="300"/>
    </row>
    <row r="423" spans="1:14" s="294" customFormat="1" ht="18.75" customHeight="1">
      <c r="A423" s="300" t="str">
        <f t="shared" si="39"/>
        <v>TP</v>
      </c>
      <c r="B423" s="571">
        <f t="shared" si="40"/>
        <v>274</v>
      </c>
      <c r="C423" s="566" t="s">
        <v>835</v>
      </c>
      <c r="D423" s="572" t="s">
        <v>1373</v>
      </c>
      <c r="E423" s="495"/>
      <c r="F423" s="495"/>
      <c r="G423" s="513">
        <f t="array" ref="G423">SUM(IF("155"&amp;C423=KHN&amp;MH,SL))</f>
        <v>2</v>
      </c>
      <c r="H423" s="513">
        <f t="array" ref="H423">SUM(IF("155"&amp;C423=KHN&amp;MH,TH))</f>
        <v>29715</v>
      </c>
      <c r="I423" s="513">
        <f t="array" ref="I423">SUM(IF("155"&amp;C423=KHC&amp;MH,SL))</f>
        <v>2</v>
      </c>
      <c r="J423" s="513">
        <f t="array" ref="J423">SUM(IF("155"&amp;C423=KHC&amp;MH,TH))</f>
        <v>29715</v>
      </c>
      <c r="K423" s="495">
        <f t="shared" si="41"/>
        <v>0</v>
      </c>
      <c r="L423" s="495">
        <f t="shared" si="42"/>
        <v>0</v>
      </c>
      <c r="M423" s="300"/>
      <c r="N423" s="300"/>
    </row>
    <row r="424" spans="1:14" s="294" customFormat="1" ht="18.75" customHeight="1">
      <c r="A424" s="300" t="str">
        <f t="shared" si="39"/>
        <v>TP</v>
      </c>
      <c r="B424" s="571">
        <f t="shared" si="40"/>
        <v>275</v>
      </c>
      <c r="C424" s="566" t="s">
        <v>823</v>
      </c>
      <c r="D424" s="572" t="s">
        <v>1373</v>
      </c>
      <c r="E424" s="495"/>
      <c r="F424" s="495"/>
      <c r="G424" s="513">
        <f t="array" ref="G424">SUM(IF("155"&amp;C424=KHN&amp;MH,SL))</f>
        <v>3</v>
      </c>
      <c r="H424" s="513">
        <f t="array" ref="H424">SUM(IF("155"&amp;C424=KHN&amp;MH,TH))</f>
        <v>29939</v>
      </c>
      <c r="I424" s="513">
        <f t="array" ref="I424">SUM(IF("155"&amp;C424=KHC&amp;MH,SL))</f>
        <v>3</v>
      </c>
      <c r="J424" s="513">
        <f t="array" ref="J424">SUM(IF("155"&amp;C424=KHC&amp;MH,TH))</f>
        <v>29939</v>
      </c>
      <c r="K424" s="495">
        <f t="shared" si="41"/>
        <v>0</v>
      </c>
      <c r="L424" s="495">
        <f t="shared" si="42"/>
        <v>0</v>
      </c>
      <c r="M424" s="300"/>
      <c r="N424" s="300"/>
    </row>
    <row r="425" spans="1:14" s="294" customFormat="1" ht="18.75" customHeight="1">
      <c r="A425" s="300" t="str">
        <f t="shared" si="39"/>
        <v>TP</v>
      </c>
      <c r="B425" s="571">
        <f t="shared" si="40"/>
        <v>276</v>
      </c>
      <c r="C425" s="566" t="s">
        <v>1018</v>
      </c>
      <c r="D425" s="572" t="s">
        <v>1373</v>
      </c>
      <c r="E425" s="495"/>
      <c r="F425" s="495"/>
      <c r="G425" s="513">
        <f t="array" ref="G425">SUM(IF("155"&amp;C425=KHN&amp;MH,SL))</f>
        <v>126</v>
      </c>
      <c r="H425" s="513">
        <f t="array" ref="H425">SUM(IF("155"&amp;C425=KHN&amp;MH,TH))</f>
        <v>1940310</v>
      </c>
      <c r="I425" s="513">
        <f t="array" ref="I425">SUM(IF("155"&amp;C425=KHC&amp;MH,SL))</f>
        <v>126</v>
      </c>
      <c r="J425" s="513">
        <f t="array" ref="J425">SUM(IF("155"&amp;C425=KHC&amp;MH,TH))</f>
        <v>1940310</v>
      </c>
      <c r="K425" s="495">
        <f t="shared" si="41"/>
        <v>0</v>
      </c>
      <c r="L425" s="495">
        <f t="shared" si="42"/>
        <v>0</v>
      </c>
      <c r="M425" s="300"/>
      <c r="N425" s="300"/>
    </row>
    <row r="426" spans="1:14" s="294" customFormat="1" ht="18.75" customHeight="1">
      <c r="A426" s="300" t="str">
        <f t="shared" si="39"/>
        <v>TP</v>
      </c>
      <c r="B426" s="571">
        <f t="shared" si="40"/>
        <v>277</v>
      </c>
      <c r="C426" s="566" t="s">
        <v>1020</v>
      </c>
      <c r="D426" s="572" t="s">
        <v>1373</v>
      </c>
      <c r="E426" s="495"/>
      <c r="F426" s="495"/>
      <c r="G426" s="513">
        <f t="array" ref="G426">SUM(IF("155"&amp;C426=KHN&amp;MH,SL))</f>
        <v>9</v>
      </c>
      <c r="H426" s="513">
        <f t="array" ref="H426">SUM(IF("155"&amp;C426=KHN&amp;MH,TH))</f>
        <v>115429</v>
      </c>
      <c r="I426" s="513">
        <f t="array" ref="I426">SUM(IF("155"&amp;C426=KHC&amp;MH,SL))</f>
        <v>9</v>
      </c>
      <c r="J426" s="513">
        <f t="array" ref="J426">SUM(IF("155"&amp;C426=KHC&amp;MH,TH))</f>
        <v>115429</v>
      </c>
      <c r="K426" s="495">
        <f t="shared" si="41"/>
        <v>0</v>
      </c>
      <c r="L426" s="495">
        <f t="shared" si="42"/>
        <v>0</v>
      </c>
      <c r="M426" s="300"/>
      <c r="N426" s="300"/>
    </row>
    <row r="427" spans="1:14" s="294" customFormat="1" ht="18.75" customHeight="1">
      <c r="A427" s="300" t="str">
        <f t="shared" si="39"/>
        <v>TP</v>
      </c>
      <c r="B427" s="571">
        <f t="shared" si="40"/>
        <v>278</v>
      </c>
      <c r="C427" s="566" t="s">
        <v>839</v>
      </c>
      <c r="D427" s="572" t="s">
        <v>1373</v>
      </c>
      <c r="E427" s="495"/>
      <c r="F427" s="495"/>
      <c r="G427" s="513">
        <f t="array" ref="G427">SUM(IF("155"&amp;C427=KHN&amp;MH,SL))</f>
        <v>344</v>
      </c>
      <c r="H427" s="513">
        <f t="array" ref="H427">SUM(IF("155"&amp;C427=KHN&amp;MH,TH))</f>
        <v>5742788</v>
      </c>
      <c r="I427" s="513">
        <f t="array" ref="I427">SUM(IF("155"&amp;C427=KHC&amp;MH,SL))</f>
        <v>344</v>
      </c>
      <c r="J427" s="513">
        <f t="array" ref="J427">SUM(IF("155"&amp;C427=KHC&amp;MH,TH))</f>
        <v>5742788</v>
      </c>
      <c r="K427" s="495">
        <f t="shared" si="41"/>
        <v>0</v>
      </c>
      <c r="L427" s="495">
        <f t="shared" si="42"/>
        <v>0</v>
      </c>
      <c r="M427" s="300"/>
      <c r="N427" s="300"/>
    </row>
    <row r="428" spans="1:14" s="294" customFormat="1" ht="18.75" customHeight="1">
      <c r="A428" s="300" t="str">
        <f t="shared" si="39"/>
        <v>TP</v>
      </c>
      <c r="B428" s="571">
        <f t="shared" si="40"/>
        <v>279</v>
      </c>
      <c r="C428" s="566" t="s">
        <v>857</v>
      </c>
      <c r="D428" s="572" t="s">
        <v>1373</v>
      </c>
      <c r="E428" s="495"/>
      <c r="F428" s="495"/>
      <c r="G428" s="513">
        <f t="array" ref="G428">SUM(IF("155"&amp;C428=KHN&amp;MH,SL))</f>
        <v>30</v>
      </c>
      <c r="H428" s="513">
        <f t="array" ref="H428">SUM(IF("155"&amp;C428=KHN&amp;MH,TH))</f>
        <v>388395</v>
      </c>
      <c r="I428" s="513">
        <f t="array" ref="I428">SUM(IF("155"&amp;C428=KHC&amp;MH,SL))</f>
        <v>30</v>
      </c>
      <c r="J428" s="513">
        <f t="array" ref="J428">SUM(IF("155"&amp;C428=KHC&amp;MH,TH))</f>
        <v>388395</v>
      </c>
      <c r="K428" s="495">
        <f t="shared" si="41"/>
        <v>0</v>
      </c>
      <c r="L428" s="495">
        <f t="shared" si="42"/>
        <v>0</v>
      </c>
      <c r="M428" s="300"/>
      <c r="N428" s="300"/>
    </row>
    <row r="429" spans="1:14" s="294" customFormat="1" ht="18.75" customHeight="1">
      <c r="A429" s="300" t="str">
        <f t="shared" si="39"/>
        <v>TP</v>
      </c>
      <c r="B429" s="571">
        <f t="shared" si="40"/>
        <v>280</v>
      </c>
      <c r="C429" s="566" t="s">
        <v>834</v>
      </c>
      <c r="D429" s="572" t="s">
        <v>1373</v>
      </c>
      <c r="E429" s="495"/>
      <c r="F429" s="495"/>
      <c r="G429" s="513">
        <f t="array" ref="G429">SUM(IF("155"&amp;C429=KHN&amp;MH,SL))</f>
        <v>4</v>
      </c>
      <c r="H429" s="513">
        <f t="array" ref="H429">SUM(IF("155"&amp;C429=KHN&amp;MH,TH))</f>
        <v>64574</v>
      </c>
      <c r="I429" s="513">
        <f t="array" ref="I429">SUM(IF("155"&amp;C429=KHC&amp;MH,SL))</f>
        <v>4</v>
      </c>
      <c r="J429" s="513">
        <f t="array" ref="J429">SUM(IF("155"&amp;C429=KHC&amp;MH,TH))</f>
        <v>64574</v>
      </c>
      <c r="K429" s="495">
        <f t="shared" si="41"/>
        <v>0</v>
      </c>
      <c r="L429" s="495">
        <f t="shared" si="42"/>
        <v>0</v>
      </c>
      <c r="M429" s="300"/>
      <c r="N429" s="300"/>
    </row>
    <row r="430" spans="1:14" s="294" customFormat="1" ht="18.75" customHeight="1">
      <c r="A430" s="300" t="str">
        <f t="shared" si="39"/>
        <v>TP</v>
      </c>
      <c r="B430" s="571">
        <f t="shared" si="40"/>
        <v>281</v>
      </c>
      <c r="C430" s="566" t="s">
        <v>821</v>
      </c>
      <c r="D430" s="572" t="s">
        <v>1373</v>
      </c>
      <c r="E430" s="495"/>
      <c r="F430" s="495"/>
      <c r="G430" s="513">
        <f t="array" ref="G430">SUM(IF("155"&amp;C430=KHN&amp;MH,SL))</f>
        <v>149</v>
      </c>
      <c r="H430" s="513">
        <f t="array" ref="H430">SUM(IF("155"&amp;C430=KHN&amp;MH,TH))</f>
        <v>2405383</v>
      </c>
      <c r="I430" s="513">
        <f t="array" ref="I430">SUM(IF("155"&amp;C430=KHC&amp;MH,SL))</f>
        <v>149</v>
      </c>
      <c r="J430" s="513">
        <f t="array" ref="J430">SUM(IF("155"&amp;C430=KHC&amp;MH,TH))</f>
        <v>2405383</v>
      </c>
      <c r="K430" s="495">
        <f t="shared" si="41"/>
        <v>0</v>
      </c>
      <c r="L430" s="495">
        <f t="shared" si="42"/>
        <v>0</v>
      </c>
      <c r="M430" s="300"/>
      <c r="N430" s="300"/>
    </row>
    <row r="431" spans="1:14" s="294" customFormat="1" ht="18.75" customHeight="1">
      <c r="A431" s="300" t="str">
        <f t="shared" si="39"/>
        <v>TP</v>
      </c>
      <c r="B431" s="571">
        <f t="shared" si="40"/>
        <v>282</v>
      </c>
      <c r="C431" s="566" t="s">
        <v>824</v>
      </c>
      <c r="D431" s="572" t="s">
        <v>1373</v>
      </c>
      <c r="E431" s="495"/>
      <c r="F431" s="495"/>
      <c r="G431" s="513">
        <f t="array" ref="G431">SUM(IF("155"&amp;C431=KHN&amp;MH,SL))</f>
        <v>12</v>
      </c>
      <c r="H431" s="513">
        <f t="array" ref="H431">SUM(IF("155"&amp;C431=KHN&amp;MH,TH))</f>
        <v>209814</v>
      </c>
      <c r="I431" s="513">
        <f t="array" ref="I431">SUM(IF("155"&amp;C431=KHC&amp;MH,SL))</f>
        <v>12</v>
      </c>
      <c r="J431" s="513">
        <f t="array" ref="J431">SUM(IF("155"&amp;C431=KHC&amp;MH,TH))</f>
        <v>209814</v>
      </c>
      <c r="K431" s="495">
        <f t="shared" si="41"/>
        <v>0</v>
      </c>
      <c r="L431" s="495">
        <f t="shared" si="42"/>
        <v>0</v>
      </c>
      <c r="M431" s="300"/>
      <c r="N431" s="300"/>
    </row>
    <row r="432" spans="1:14" s="294" customFormat="1" ht="18.75" customHeight="1">
      <c r="A432" s="300" t="str">
        <f t="shared" si="39"/>
        <v>TP</v>
      </c>
      <c r="B432" s="571">
        <f t="shared" si="40"/>
        <v>283</v>
      </c>
      <c r="C432" s="566" t="s">
        <v>819</v>
      </c>
      <c r="D432" s="572" t="s">
        <v>1373</v>
      </c>
      <c r="E432" s="495"/>
      <c r="F432" s="495"/>
      <c r="G432" s="513">
        <f t="array" ref="G432">SUM(IF("155"&amp;C432=KHN&amp;MH,SL))</f>
        <v>28</v>
      </c>
      <c r="H432" s="513">
        <f t="array" ref="H432">SUM(IF("155"&amp;C432=KHN&amp;MH,TH))</f>
        <v>450733</v>
      </c>
      <c r="I432" s="513">
        <f t="array" ref="I432">SUM(IF("155"&amp;C432=KHC&amp;MH,SL))</f>
        <v>28</v>
      </c>
      <c r="J432" s="513">
        <f t="array" ref="J432">SUM(IF("155"&amp;C432=KHC&amp;MH,TH))</f>
        <v>450733</v>
      </c>
      <c r="K432" s="495">
        <f t="shared" si="41"/>
        <v>0</v>
      </c>
      <c r="L432" s="495">
        <f t="shared" si="42"/>
        <v>0</v>
      </c>
      <c r="M432" s="300"/>
      <c r="N432" s="300"/>
    </row>
    <row r="433" spans="1:14" s="294" customFormat="1" ht="18.75" customHeight="1">
      <c r="A433" s="300" t="str">
        <f t="shared" si="39"/>
        <v>TP</v>
      </c>
      <c r="B433" s="571">
        <f t="shared" si="40"/>
        <v>284</v>
      </c>
      <c r="C433" s="566" t="s">
        <v>1019</v>
      </c>
      <c r="D433" s="572" t="s">
        <v>1373</v>
      </c>
      <c r="E433" s="495"/>
      <c r="F433" s="495"/>
      <c r="G433" s="513">
        <f t="array" ref="G433">SUM(IF("155"&amp;C433=KHN&amp;MH,SL))</f>
        <v>166</v>
      </c>
      <c r="H433" s="513">
        <f t="array" ref="H433">SUM(IF("155"&amp;C433=KHN&amp;MH,TH))</f>
        <v>2363408</v>
      </c>
      <c r="I433" s="513">
        <f t="array" ref="I433">SUM(IF("155"&amp;C433=KHC&amp;MH,SL))</f>
        <v>166</v>
      </c>
      <c r="J433" s="513">
        <f t="array" ref="J433">SUM(IF("155"&amp;C433=KHC&amp;MH,TH))</f>
        <v>2363408</v>
      </c>
      <c r="K433" s="495">
        <f t="shared" si="41"/>
        <v>0</v>
      </c>
      <c r="L433" s="495">
        <f t="shared" si="42"/>
        <v>0</v>
      </c>
      <c r="M433" s="300"/>
      <c r="N433" s="300"/>
    </row>
    <row r="434" spans="1:14" s="294" customFormat="1" ht="18.75" customHeight="1">
      <c r="A434" s="300" t="str">
        <f t="shared" si="39"/>
        <v>TP</v>
      </c>
      <c r="B434" s="571">
        <f t="shared" si="40"/>
        <v>285</v>
      </c>
      <c r="C434" s="566" t="s">
        <v>815</v>
      </c>
      <c r="D434" s="572" t="s">
        <v>1373</v>
      </c>
      <c r="E434" s="495"/>
      <c r="F434" s="495"/>
      <c r="G434" s="513">
        <f t="array" ref="G434">SUM(IF("155"&amp;C434=KHN&amp;MH,SL))</f>
        <v>411</v>
      </c>
      <c r="H434" s="513">
        <f t="array" ref="H434">SUM(IF("155"&amp;C434=KHN&amp;MH,TH))</f>
        <v>5840854</v>
      </c>
      <c r="I434" s="513">
        <f t="array" ref="I434">SUM(IF("155"&amp;C434=KHC&amp;MH,SL))</f>
        <v>411</v>
      </c>
      <c r="J434" s="513">
        <f t="array" ref="J434">SUM(IF("155"&amp;C434=KHC&amp;MH,TH))</f>
        <v>5840854</v>
      </c>
      <c r="K434" s="495">
        <f t="shared" si="41"/>
        <v>0</v>
      </c>
      <c r="L434" s="495">
        <f t="shared" si="42"/>
        <v>0</v>
      </c>
      <c r="M434" s="300"/>
      <c r="N434" s="300"/>
    </row>
    <row r="435" spans="1:14" s="294" customFormat="1" ht="18.75" customHeight="1">
      <c r="A435" s="300" t="str">
        <f t="shared" si="39"/>
        <v>TP</v>
      </c>
      <c r="B435" s="571">
        <f t="shared" si="40"/>
        <v>286</v>
      </c>
      <c r="C435" s="566" t="s">
        <v>831</v>
      </c>
      <c r="D435" s="572" t="s">
        <v>1373</v>
      </c>
      <c r="E435" s="495"/>
      <c r="F435" s="495"/>
      <c r="G435" s="513">
        <f t="array" ref="G435">SUM(IF("155"&amp;C435=KHN&amp;MH,SL))</f>
        <v>22</v>
      </c>
      <c r="H435" s="513">
        <f t="array" ref="H435">SUM(IF("155"&amp;C435=KHN&amp;MH,TH))</f>
        <v>392073</v>
      </c>
      <c r="I435" s="513">
        <f t="array" ref="I435">SUM(IF("155"&amp;C435=KHC&amp;MH,SL))</f>
        <v>22</v>
      </c>
      <c r="J435" s="513">
        <f t="array" ref="J435">SUM(IF("155"&amp;C435=KHC&amp;MH,TH))</f>
        <v>392073</v>
      </c>
      <c r="K435" s="495">
        <f t="shared" si="41"/>
        <v>0</v>
      </c>
      <c r="L435" s="495">
        <f t="shared" si="42"/>
        <v>0</v>
      </c>
      <c r="M435" s="300"/>
      <c r="N435" s="300"/>
    </row>
    <row r="436" spans="1:14" s="294" customFormat="1" ht="18.75" customHeight="1">
      <c r="A436" s="300" t="str">
        <f t="shared" si="39"/>
        <v>TP</v>
      </c>
      <c r="B436" s="571">
        <f t="shared" si="40"/>
        <v>287</v>
      </c>
      <c r="C436" s="573" t="s">
        <v>1195</v>
      </c>
      <c r="D436" s="572" t="s">
        <v>1373</v>
      </c>
      <c r="E436" s="495"/>
      <c r="F436" s="495"/>
      <c r="G436" s="513">
        <f t="array" ref="G436">SUM(IF("155"&amp;C436=KHN&amp;MH,SL))</f>
        <v>165</v>
      </c>
      <c r="H436" s="513">
        <f t="array" ref="H436">SUM(IF("155"&amp;C436=KHN&amp;MH,TH))</f>
        <v>3388169</v>
      </c>
      <c r="I436" s="513">
        <f t="array" ref="I436">SUM(IF("155"&amp;C436=KHC&amp;MH,SL))</f>
        <v>165</v>
      </c>
      <c r="J436" s="513">
        <f t="array" ref="J436">SUM(IF("155"&amp;C436=KHC&amp;MH,TH))</f>
        <v>3388169</v>
      </c>
      <c r="K436" s="495">
        <f t="shared" si="41"/>
        <v>0</v>
      </c>
      <c r="L436" s="495">
        <f t="shared" si="42"/>
        <v>0</v>
      </c>
      <c r="M436" s="300"/>
      <c r="N436" s="300"/>
    </row>
    <row r="437" spans="1:14" s="294" customFormat="1" ht="18.75" customHeight="1">
      <c r="A437" s="300" t="str">
        <f t="shared" si="39"/>
        <v>TP</v>
      </c>
      <c r="B437" s="571">
        <f t="shared" si="40"/>
        <v>288</v>
      </c>
      <c r="C437" s="573" t="s">
        <v>1197</v>
      </c>
      <c r="D437" s="572" t="s">
        <v>1373</v>
      </c>
      <c r="E437" s="495"/>
      <c r="F437" s="495"/>
      <c r="G437" s="513">
        <f t="array" ref="G437">SUM(IF("155"&amp;C437=KHN&amp;MH,SL))</f>
        <v>571</v>
      </c>
      <c r="H437" s="513">
        <f t="array" ref="H437">SUM(IF("155"&amp;C437=KHN&amp;MH,TH))</f>
        <v>8438675</v>
      </c>
      <c r="I437" s="513">
        <f t="array" ref="I437">SUM(IF("155"&amp;C437=KHC&amp;MH,SL))</f>
        <v>571</v>
      </c>
      <c r="J437" s="513">
        <f t="array" ref="J437">SUM(IF("155"&amp;C437=KHC&amp;MH,TH))</f>
        <v>8438675</v>
      </c>
      <c r="K437" s="495">
        <f t="shared" si="41"/>
        <v>0</v>
      </c>
      <c r="L437" s="495">
        <f t="shared" si="42"/>
        <v>0</v>
      </c>
      <c r="M437" s="300"/>
      <c r="N437" s="300"/>
    </row>
    <row r="438" spans="1:14" s="294" customFormat="1" ht="18.75" customHeight="1">
      <c r="A438" s="300" t="str">
        <f t="shared" si="39"/>
        <v>TP</v>
      </c>
      <c r="B438" s="571">
        <f t="shared" si="40"/>
        <v>289</v>
      </c>
      <c r="C438" s="573" t="s">
        <v>1190</v>
      </c>
      <c r="D438" s="572" t="s">
        <v>1373</v>
      </c>
      <c r="E438" s="495"/>
      <c r="F438" s="495"/>
      <c r="G438" s="513">
        <f t="array" ref="G438">SUM(IF("155"&amp;C438=KHN&amp;MH,SL))</f>
        <v>301</v>
      </c>
      <c r="H438" s="513">
        <f t="array" ref="H438">SUM(IF("155"&amp;C438=KHN&amp;MH,TH))</f>
        <v>1949890</v>
      </c>
      <c r="I438" s="513">
        <f t="array" ref="I438">SUM(IF("155"&amp;C438=KHC&amp;MH,SL))</f>
        <v>301</v>
      </c>
      <c r="J438" s="513">
        <f t="array" ref="J438">SUM(IF("155"&amp;C438=KHC&amp;MH,TH))</f>
        <v>1949890</v>
      </c>
      <c r="K438" s="495">
        <f t="shared" si="41"/>
        <v>0</v>
      </c>
      <c r="L438" s="495">
        <f t="shared" si="42"/>
        <v>0</v>
      </c>
      <c r="M438" s="300"/>
      <c r="N438" s="300"/>
    </row>
    <row r="439" spans="1:14" s="294" customFormat="1" ht="18.75" customHeight="1">
      <c r="A439" s="300" t="str">
        <f t="shared" si="39"/>
        <v>TP</v>
      </c>
      <c r="B439" s="571">
        <f t="shared" si="40"/>
        <v>290</v>
      </c>
      <c r="C439" s="573" t="s">
        <v>1192</v>
      </c>
      <c r="D439" s="572" t="s">
        <v>1373</v>
      </c>
      <c r="E439" s="495"/>
      <c r="F439" s="495"/>
      <c r="G439" s="513">
        <f t="array" ref="G439">SUM(IF("155"&amp;C439=KHN&amp;MH,SL))</f>
        <v>506</v>
      </c>
      <c r="H439" s="513">
        <f t="array" ref="H439">SUM(IF("155"&amp;C439=KHN&amp;MH,TH))</f>
        <v>2940052</v>
      </c>
      <c r="I439" s="513">
        <f t="array" ref="I439">SUM(IF("155"&amp;C439=KHC&amp;MH,SL))</f>
        <v>506</v>
      </c>
      <c r="J439" s="513">
        <f t="array" ref="J439">SUM(IF("155"&amp;C439=KHC&amp;MH,TH))</f>
        <v>2940052</v>
      </c>
      <c r="K439" s="495">
        <f t="shared" si="41"/>
        <v>0</v>
      </c>
      <c r="L439" s="495">
        <f t="shared" si="42"/>
        <v>0</v>
      </c>
      <c r="M439" s="300"/>
      <c r="N439" s="300"/>
    </row>
    <row r="440" spans="1:14" s="294" customFormat="1" ht="18.75" customHeight="1">
      <c r="A440" s="300" t="str">
        <f t="shared" si="39"/>
        <v>TP</v>
      </c>
      <c r="B440" s="571">
        <f t="shared" si="40"/>
        <v>291</v>
      </c>
      <c r="C440" s="573" t="s">
        <v>1188</v>
      </c>
      <c r="D440" s="572" t="s">
        <v>1373</v>
      </c>
      <c r="E440" s="495"/>
      <c r="F440" s="495"/>
      <c r="G440" s="513">
        <f t="array" ref="G440">SUM(IF("155"&amp;C440=KHN&amp;MH,SL))</f>
        <v>401</v>
      </c>
      <c r="H440" s="513">
        <f t="array" ref="H440">SUM(IF("155"&amp;C440=KHN&amp;MH,TH))</f>
        <v>1962141</v>
      </c>
      <c r="I440" s="513">
        <f t="array" ref="I440">SUM(IF("155"&amp;C440=KHC&amp;MH,SL))</f>
        <v>401</v>
      </c>
      <c r="J440" s="513">
        <f t="array" ref="J440">SUM(IF("155"&amp;C440=KHC&amp;MH,TH))</f>
        <v>1962141</v>
      </c>
      <c r="K440" s="495">
        <f t="shared" si="41"/>
        <v>0</v>
      </c>
      <c r="L440" s="495">
        <f t="shared" si="42"/>
        <v>0</v>
      </c>
      <c r="M440" s="300"/>
      <c r="N440" s="300"/>
    </row>
    <row r="441" spans="1:14" s="294" customFormat="1" ht="18.75" customHeight="1">
      <c r="A441" s="300" t="str">
        <f t="shared" si="39"/>
        <v>TP</v>
      </c>
      <c r="B441" s="571">
        <f t="shared" si="40"/>
        <v>292</v>
      </c>
      <c r="C441" s="537" t="s">
        <v>1293</v>
      </c>
      <c r="D441" s="572" t="s">
        <v>1373</v>
      </c>
      <c r="E441" s="495"/>
      <c r="F441" s="495"/>
      <c r="G441" s="513">
        <f t="array" ref="G441">SUM(IF("155"&amp;C441=KHN&amp;MH,SL))</f>
        <v>470</v>
      </c>
      <c r="H441" s="513">
        <f t="array" ref="H441">SUM(IF("155"&amp;C441=KHN&amp;MH,TH))</f>
        <v>8336628</v>
      </c>
      <c r="I441" s="513">
        <f t="array" ref="I441">SUM(IF("155"&amp;C441=KHC&amp;MH,SL))</f>
        <v>470</v>
      </c>
      <c r="J441" s="513">
        <f t="array" ref="J441">SUM(IF("155"&amp;C441=KHC&amp;MH,TH))</f>
        <v>8336628</v>
      </c>
      <c r="K441" s="495">
        <f t="shared" si="41"/>
        <v>0</v>
      </c>
      <c r="L441" s="495">
        <f t="shared" si="42"/>
        <v>0</v>
      </c>
      <c r="M441" s="300"/>
      <c r="N441" s="300"/>
    </row>
    <row r="442" spans="1:14" s="294" customFormat="1" ht="18.75" customHeight="1">
      <c r="A442" s="300" t="str">
        <f t="shared" si="39"/>
        <v>TP</v>
      </c>
      <c r="B442" s="571">
        <f t="shared" si="40"/>
        <v>293</v>
      </c>
      <c r="C442" s="566" t="s">
        <v>977</v>
      </c>
      <c r="D442" s="572" t="s">
        <v>1373</v>
      </c>
      <c r="E442" s="495"/>
      <c r="F442" s="495"/>
      <c r="G442" s="513">
        <f t="array" ref="G442">SUM(IF("155"&amp;C442=KHN&amp;MH,SL))</f>
        <v>44</v>
      </c>
      <c r="H442" s="513">
        <f t="array" ref="H442">SUM(IF("155"&amp;C442=KHN&amp;MH,TH))</f>
        <v>293542</v>
      </c>
      <c r="I442" s="513">
        <f t="array" ref="I442">SUM(IF("155"&amp;C442=KHC&amp;MH,SL))</f>
        <v>44</v>
      </c>
      <c r="J442" s="513">
        <f t="array" ref="J442">SUM(IF("155"&amp;C442=KHC&amp;MH,TH))</f>
        <v>293542</v>
      </c>
      <c r="K442" s="495">
        <f t="shared" si="41"/>
        <v>0</v>
      </c>
      <c r="L442" s="495">
        <f t="shared" si="42"/>
        <v>0</v>
      </c>
      <c r="M442" s="300"/>
      <c r="N442" s="300"/>
    </row>
    <row r="443" spans="1:14" s="294" customFormat="1" ht="18.75" customHeight="1">
      <c r="A443" s="300" t="str">
        <f t="shared" si="39"/>
        <v>TP</v>
      </c>
      <c r="B443" s="571">
        <f t="shared" si="40"/>
        <v>294</v>
      </c>
      <c r="C443" s="566" t="s">
        <v>976</v>
      </c>
      <c r="D443" s="572" t="s">
        <v>1373</v>
      </c>
      <c r="E443" s="495"/>
      <c r="F443" s="495"/>
      <c r="G443" s="513">
        <f t="array" ref="G443">SUM(IF("155"&amp;C443=KHN&amp;MH,SL))</f>
        <v>385</v>
      </c>
      <c r="H443" s="513">
        <f t="array" ref="H443">SUM(IF("155"&amp;C443=KHN&amp;MH,TH))</f>
        <v>2902003</v>
      </c>
      <c r="I443" s="513">
        <f t="array" ref="I443">SUM(IF("155"&amp;C443=KHC&amp;MH,SL))</f>
        <v>385</v>
      </c>
      <c r="J443" s="513">
        <f t="array" ref="J443">SUM(IF("155"&amp;C443=KHC&amp;MH,TH))</f>
        <v>2902003</v>
      </c>
      <c r="K443" s="495">
        <f t="shared" si="41"/>
        <v>0</v>
      </c>
      <c r="L443" s="495">
        <f t="shared" si="42"/>
        <v>0</v>
      </c>
      <c r="M443" s="300"/>
      <c r="N443" s="300"/>
    </row>
    <row r="444" spans="1:14" s="294" customFormat="1" ht="18.75" customHeight="1">
      <c r="A444" s="300" t="str">
        <f t="shared" si="39"/>
        <v>TP</v>
      </c>
      <c r="B444" s="571">
        <f t="shared" si="40"/>
        <v>295</v>
      </c>
      <c r="C444" s="566" t="s">
        <v>975</v>
      </c>
      <c r="D444" s="572" t="s">
        <v>1373</v>
      </c>
      <c r="E444" s="495"/>
      <c r="F444" s="495"/>
      <c r="G444" s="513">
        <f t="array" ref="G444">SUM(IF("155"&amp;C444=KHN&amp;MH,SL))</f>
        <v>200</v>
      </c>
      <c r="H444" s="513">
        <f t="array" ref="H444">SUM(IF("155"&amp;C444=KHN&amp;MH,TH))</f>
        <v>1478880</v>
      </c>
      <c r="I444" s="513">
        <f t="array" ref="I444">SUM(IF("155"&amp;C444=KHC&amp;MH,SL))</f>
        <v>200</v>
      </c>
      <c r="J444" s="513">
        <f t="array" ref="J444">SUM(IF("155"&amp;C444=KHC&amp;MH,TH))</f>
        <v>1478880</v>
      </c>
      <c r="K444" s="495">
        <f t="shared" si="41"/>
        <v>0</v>
      </c>
      <c r="L444" s="495">
        <f t="shared" si="42"/>
        <v>0</v>
      </c>
      <c r="M444" s="300"/>
      <c r="N444" s="300"/>
    </row>
    <row r="445" spans="1:14" s="294" customFormat="1" ht="18.75" customHeight="1">
      <c r="A445" s="300" t="str">
        <f t="shared" si="39"/>
        <v>TP</v>
      </c>
      <c r="B445" s="571">
        <f t="shared" si="40"/>
        <v>296</v>
      </c>
      <c r="C445" s="567" t="s">
        <v>1344</v>
      </c>
      <c r="D445" s="572" t="s">
        <v>1373</v>
      </c>
      <c r="E445" s="495"/>
      <c r="F445" s="495"/>
      <c r="G445" s="513">
        <f t="array" ref="G445">SUM(IF("155"&amp;C445=KHN&amp;MH,SL))</f>
        <v>1</v>
      </c>
      <c r="H445" s="513">
        <f t="array" ref="H445">SUM(IF("155"&amp;C445=KHN&amp;MH,TH))</f>
        <v>14754</v>
      </c>
      <c r="I445" s="513">
        <f t="array" ref="I445">SUM(IF("155"&amp;C445=KHC&amp;MH,SL))</f>
        <v>1</v>
      </c>
      <c r="J445" s="513">
        <f t="array" ref="J445">SUM(IF("155"&amp;C445=KHC&amp;MH,TH))</f>
        <v>14754</v>
      </c>
      <c r="K445" s="495">
        <f t="shared" si="41"/>
        <v>0</v>
      </c>
      <c r="L445" s="495">
        <f t="shared" si="42"/>
        <v>0</v>
      </c>
      <c r="M445" s="300"/>
      <c r="N445" s="300"/>
    </row>
    <row r="446" spans="1:14" s="294" customFormat="1" ht="18.75" customHeight="1">
      <c r="A446" s="300" t="str">
        <f t="shared" si="39"/>
        <v>TP</v>
      </c>
      <c r="B446" s="571">
        <f t="shared" si="40"/>
        <v>297</v>
      </c>
      <c r="C446" s="567" t="s">
        <v>1342</v>
      </c>
      <c r="D446" s="572" t="s">
        <v>1373</v>
      </c>
      <c r="E446" s="495"/>
      <c r="F446" s="495"/>
      <c r="G446" s="513">
        <f t="array" ref="G446">SUM(IF("155"&amp;C446=KHN&amp;MH,SL))</f>
        <v>2</v>
      </c>
      <c r="H446" s="513">
        <f t="array" ref="H446">SUM(IF("155"&amp;C446=KHN&amp;MH,TH))</f>
        <v>29507</v>
      </c>
      <c r="I446" s="513">
        <f t="array" ref="I446">SUM(IF("155"&amp;C446=KHC&amp;MH,SL))</f>
        <v>2</v>
      </c>
      <c r="J446" s="513">
        <f t="array" ref="J446">SUM(IF("155"&amp;C446=KHC&amp;MH,TH))</f>
        <v>29507</v>
      </c>
      <c r="K446" s="495">
        <f t="shared" si="41"/>
        <v>0</v>
      </c>
      <c r="L446" s="495">
        <f t="shared" si="42"/>
        <v>0</v>
      </c>
      <c r="M446" s="300"/>
      <c r="N446" s="300"/>
    </row>
    <row r="447" spans="1:14" s="294" customFormat="1" ht="18.75" customHeight="1">
      <c r="A447" s="300" t="str">
        <f t="shared" si="39"/>
        <v>TP</v>
      </c>
      <c r="B447" s="571">
        <f t="shared" si="40"/>
        <v>298</v>
      </c>
      <c r="C447" s="566" t="s">
        <v>999</v>
      </c>
      <c r="D447" s="572" t="s">
        <v>1373</v>
      </c>
      <c r="E447" s="495"/>
      <c r="F447" s="495"/>
      <c r="G447" s="513">
        <f t="array" ref="G447">SUM(IF("155"&amp;C447=KHN&amp;MH,SL))</f>
        <v>41</v>
      </c>
      <c r="H447" s="513">
        <f t="array" ref="H447">SUM(IF("155"&amp;C447=KHN&amp;MH,TH))</f>
        <v>430578</v>
      </c>
      <c r="I447" s="513">
        <f t="array" ref="I447">SUM(IF("155"&amp;C447=KHC&amp;MH,SL))</f>
        <v>41</v>
      </c>
      <c r="J447" s="513">
        <f t="array" ref="J447">SUM(IF("155"&amp;C447=KHC&amp;MH,TH))</f>
        <v>430578</v>
      </c>
      <c r="K447" s="495">
        <f t="shared" si="41"/>
        <v>0</v>
      </c>
      <c r="L447" s="495">
        <f t="shared" si="42"/>
        <v>0</v>
      </c>
      <c r="M447" s="300"/>
      <c r="N447" s="300"/>
    </row>
    <row r="448" spans="1:14" s="294" customFormat="1" ht="18.75" customHeight="1">
      <c r="A448" s="300" t="str">
        <f t="shared" si="39"/>
        <v>TP</v>
      </c>
      <c r="B448" s="571">
        <f t="shared" si="40"/>
        <v>299</v>
      </c>
      <c r="C448" s="566" t="s">
        <v>1021</v>
      </c>
      <c r="D448" s="572" t="s">
        <v>1373</v>
      </c>
      <c r="E448" s="495"/>
      <c r="F448" s="495"/>
      <c r="G448" s="513">
        <f t="array" ref="G448">SUM(IF("155"&amp;C448=KHN&amp;MH,SL))</f>
        <v>86</v>
      </c>
      <c r="H448" s="513">
        <f t="array" ref="H448">SUM(IF("155"&amp;C448=KHN&amp;MH,TH))</f>
        <v>573740</v>
      </c>
      <c r="I448" s="513">
        <f t="array" ref="I448">SUM(IF("155"&amp;C448=KHC&amp;MH,SL))</f>
        <v>86</v>
      </c>
      <c r="J448" s="513">
        <f t="array" ref="J448">SUM(IF("155"&amp;C448=KHC&amp;MH,TH))</f>
        <v>573740</v>
      </c>
      <c r="K448" s="495">
        <f t="shared" si="41"/>
        <v>0</v>
      </c>
      <c r="L448" s="495">
        <f t="shared" si="42"/>
        <v>0</v>
      </c>
      <c r="M448" s="300"/>
      <c r="N448" s="300"/>
    </row>
    <row r="449" spans="1:14" s="294" customFormat="1" ht="18.75" customHeight="1">
      <c r="A449" s="300" t="str">
        <f t="shared" si="39"/>
        <v>TP</v>
      </c>
      <c r="B449" s="571">
        <f t="shared" si="40"/>
        <v>300</v>
      </c>
      <c r="C449" s="566" t="s">
        <v>1004</v>
      </c>
      <c r="D449" s="572" t="s">
        <v>1373</v>
      </c>
      <c r="E449" s="495"/>
      <c r="F449" s="495"/>
      <c r="G449" s="513">
        <f t="array" ref="G449">SUM(IF("155"&amp;C449=KHN&amp;MH,SL))</f>
        <v>106</v>
      </c>
      <c r="H449" s="513">
        <f t="array" ref="H449">SUM(IF("155"&amp;C449=KHN&amp;MH,TH))</f>
        <v>783806</v>
      </c>
      <c r="I449" s="513">
        <f t="array" ref="I449">SUM(IF("155"&amp;C449=KHC&amp;MH,SL))</f>
        <v>106</v>
      </c>
      <c r="J449" s="513">
        <f t="array" ref="J449">SUM(IF("155"&amp;C449=KHC&amp;MH,TH))</f>
        <v>783806</v>
      </c>
      <c r="K449" s="495">
        <f t="shared" si="41"/>
        <v>0</v>
      </c>
      <c r="L449" s="495">
        <f t="shared" si="42"/>
        <v>0</v>
      </c>
      <c r="M449" s="300"/>
      <c r="N449" s="300"/>
    </row>
    <row r="450" spans="1:14" s="294" customFormat="1" ht="18.75" customHeight="1">
      <c r="A450" s="300" t="str">
        <f t="shared" si="39"/>
        <v>TP</v>
      </c>
      <c r="B450" s="571">
        <f t="shared" si="40"/>
        <v>301</v>
      </c>
      <c r="C450" s="566" t="s">
        <v>1003</v>
      </c>
      <c r="D450" s="572" t="s">
        <v>1373</v>
      </c>
      <c r="E450" s="495"/>
      <c r="F450" s="495"/>
      <c r="G450" s="513">
        <f t="array" ref="G450">SUM(IF("155"&amp;C450=KHN&amp;MH,SL))</f>
        <v>434</v>
      </c>
      <c r="H450" s="513">
        <f t="array" ref="H450">SUM(IF("155"&amp;C450=KHN&amp;MH,TH))</f>
        <v>3265372</v>
      </c>
      <c r="I450" s="513">
        <f t="array" ref="I450">SUM(IF("155"&amp;C450=KHC&amp;MH,SL))</f>
        <v>434</v>
      </c>
      <c r="J450" s="513">
        <f t="array" ref="J450">SUM(IF("155"&amp;C450=KHC&amp;MH,TH))</f>
        <v>3265372</v>
      </c>
      <c r="K450" s="495">
        <f t="shared" si="41"/>
        <v>0</v>
      </c>
      <c r="L450" s="495">
        <f t="shared" si="42"/>
        <v>0</v>
      </c>
      <c r="M450" s="300"/>
      <c r="N450" s="300"/>
    </row>
    <row r="451" spans="1:14" s="294" customFormat="1" ht="18.75" customHeight="1">
      <c r="A451" s="300" t="str">
        <f t="shared" si="39"/>
        <v>TP</v>
      </c>
      <c r="B451" s="571">
        <f t="shared" si="40"/>
        <v>302</v>
      </c>
      <c r="C451" s="566" t="s">
        <v>970</v>
      </c>
      <c r="D451" s="572" t="s">
        <v>1373</v>
      </c>
      <c r="E451" s="495"/>
      <c r="F451" s="495"/>
      <c r="G451" s="513">
        <f t="array" ref="G451">SUM(IF("155"&amp;C451=KHN&amp;MH,SL))</f>
        <v>52</v>
      </c>
      <c r="H451" s="513">
        <f t="array" ref="H451">SUM(IF("155"&amp;C451=KHN&amp;MH,TH))</f>
        <v>486845</v>
      </c>
      <c r="I451" s="513">
        <f t="array" ref="I451">SUM(IF("155"&amp;C451=KHC&amp;MH,SL))</f>
        <v>52</v>
      </c>
      <c r="J451" s="513">
        <f t="array" ref="J451">SUM(IF("155"&amp;C451=KHC&amp;MH,TH))</f>
        <v>486845</v>
      </c>
      <c r="K451" s="495">
        <f t="shared" si="41"/>
        <v>0</v>
      </c>
      <c r="L451" s="495">
        <f t="shared" si="42"/>
        <v>0</v>
      </c>
      <c r="M451" s="300"/>
      <c r="N451" s="300"/>
    </row>
    <row r="452" spans="1:14" s="294" customFormat="1" ht="18.75" customHeight="1">
      <c r="A452" s="300" t="str">
        <f t="shared" si="39"/>
        <v>TP</v>
      </c>
      <c r="B452" s="571">
        <f t="shared" si="40"/>
        <v>303</v>
      </c>
      <c r="C452" s="566" t="s">
        <v>969</v>
      </c>
      <c r="D452" s="572" t="s">
        <v>1373</v>
      </c>
      <c r="E452" s="495"/>
      <c r="F452" s="495"/>
      <c r="G452" s="513">
        <f t="array" ref="G452">SUM(IF("155"&amp;C452=KHN&amp;MH,SL))</f>
        <v>122</v>
      </c>
      <c r="H452" s="513">
        <f t="array" ref="H452">SUM(IF("155"&amp;C452=KHN&amp;MH,TH))</f>
        <v>1469051</v>
      </c>
      <c r="I452" s="513">
        <f t="array" ref="I452">SUM(IF("155"&amp;C452=KHC&amp;MH,SL))</f>
        <v>122</v>
      </c>
      <c r="J452" s="513">
        <f t="array" ref="J452">SUM(IF("155"&amp;C452=KHC&amp;MH,TH))</f>
        <v>1469051</v>
      </c>
      <c r="K452" s="495">
        <f t="shared" si="41"/>
        <v>0</v>
      </c>
      <c r="L452" s="495">
        <f t="shared" si="42"/>
        <v>0</v>
      </c>
      <c r="M452" s="300"/>
      <c r="N452" s="300"/>
    </row>
    <row r="453" spans="1:14" s="294" customFormat="1" ht="18.75" customHeight="1">
      <c r="A453" s="300" t="str">
        <f t="shared" si="39"/>
        <v>TP</v>
      </c>
      <c r="B453" s="571">
        <f t="shared" si="40"/>
        <v>304</v>
      </c>
      <c r="C453" s="566" t="s">
        <v>968</v>
      </c>
      <c r="D453" s="572" t="s">
        <v>1373</v>
      </c>
      <c r="E453" s="495"/>
      <c r="F453" s="495"/>
      <c r="G453" s="513">
        <f t="array" ref="G453">SUM(IF("155"&amp;C453=KHN&amp;MH,SL))</f>
        <v>123</v>
      </c>
      <c r="H453" s="513">
        <f t="array" ref="H453">SUM(IF("155"&amp;C453=KHN&amp;MH,TH))</f>
        <v>2301933</v>
      </c>
      <c r="I453" s="513">
        <f t="array" ref="I453">SUM(IF("155"&amp;C453=KHC&amp;MH,SL))</f>
        <v>123</v>
      </c>
      <c r="J453" s="513">
        <f t="array" ref="J453">SUM(IF("155"&amp;C453=KHC&amp;MH,TH))</f>
        <v>2301933</v>
      </c>
      <c r="K453" s="495">
        <f t="shared" si="41"/>
        <v>0</v>
      </c>
      <c r="L453" s="495">
        <f t="shared" si="42"/>
        <v>0</v>
      </c>
      <c r="M453" s="300"/>
      <c r="N453" s="300"/>
    </row>
    <row r="454" spans="1:14" s="294" customFormat="1" ht="18.75" customHeight="1">
      <c r="A454" s="300" t="str">
        <f t="shared" si="39"/>
        <v>TP</v>
      </c>
      <c r="B454" s="571">
        <f t="shared" si="40"/>
        <v>305</v>
      </c>
      <c r="C454" s="573" t="s">
        <v>1194</v>
      </c>
      <c r="D454" s="572" t="s">
        <v>1373</v>
      </c>
      <c r="E454" s="495"/>
      <c r="F454" s="495"/>
      <c r="G454" s="513">
        <f t="array" ref="G454">SUM(IF("155"&amp;C454=KHN&amp;MH,SL))</f>
        <v>280</v>
      </c>
      <c r="H454" s="513">
        <f t="array" ref="H454">SUM(IF("155"&amp;C454=KHN&amp;MH,TH))</f>
        <v>606831</v>
      </c>
      <c r="I454" s="513">
        <f t="array" ref="I454">SUM(IF("155"&amp;C454=KHC&amp;MH,SL))</f>
        <v>280</v>
      </c>
      <c r="J454" s="513">
        <f t="array" ref="J454">SUM(IF("155"&amp;C454=KHC&amp;MH,TH))</f>
        <v>606831</v>
      </c>
      <c r="K454" s="495">
        <f t="shared" si="41"/>
        <v>0</v>
      </c>
      <c r="L454" s="495">
        <f t="shared" si="42"/>
        <v>0</v>
      </c>
      <c r="M454" s="300"/>
      <c r="N454" s="300"/>
    </row>
    <row r="455" spans="1:14" s="294" customFormat="1" ht="18.75" customHeight="1">
      <c r="A455" s="300" t="str">
        <f t="shared" si="39"/>
        <v>TP</v>
      </c>
      <c r="B455" s="571">
        <f t="shared" si="40"/>
        <v>306</v>
      </c>
      <c r="C455" s="573" t="s">
        <v>1193</v>
      </c>
      <c r="D455" s="572" t="s">
        <v>1373</v>
      </c>
      <c r="E455" s="495"/>
      <c r="F455" s="495"/>
      <c r="G455" s="513">
        <f t="array" ref="G455">SUM(IF("155"&amp;C455=KHN&amp;MH,SL))</f>
        <v>396</v>
      </c>
      <c r="H455" s="513">
        <f t="array" ref="H455">SUM(IF("155"&amp;C455=KHN&amp;MH,TH))</f>
        <v>1729947</v>
      </c>
      <c r="I455" s="513">
        <f t="array" ref="I455">SUM(IF("155"&amp;C455=KHC&amp;MH,SL))</f>
        <v>396</v>
      </c>
      <c r="J455" s="513">
        <f t="array" ref="J455">SUM(IF("155"&amp;C455=KHC&amp;MH,TH))</f>
        <v>1729947</v>
      </c>
      <c r="K455" s="495">
        <f t="shared" si="41"/>
        <v>0</v>
      </c>
      <c r="L455" s="495">
        <f t="shared" si="42"/>
        <v>0</v>
      </c>
      <c r="M455" s="300"/>
      <c r="N455" s="300"/>
    </row>
    <row r="456" spans="1:14" s="294" customFormat="1" ht="18.75" customHeight="1">
      <c r="A456" s="300" t="str">
        <f t="shared" si="39"/>
        <v>TP</v>
      </c>
      <c r="B456" s="571">
        <f t="shared" si="40"/>
        <v>307</v>
      </c>
      <c r="C456" s="573" t="s">
        <v>1186</v>
      </c>
      <c r="D456" s="572" t="s">
        <v>1373</v>
      </c>
      <c r="E456" s="495"/>
      <c r="F456" s="495"/>
      <c r="G456" s="513">
        <f t="array" ref="G456">SUM(IF("155"&amp;C456=KHN&amp;MH,SL))</f>
        <v>564</v>
      </c>
      <c r="H456" s="513">
        <f t="array" ref="H456">SUM(IF("155"&amp;C456=KHN&amp;MH,TH))</f>
        <v>2383966</v>
      </c>
      <c r="I456" s="513">
        <f t="array" ref="I456">SUM(IF("155"&amp;C456=KHC&amp;MH,SL))</f>
        <v>564</v>
      </c>
      <c r="J456" s="513">
        <f t="array" ref="J456">SUM(IF("155"&amp;C456=KHC&amp;MH,TH))</f>
        <v>2383966</v>
      </c>
      <c r="K456" s="495">
        <f t="shared" si="41"/>
        <v>0</v>
      </c>
      <c r="L456" s="495">
        <f t="shared" si="42"/>
        <v>0</v>
      </c>
      <c r="M456" s="300"/>
      <c r="N456" s="300"/>
    </row>
    <row r="457" spans="1:14" s="294" customFormat="1" ht="18.75" customHeight="1">
      <c r="A457" s="300" t="str">
        <f t="shared" si="39"/>
        <v>TP</v>
      </c>
      <c r="B457" s="571">
        <f t="shared" si="40"/>
        <v>308</v>
      </c>
      <c r="C457" s="573" t="s">
        <v>1189</v>
      </c>
      <c r="D457" s="572" t="s">
        <v>1373</v>
      </c>
      <c r="E457" s="495"/>
      <c r="F457" s="495"/>
      <c r="G457" s="513">
        <f t="array" ref="G457">SUM(IF("155"&amp;C457=KHN&amp;MH,SL))</f>
        <v>506</v>
      </c>
      <c r="H457" s="513">
        <f t="array" ref="H457">SUM(IF("155"&amp;C457=KHN&amp;MH,TH))</f>
        <v>2365244</v>
      </c>
      <c r="I457" s="513">
        <f t="array" ref="I457">SUM(IF("155"&amp;C457=KHC&amp;MH,SL))</f>
        <v>506</v>
      </c>
      <c r="J457" s="513">
        <f t="array" ref="J457">SUM(IF("155"&amp;C457=KHC&amp;MH,TH))</f>
        <v>2365244</v>
      </c>
      <c r="K457" s="495">
        <f t="shared" si="41"/>
        <v>0</v>
      </c>
      <c r="L457" s="495">
        <f t="shared" si="42"/>
        <v>0</v>
      </c>
      <c r="M457" s="300"/>
      <c r="N457" s="300"/>
    </row>
    <row r="458" spans="1:14" s="294" customFormat="1" ht="18.75" customHeight="1">
      <c r="A458" s="300" t="str">
        <f t="shared" si="39"/>
        <v>TP</v>
      </c>
      <c r="B458" s="571">
        <f t="shared" si="40"/>
        <v>309</v>
      </c>
      <c r="C458" s="567" t="s">
        <v>1345</v>
      </c>
      <c r="D458" s="572" t="s">
        <v>1373</v>
      </c>
      <c r="E458" s="495"/>
      <c r="F458" s="495"/>
      <c r="G458" s="513">
        <f t="array" ref="G458">SUM(IF("155"&amp;C458=KHN&amp;MH,SL))</f>
        <v>1</v>
      </c>
      <c r="H458" s="513">
        <f t="array" ref="H458">SUM(IF("155"&amp;C458=KHN&amp;MH,TH))</f>
        <v>17738</v>
      </c>
      <c r="I458" s="513">
        <f t="array" ref="I458">SUM(IF("155"&amp;C458=KHC&amp;MH,SL))</f>
        <v>1</v>
      </c>
      <c r="J458" s="513">
        <f t="array" ref="J458">SUM(IF("155"&amp;C458=KHC&amp;MH,TH))</f>
        <v>17738</v>
      </c>
      <c r="K458" s="495">
        <f t="shared" si="41"/>
        <v>0</v>
      </c>
      <c r="L458" s="495">
        <f t="shared" si="42"/>
        <v>0</v>
      </c>
      <c r="M458" s="300"/>
      <c r="N458" s="300"/>
    </row>
    <row r="459" spans="1:14" s="294" customFormat="1" ht="18.75" customHeight="1">
      <c r="A459" s="300" t="str">
        <f t="shared" si="39"/>
        <v>TP</v>
      </c>
      <c r="B459" s="571">
        <f t="shared" si="40"/>
        <v>310</v>
      </c>
      <c r="C459" s="566" t="s">
        <v>877</v>
      </c>
      <c r="D459" s="572" t="s">
        <v>360</v>
      </c>
      <c r="E459" s="495"/>
      <c r="F459" s="495"/>
      <c r="G459" s="513">
        <f t="array" ref="G459">SUM(IF("155"&amp;C459=KHN&amp;MH,SL))</f>
        <v>2176</v>
      </c>
      <c r="H459" s="513">
        <f t="array" ref="H459">SUM(IF("155"&amp;C459=KHN&amp;MH,TH))</f>
        <v>8246463</v>
      </c>
      <c r="I459" s="513">
        <f t="array" ref="I459">SUM(IF("155"&amp;C459=KHC&amp;MH,SL))</f>
        <v>2176</v>
      </c>
      <c r="J459" s="513">
        <f t="array" ref="J459">SUM(IF("155"&amp;C459=KHC&amp;MH,TH))</f>
        <v>8246463</v>
      </c>
      <c r="K459" s="495">
        <f t="shared" si="41"/>
        <v>0</v>
      </c>
      <c r="L459" s="495">
        <f t="shared" si="42"/>
        <v>0</v>
      </c>
      <c r="M459" s="300"/>
      <c r="N459" s="300"/>
    </row>
    <row r="460" spans="1:14" s="294" customFormat="1" ht="18.75" customHeight="1">
      <c r="A460" s="300" t="str">
        <f t="shared" si="39"/>
        <v>TP</v>
      </c>
      <c r="B460" s="571">
        <f t="shared" si="40"/>
        <v>311</v>
      </c>
      <c r="C460" s="567" t="s">
        <v>1262</v>
      </c>
      <c r="D460" s="572" t="s">
        <v>360</v>
      </c>
      <c r="E460" s="495"/>
      <c r="F460" s="495"/>
      <c r="G460" s="513">
        <f t="array" ref="G460">SUM(IF("155"&amp;C460=KHN&amp;MH,SL))</f>
        <v>60</v>
      </c>
      <c r="H460" s="513">
        <f t="array" ref="H460">SUM(IF("155"&amp;C460=KHN&amp;MH,TH))</f>
        <v>91256</v>
      </c>
      <c r="I460" s="513">
        <f t="array" ref="I460">SUM(IF("155"&amp;C460=KHC&amp;MH,SL))</f>
        <v>60</v>
      </c>
      <c r="J460" s="513">
        <f t="array" ref="J460">SUM(IF("155"&amp;C460=KHC&amp;MH,TH))</f>
        <v>91256</v>
      </c>
      <c r="K460" s="495">
        <f t="shared" si="41"/>
        <v>0</v>
      </c>
      <c r="L460" s="495">
        <f t="shared" si="42"/>
        <v>0</v>
      </c>
      <c r="M460" s="300"/>
      <c r="N460" s="300"/>
    </row>
    <row r="461" spans="1:14" s="294" customFormat="1" ht="18.75" customHeight="1">
      <c r="A461" s="300" t="str">
        <f t="shared" si="39"/>
        <v>TP</v>
      </c>
      <c r="B461" s="571">
        <f t="shared" si="40"/>
        <v>312</v>
      </c>
      <c r="C461" s="567" t="s">
        <v>1322</v>
      </c>
      <c r="D461" s="572" t="s">
        <v>360</v>
      </c>
      <c r="E461" s="495"/>
      <c r="F461" s="495"/>
      <c r="G461" s="513">
        <f t="array" ref="G461">SUM(IF("155"&amp;C461=KHN&amp;MH,SL))</f>
        <v>274</v>
      </c>
      <c r="H461" s="513">
        <f t="array" ref="H461">SUM(IF("155"&amp;C461=KHN&amp;MH,TH))</f>
        <v>546771</v>
      </c>
      <c r="I461" s="513">
        <f t="array" ref="I461">SUM(IF("155"&amp;C461=KHC&amp;MH,SL))</f>
        <v>274</v>
      </c>
      <c r="J461" s="513">
        <f t="array" ref="J461">SUM(IF("155"&amp;C461=KHC&amp;MH,TH))</f>
        <v>546771</v>
      </c>
      <c r="K461" s="495">
        <f t="shared" si="41"/>
        <v>0</v>
      </c>
      <c r="L461" s="495">
        <f t="shared" si="42"/>
        <v>0</v>
      </c>
      <c r="M461" s="300"/>
      <c r="N461" s="300"/>
    </row>
    <row r="462" spans="1:14" s="294" customFormat="1" ht="18.75" customHeight="1">
      <c r="A462" s="300" t="str">
        <f t="shared" si="39"/>
        <v>TP</v>
      </c>
      <c r="B462" s="571">
        <f t="shared" si="40"/>
        <v>313</v>
      </c>
      <c r="C462" s="567" t="s">
        <v>1323</v>
      </c>
      <c r="D462" s="572" t="s">
        <v>360</v>
      </c>
      <c r="E462" s="495"/>
      <c r="F462" s="495"/>
      <c r="G462" s="513">
        <f t="array" ref="G462">SUM(IF("155"&amp;C462=KHN&amp;MH,SL))</f>
        <v>44</v>
      </c>
      <c r="H462" s="513">
        <f t="array" ref="H462">SUM(IF("155"&amp;C462=KHN&amp;MH,TH))</f>
        <v>84416</v>
      </c>
      <c r="I462" s="513">
        <f t="array" ref="I462">SUM(IF("155"&amp;C462=KHC&amp;MH,SL))</f>
        <v>44</v>
      </c>
      <c r="J462" s="513">
        <f t="array" ref="J462">SUM(IF("155"&amp;C462=KHC&amp;MH,TH))</f>
        <v>84416</v>
      </c>
      <c r="K462" s="495">
        <f t="shared" si="41"/>
        <v>0</v>
      </c>
      <c r="L462" s="495">
        <f t="shared" si="42"/>
        <v>0</v>
      </c>
      <c r="M462" s="300"/>
      <c r="N462" s="300"/>
    </row>
    <row r="463" spans="1:14" s="294" customFormat="1" ht="18.75" customHeight="1">
      <c r="A463" s="300" t="str">
        <f t="shared" si="39"/>
        <v>TP</v>
      </c>
      <c r="B463" s="571">
        <f t="shared" si="40"/>
        <v>314</v>
      </c>
      <c r="C463" s="567" t="s">
        <v>1324</v>
      </c>
      <c r="D463" s="572" t="s">
        <v>360</v>
      </c>
      <c r="E463" s="495"/>
      <c r="F463" s="495"/>
      <c r="G463" s="513">
        <f t="array" ref="G463">SUM(IF("155"&amp;C463=KHN&amp;MH,SL))</f>
        <v>262</v>
      </c>
      <c r="H463" s="513">
        <f t="array" ref="H463">SUM(IF("155"&amp;C463=KHN&amp;MH,TH))</f>
        <v>435464</v>
      </c>
      <c r="I463" s="513">
        <f t="array" ref="I463">SUM(IF("155"&amp;C463=KHC&amp;MH,SL))</f>
        <v>262</v>
      </c>
      <c r="J463" s="513">
        <f t="array" ref="J463">SUM(IF("155"&amp;C463=KHC&amp;MH,TH))</f>
        <v>435464</v>
      </c>
      <c r="K463" s="495">
        <f t="shared" si="41"/>
        <v>0</v>
      </c>
      <c r="L463" s="495">
        <f t="shared" si="42"/>
        <v>0</v>
      </c>
      <c r="M463" s="300"/>
      <c r="N463" s="300"/>
    </row>
    <row r="464" spans="1:14" s="294" customFormat="1" ht="18.75" customHeight="1">
      <c r="A464" s="300" t="str">
        <f t="shared" si="39"/>
        <v>TP</v>
      </c>
      <c r="B464" s="571">
        <f t="shared" si="40"/>
        <v>315</v>
      </c>
      <c r="C464" s="567" t="s">
        <v>1271</v>
      </c>
      <c r="D464" s="572" t="s">
        <v>360</v>
      </c>
      <c r="E464" s="495"/>
      <c r="F464" s="495"/>
      <c r="G464" s="513">
        <f t="array" ref="G464">SUM(IF("155"&amp;C464=KHN&amp;MH,SL))</f>
        <v>82</v>
      </c>
      <c r="H464" s="513">
        <f t="array" ref="H464">SUM(IF("155"&amp;C464=KHN&amp;MH,TH))</f>
        <v>128722</v>
      </c>
      <c r="I464" s="513">
        <f t="array" ref="I464">SUM(IF("155"&amp;C464=KHC&amp;MH,SL))</f>
        <v>82</v>
      </c>
      <c r="J464" s="513">
        <f t="array" ref="J464">SUM(IF("155"&amp;C464=KHC&amp;MH,TH))</f>
        <v>128722</v>
      </c>
      <c r="K464" s="495">
        <f t="shared" si="41"/>
        <v>0</v>
      </c>
      <c r="L464" s="495">
        <f t="shared" si="42"/>
        <v>0</v>
      </c>
      <c r="M464" s="300"/>
      <c r="N464" s="300"/>
    </row>
    <row r="465" spans="1:14" s="294" customFormat="1" ht="18.75" customHeight="1">
      <c r="A465" s="300" t="str">
        <f t="shared" si="39"/>
        <v>TP</v>
      </c>
      <c r="B465" s="571">
        <f t="shared" si="40"/>
        <v>316</v>
      </c>
      <c r="C465" s="567" t="s">
        <v>1270</v>
      </c>
      <c r="D465" s="572" t="s">
        <v>360</v>
      </c>
      <c r="E465" s="495"/>
      <c r="F465" s="495"/>
      <c r="G465" s="513">
        <f t="array" ref="G465">SUM(IF("155"&amp;C465=KHN&amp;MH,SL))</f>
        <v>308</v>
      </c>
      <c r="H465" s="513">
        <f t="array" ref="H465">SUM(IF("155"&amp;C465=KHN&amp;MH,TH))</f>
        <v>470278</v>
      </c>
      <c r="I465" s="513">
        <f t="array" ref="I465">SUM(IF("155"&amp;C465=KHC&amp;MH,SL))</f>
        <v>308</v>
      </c>
      <c r="J465" s="513">
        <f t="array" ref="J465">SUM(IF("155"&amp;C465=KHC&amp;MH,TH))</f>
        <v>470278</v>
      </c>
      <c r="K465" s="495">
        <f t="shared" si="41"/>
        <v>0</v>
      </c>
      <c r="L465" s="495">
        <f t="shared" si="42"/>
        <v>0</v>
      </c>
      <c r="M465" s="300"/>
      <c r="N465" s="300"/>
    </row>
    <row r="466" spans="1:14" s="294" customFormat="1" ht="18.75" customHeight="1">
      <c r="A466" s="300" t="str">
        <f t="shared" si="39"/>
        <v>TP</v>
      </c>
      <c r="B466" s="571">
        <f t="shared" si="40"/>
        <v>317</v>
      </c>
      <c r="C466" s="567" t="s">
        <v>1335</v>
      </c>
      <c r="D466" s="572" t="s">
        <v>360</v>
      </c>
      <c r="E466" s="495"/>
      <c r="F466" s="495"/>
      <c r="G466" s="513">
        <f t="array" ref="G466">SUM(IF("155"&amp;C466=KHN&amp;MH,SL))</f>
        <v>1140</v>
      </c>
      <c r="H466" s="513">
        <f t="array" ref="H466">SUM(IF("155"&amp;C466=KHN&amp;MH,TH))</f>
        <v>2017814</v>
      </c>
      <c r="I466" s="513">
        <f t="array" ref="I466">SUM(IF("155"&amp;C466=KHC&amp;MH,SL))</f>
        <v>1140</v>
      </c>
      <c r="J466" s="513">
        <f t="array" ref="J466">SUM(IF("155"&amp;C466=KHC&amp;MH,TH))</f>
        <v>2017814</v>
      </c>
      <c r="K466" s="495">
        <f t="shared" si="41"/>
        <v>0</v>
      </c>
      <c r="L466" s="495">
        <f t="shared" si="42"/>
        <v>0</v>
      </c>
      <c r="M466" s="300"/>
      <c r="N466" s="300"/>
    </row>
    <row r="467" spans="1:14" s="294" customFormat="1" ht="18.75" customHeight="1">
      <c r="A467" s="300" t="str">
        <f t="shared" si="39"/>
        <v>TP</v>
      </c>
      <c r="B467" s="571">
        <f t="shared" si="40"/>
        <v>318</v>
      </c>
      <c r="C467" s="567" t="s">
        <v>1261</v>
      </c>
      <c r="D467" s="572" t="s">
        <v>360</v>
      </c>
      <c r="E467" s="495"/>
      <c r="F467" s="495"/>
      <c r="G467" s="513">
        <f t="array" ref="G467">SUM(IF("155"&amp;C467=KHN&amp;MH,SL))</f>
        <v>630</v>
      </c>
      <c r="H467" s="513">
        <f t="array" ref="H467">SUM(IF("155"&amp;C467=KHN&amp;MH,TH))</f>
        <v>975097</v>
      </c>
      <c r="I467" s="513">
        <f t="array" ref="I467">SUM(IF("155"&amp;C467=KHC&amp;MH,SL))</f>
        <v>630</v>
      </c>
      <c r="J467" s="513">
        <f t="array" ref="J467">SUM(IF("155"&amp;C467=KHC&amp;MH,TH))</f>
        <v>975097</v>
      </c>
      <c r="K467" s="495">
        <f t="shared" si="41"/>
        <v>0</v>
      </c>
      <c r="L467" s="495">
        <f t="shared" si="42"/>
        <v>0</v>
      </c>
      <c r="M467" s="300"/>
      <c r="N467" s="300"/>
    </row>
    <row r="468" spans="1:14" s="294" customFormat="1" ht="18.75" customHeight="1">
      <c r="A468" s="300" t="str">
        <f t="shared" si="39"/>
        <v>TP</v>
      </c>
      <c r="B468" s="571">
        <f t="shared" si="40"/>
        <v>319</v>
      </c>
      <c r="C468" s="567" t="s">
        <v>1263</v>
      </c>
      <c r="D468" s="572" t="s">
        <v>360</v>
      </c>
      <c r="E468" s="495"/>
      <c r="F468" s="495"/>
      <c r="G468" s="513">
        <f t="array" ref="G468">SUM(IF("155"&amp;C468=KHN&amp;MH,SL))</f>
        <v>240</v>
      </c>
      <c r="H468" s="513">
        <f t="array" ref="H468">SUM(IF("155"&amp;C468=KHN&amp;MH,TH))</f>
        <v>407830</v>
      </c>
      <c r="I468" s="513">
        <f t="array" ref="I468">SUM(IF("155"&amp;C468=KHC&amp;MH,SL))</f>
        <v>240</v>
      </c>
      <c r="J468" s="513">
        <f t="array" ref="J468">SUM(IF("155"&amp;C468=KHC&amp;MH,TH))</f>
        <v>407830</v>
      </c>
      <c r="K468" s="495">
        <f t="shared" si="41"/>
        <v>0</v>
      </c>
      <c r="L468" s="495">
        <f t="shared" si="42"/>
        <v>0</v>
      </c>
      <c r="M468" s="300"/>
      <c r="N468" s="300"/>
    </row>
    <row r="469" spans="1:14" s="294" customFormat="1" ht="18.75" customHeight="1">
      <c r="A469" s="300" t="str">
        <f t="shared" si="39"/>
        <v>TP</v>
      </c>
      <c r="B469" s="571">
        <f t="shared" si="40"/>
        <v>320</v>
      </c>
      <c r="C469" s="567" t="s">
        <v>1260</v>
      </c>
      <c r="D469" s="572" t="s">
        <v>360</v>
      </c>
      <c r="E469" s="495"/>
      <c r="F469" s="495"/>
      <c r="G469" s="513">
        <f t="array" ref="G469">SUM(IF("155"&amp;C469=KHN&amp;MH,SL))</f>
        <v>238</v>
      </c>
      <c r="H469" s="513">
        <f t="array" ref="H469">SUM(IF("155"&amp;C469=KHN&amp;MH,TH))</f>
        <v>396335</v>
      </c>
      <c r="I469" s="513">
        <f t="array" ref="I469">SUM(IF("155"&amp;C469=KHC&amp;MH,SL))</f>
        <v>238</v>
      </c>
      <c r="J469" s="513">
        <f t="array" ref="J469">SUM(IF("155"&amp;C469=KHC&amp;MH,TH))</f>
        <v>396335</v>
      </c>
      <c r="K469" s="495">
        <f t="shared" si="41"/>
        <v>0</v>
      </c>
      <c r="L469" s="495">
        <f t="shared" si="42"/>
        <v>0</v>
      </c>
      <c r="M469" s="300"/>
      <c r="N469" s="300"/>
    </row>
    <row r="470" spans="1:14" s="294" customFormat="1" ht="18.75" customHeight="1">
      <c r="A470" s="300" t="str">
        <f t="shared" ref="A470:A484" si="43">IF(B470&lt;&gt;"","TP","")</f>
        <v>TP</v>
      </c>
      <c r="B470" s="571">
        <f t="shared" ref="B470:B481" si="44">IF(C470&lt;&gt;"",B469+1,"")</f>
        <v>321</v>
      </c>
      <c r="C470" s="567" t="s">
        <v>1315</v>
      </c>
      <c r="D470" s="572" t="s">
        <v>360</v>
      </c>
      <c r="E470" s="495"/>
      <c r="F470" s="495"/>
      <c r="G470" s="513">
        <f t="array" ref="G470">SUM(IF("155"&amp;C470=KHN&amp;MH,SL))</f>
        <v>272</v>
      </c>
      <c r="H470" s="513">
        <f t="array" ref="H470">SUM(IF("155"&amp;C470=KHN&amp;MH,TH))</f>
        <v>585933</v>
      </c>
      <c r="I470" s="513">
        <f t="array" ref="I470">SUM(IF("155"&amp;C470=KHC&amp;MH,SL))</f>
        <v>272</v>
      </c>
      <c r="J470" s="513">
        <f t="array" ref="J470">SUM(IF("155"&amp;C470=KHC&amp;MH,TH))</f>
        <v>585933</v>
      </c>
      <c r="K470" s="495">
        <f t="shared" ref="K470:K481" si="45">E470+G470-I470</f>
        <v>0</v>
      </c>
      <c r="L470" s="495">
        <f t="shared" ref="L470:L481" si="46">F470+H470-J470</f>
        <v>0</v>
      </c>
      <c r="M470" s="300"/>
      <c r="N470" s="300"/>
    </row>
    <row r="471" spans="1:14" s="294" customFormat="1" ht="18.75" customHeight="1">
      <c r="A471" s="300" t="str">
        <f t="shared" si="43"/>
        <v>TP</v>
      </c>
      <c r="B471" s="571">
        <f t="shared" si="44"/>
        <v>322</v>
      </c>
      <c r="C471" s="567" t="s">
        <v>1269</v>
      </c>
      <c r="D471" s="572" t="s">
        <v>360</v>
      </c>
      <c r="E471" s="495"/>
      <c r="F471" s="495"/>
      <c r="G471" s="513">
        <f t="array" ref="G471">SUM(IF("155"&amp;C471=KHN&amp;MH,SL))</f>
        <v>66</v>
      </c>
      <c r="H471" s="513">
        <f t="array" ref="H471">SUM(IF("155"&amp;C471=KHN&amp;MH,TH))</f>
        <v>111971</v>
      </c>
      <c r="I471" s="513">
        <f t="array" ref="I471">SUM(IF("155"&amp;C471=KHC&amp;MH,SL))</f>
        <v>66</v>
      </c>
      <c r="J471" s="513">
        <f t="array" ref="J471">SUM(IF("155"&amp;C471=KHC&amp;MH,TH))</f>
        <v>111971</v>
      </c>
      <c r="K471" s="495">
        <f t="shared" si="45"/>
        <v>0</v>
      </c>
      <c r="L471" s="495">
        <f t="shared" si="46"/>
        <v>0</v>
      </c>
      <c r="M471" s="300"/>
      <c r="N471" s="300"/>
    </row>
    <row r="472" spans="1:14" s="294" customFormat="1" ht="18.75" customHeight="1">
      <c r="A472" s="300" t="str">
        <f t="shared" si="43"/>
        <v>TP</v>
      </c>
      <c r="B472" s="571">
        <f t="shared" si="44"/>
        <v>323</v>
      </c>
      <c r="C472" s="567" t="s">
        <v>1316</v>
      </c>
      <c r="D472" s="572" t="s">
        <v>360</v>
      </c>
      <c r="E472" s="495"/>
      <c r="F472" s="495"/>
      <c r="G472" s="513">
        <f t="array" ref="G472">SUM(IF("155"&amp;C472=KHN&amp;MH,SL))</f>
        <v>60</v>
      </c>
      <c r="H472" s="513">
        <f t="array" ref="H472">SUM(IF("155"&amp;C472=KHN&amp;MH,TH))</f>
        <v>112657</v>
      </c>
      <c r="I472" s="513">
        <f t="array" ref="I472">SUM(IF("155"&amp;C472=KHC&amp;MH,SL))</f>
        <v>60</v>
      </c>
      <c r="J472" s="513">
        <f t="array" ref="J472">SUM(IF("155"&amp;C472=KHC&amp;MH,TH))</f>
        <v>112657</v>
      </c>
      <c r="K472" s="495">
        <f t="shared" si="45"/>
        <v>0</v>
      </c>
      <c r="L472" s="495">
        <f t="shared" si="46"/>
        <v>0</v>
      </c>
      <c r="M472" s="300"/>
      <c r="N472" s="300"/>
    </row>
    <row r="473" spans="1:14" s="294" customFormat="1" ht="18.75" customHeight="1">
      <c r="A473" s="300" t="str">
        <f t="shared" si="43"/>
        <v>TP</v>
      </c>
      <c r="B473" s="571">
        <f t="shared" si="44"/>
        <v>324</v>
      </c>
      <c r="C473" s="567" t="s">
        <v>1267</v>
      </c>
      <c r="D473" s="572" t="s">
        <v>360</v>
      </c>
      <c r="E473" s="495"/>
      <c r="F473" s="495"/>
      <c r="G473" s="513">
        <f t="array" ref="G473">SUM(IF("155"&amp;C473=KHN&amp;MH,SL))</f>
        <v>272</v>
      </c>
      <c r="H473" s="513">
        <f t="array" ref="H473">SUM(IF("155"&amp;C473=KHN&amp;MH,TH))</f>
        <v>415479</v>
      </c>
      <c r="I473" s="513">
        <f t="array" ref="I473">SUM(IF("155"&amp;C473=KHC&amp;MH,SL))</f>
        <v>272</v>
      </c>
      <c r="J473" s="513">
        <f t="array" ref="J473">SUM(IF("155"&amp;C473=KHC&amp;MH,TH))</f>
        <v>415479</v>
      </c>
      <c r="K473" s="495">
        <f t="shared" si="45"/>
        <v>0</v>
      </c>
      <c r="L473" s="495">
        <f t="shared" si="46"/>
        <v>0</v>
      </c>
      <c r="M473" s="300"/>
      <c r="N473" s="300"/>
    </row>
    <row r="474" spans="1:14" s="294" customFormat="1" ht="18.75" customHeight="1">
      <c r="A474" s="300" t="str">
        <f t="shared" si="43"/>
        <v>TP</v>
      </c>
      <c r="B474" s="571">
        <f t="shared" si="44"/>
        <v>325</v>
      </c>
      <c r="C474" s="567" t="s">
        <v>1265</v>
      </c>
      <c r="D474" s="572" t="s">
        <v>360</v>
      </c>
      <c r="E474" s="495"/>
      <c r="F474" s="495"/>
      <c r="G474" s="513">
        <f t="array" ref="G474">SUM(IF("155"&amp;C474=KHN&amp;MH,SL))</f>
        <v>298</v>
      </c>
      <c r="H474" s="513">
        <f t="array" ref="H474">SUM(IF("155"&amp;C474=KHN&amp;MH,TH))</f>
        <v>536198</v>
      </c>
      <c r="I474" s="513">
        <f t="array" ref="I474">SUM(IF("155"&amp;C474=KHC&amp;MH,SL))</f>
        <v>298</v>
      </c>
      <c r="J474" s="513">
        <f t="array" ref="J474">SUM(IF("155"&amp;C474=KHC&amp;MH,TH))</f>
        <v>536198</v>
      </c>
      <c r="K474" s="495">
        <f t="shared" si="45"/>
        <v>0</v>
      </c>
      <c r="L474" s="495">
        <f t="shared" si="46"/>
        <v>0</v>
      </c>
      <c r="M474" s="300"/>
      <c r="N474" s="300"/>
    </row>
    <row r="475" spans="1:14" s="294" customFormat="1" ht="18.75" customHeight="1">
      <c r="A475" s="300" t="str">
        <f t="shared" si="43"/>
        <v>TP</v>
      </c>
      <c r="B475" s="571">
        <f t="shared" si="44"/>
        <v>326</v>
      </c>
      <c r="C475" s="567" t="s">
        <v>1325</v>
      </c>
      <c r="D475" s="572" t="s">
        <v>360</v>
      </c>
      <c r="E475" s="495"/>
      <c r="F475" s="495"/>
      <c r="G475" s="513">
        <f t="array" ref="G475">SUM(IF("155"&amp;C475=KHN&amp;MH,SL))</f>
        <v>262</v>
      </c>
      <c r="H475" s="513">
        <f t="array" ref="H475">SUM(IF("155"&amp;C475=KHN&amp;MH,TH))</f>
        <v>572948</v>
      </c>
      <c r="I475" s="513">
        <f t="array" ref="I475">SUM(IF("155"&amp;C475=KHC&amp;MH,SL))</f>
        <v>262</v>
      </c>
      <c r="J475" s="513">
        <f t="array" ref="J475">SUM(IF("155"&amp;C475=KHC&amp;MH,TH))</f>
        <v>572948</v>
      </c>
      <c r="K475" s="495">
        <f t="shared" si="45"/>
        <v>0</v>
      </c>
      <c r="L475" s="495">
        <f t="shared" si="46"/>
        <v>0</v>
      </c>
      <c r="M475" s="300"/>
      <c r="N475" s="300"/>
    </row>
    <row r="476" spans="1:14" s="294" customFormat="1" ht="18.75" customHeight="1">
      <c r="A476" s="300" t="str">
        <f t="shared" si="43"/>
        <v>TP</v>
      </c>
      <c r="B476" s="571">
        <f t="shared" si="44"/>
        <v>327</v>
      </c>
      <c r="C476" s="567" t="s">
        <v>1266</v>
      </c>
      <c r="D476" s="572" t="s">
        <v>360</v>
      </c>
      <c r="E476" s="495"/>
      <c r="F476" s="495"/>
      <c r="G476" s="513">
        <f t="array" ref="G476">SUM(IF("155"&amp;C476=KHN&amp;MH,SL))</f>
        <v>272</v>
      </c>
      <c r="H476" s="513">
        <f t="array" ref="H476">SUM(IF("155"&amp;C476=KHN&amp;MH,TH))</f>
        <v>524550</v>
      </c>
      <c r="I476" s="513">
        <f t="array" ref="I476">SUM(IF("155"&amp;C476=KHC&amp;MH,SL))</f>
        <v>272</v>
      </c>
      <c r="J476" s="513">
        <f t="array" ref="J476">SUM(IF("155"&amp;C476=KHC&amp;MH,TH))</f>
        <v>524550</v>
      </c>
      <c r="K476" s="495">
        <f t="shared" si="45"/>
        <v>0</v>
      </c>
      <c r="L476" s="495">
        <f t="shared" si="46"/>
        <v>0</v>
      </c>
      <c r="M476" s="300"/>
      <c r="N476" s="300"/>
    </row>
    <row r="477" spans="1:14" s="294" customFormat="1" ht="18.75" customHeight="1">
      <c r="A477" s="300" t="str">
        <f t="shared" si="43"/>
        <v>TP</v>
      </c>
      <c r="B477" s="571">
        <f t="shared" si="44"/>
        <v>328</v>
      </c>
      <c r="C477" s="567" t="s">
        <v>1326</v>
      </c>
      <c r="D477" s="572" t="s">
        <v>360</v>
      </c>
      <c r="E477" s="495"/>
      <c r="F477" s="495"/>
      <c r="G477" s="513">
        <f t="array" ref="G477">SUM(IF("155"&amp;C477=KHN&amp;MH,SL))</f>
        <v>1458</v>
      </c>
      <c r="H477" s="513">
        <f t="array" ref="H477">SUM(IF("155"&amp;C477=KHN&amp;MH,TH))</f>
        <v>2676286</v>
      </c>
      <c r="I477" s="513">
        <f t="array" ref="I477">SUM(IF("155"&amp;C477=KHC&amp;MH,SL))</f>
        <v>1458</v>
      </c>
      <c r="J477" s="513">
        <f t="array" ref="J477">SUM(IF("155"&amp;C477=KHC&amp;MH,TH))</f>
        <v>2676286</v>
      </c>
      <c r="K477" s="495">
        <f t="shared" si="45"/>
        <v>0</v>
      </c>
      <c r="L477" s="495">
        <f t="shared" si="46"/>
        <v>0</v>
      </c>
      <c r="M477" s="300"/>
      <c r="N477" s="300"/>
    </row>
    <row r="478" spans="1:14" s="294" customFormat="1" ht="18.75" customHeight="1">
      <c r="A478" s="300" t="str">
        <f t="shared" si="43"/>
        <v>TP</v>
      </c>
      <c r="B478" s="571">
        <f t="shared" si="44"/>
        <v>329</v>
      </c>
      <c r="C478" s="567" t="s">
        <v>1268</v>
      </c>
      <c r="D478" s="572" t="s">
        <v>360</v>
      </c>
      <c r="E478" s="495"/>
      <c r="F478" s="495"/>
      <c r="G478" s="513">
        <f t="array" ref="G478">SUM(IF("155"&amp;C478=KHN&amp;MH,SL))</f>
        <v>33</v>
      </c>
      <c r="H478" s="513">
        <f t="array" ref="H478">SUM(IF("155"&amp;C478=KHN&amp;MH,TH))</f>
        <v>60367</v>
      </c>
      <c r="I478" s="513">
        <f t="array" ref="I478">SUM(IF("155"&amp;C478=KHC&amp;MH,SL))</f>
        <v>33</v>
      </c>
      <c r="J478" s="513">
        <f t="array" ref="J478">SUM(IF("155"&amp;C478=KHC&amp;MH,TH))</f>
        <v>60367</v>
      </c>
      <c r="K478" s="495">
        <f t="shared" si="45"/>
        <v>0</v>
      </c>
      <c r="L478" s="495">
        <f t="shared" si="46"/>
        <v>0</v>
      </c>
      <c r="M478" s="300"/>
      <c r="N478" s="300"/>
    </row>
    <row r="479" spans="1:14" s="294" customFormat="1" ht="18.75" customHeight="1">
      <c r="A479" s="300" t="str">
        <f t="shared" si="43"/>
        <v>TP</v>
      </c>
      <c r="B479" s="571">
        <f t="shared" si="44"/>
        <v>330</v>
      </c>
      <c r="C479" s="567" t="s">
        <v>1264</v>
      </c>
      <c r="D479" s="572" t="s">
        <v>360</v>
      </c>
      <c r="E479" s="495"/>
      <c r="F479" s="495"/>
      <c r="G479" s="513">
        <f t="array" ref="G479">SUM(IF("155"&amp;C479=KHN&amp;MH,SL))</f>
        <v>149</v>
      </c>
      <c r="H479" s="513">
        <f t="array" ref="H479">SUM(IF("155"&amp;C479=KHN&amp;MH,TH))</f>
        <v>279185</v>
      </c>
      <c r="I479" s="513">
        <f t="array" ref="I479">SUM(IF("155"&amp;C479=KHC&amp;MH,SL))</f>
        <v>149</v>
      </c>
      <c r="J479" s="513">
        <f t="array" ref="J479">SUM(IF("155"&amp;C479=KHC&amp;MH,TH))</f>
        <v>279185</v>
      </c>
      <c r="K479" s="495">
        <f t="shared" si="45"/>
        <v>0</v>
      </c>
      <c r="L479" s="495">
        <f t="shared" si="46"/>
        <v>0</v>
      </c>
      <c r="M479" s="300"/>
      <c r="N479" s="300"/>
    </row>
    <row r="480" spans="1:14" s="294" customFormat="1" ht="18.75" customHeight="1">
      <c r="A480" s="300" t="str">
        <f t="shared" si="43"/>
        <v>TP</v>
      </c>
      <c r="B480" s="571">
        <f t="shared" si="44"/>
        <v>331</v>
      </c>
      <c r="C480" s="567" t="s">
        <v>1272</v>
      </c>
      <c r="D480" s="572" t="s">
        <v>360</v>
      </c>
      <c r="E480" s="495"/>
      <c r="F480" s="495"/>
      <c r="G480" s="513">
        <f t="array" ref="G480">SUM(IF("155"&amp;C480=KHN&amp;MH,SL))</f>
        <v>41</v>
      </c>
      <c r="H480" s="513">
        <f t="array" ref="H480">SUM(IF("155"&amp;C480=KHN&amp;MH,TH))</f>
        <v>102177</v>
      </c>
      <c r="I480" s="513">
        <f t="array" ref="I480">SUM(IF("155"&amp;C480=KHC&amp;MH,SL))</f>
        <v>41</v>
      </c>
      <c r="J480" s="513">
        <f t="array" ref="J480">SUM(IF("155"&amp;C480=KHC&amp;MH,TH))</f>
        <v>102177</v>
      </c>
      <c r="K480" s="495">
        <f t="shared" si="45"/>
        <v>0</v>
      </c>
      <c r="L480" s="495">
        <f t="shared" si="46"/>
        <v>0</v>
      </c>
      <c r="M480" s="300"/>
      <c r="N480" s="300"/>
    </row>
    <row r="481" spans="1:14" s="294" customFormat="1" ht="18.75" customHeight="1">
      <c r="A481" s="300" t="str">
        <f t="shared" si="43"/>
        <v>TP</v>
      </c>
      <c r="B481" s="571">
        <f t="shared" si="44"/>
        <v>332</v>
      </c>
      <c r="C481" s="566" t="s">
        <v>1005</v>
      </c>
      <c r="D481" s="572" t="s">
        <v>360</v>
      </c>
      <c r="E481" s="495"/>
      <c r="F481" s="495"/>
      <c r="G481" s="513">
        <f t="array" ref="G481">SUM(IF("155"&amp;C481=KHN&amp;MH,SL))</f>
        <v>150</v>
      </c>
      <c r="H481" s="513">
        <f t="array" ref="H481">SUM(IF("155"&amp;C481=KHN&amp;MH,TH))</f>
        <v>667035</v>
      </c>
      <c r="I481" s="513">
        <f t="array" ref="I481">SUM(IF("155"&amp;C481=KHC&amp;MH,SL))</f>
        <v>150</v>
      </c>
      <c r="J481" s="513">
        <f t="array" ref="J481">SUM(IF("155"&amp;C481=KHC&amp;MH,TH))</f>
        <v>667035</v>
      </c>
      <c r="K481" s="495">
        <f t="shared" si="45"/>
        <v>0</v>
      </c>
      <c r="L481" s="495">
        <f t="shared" si="46"/>
        <v>0</v>
      </c>
      <c r="M481" s="300"/>
      <c r="N481" s="300"/>
    </row>
    <row r="482" spans="1:14" s="294" customFormat="1" ht="18.75" customHeight="1">
      <c r="A482" s="300" t="str">
        <f t="shared" si="43"/>
        <v/>
      </c>
      <c r="B482" s="571" t="str">
        <f>IF(C482&lt;&gt;"",#REF!+1,"")</f>
        <v/>
      </c>
      <c r="C482" s="574"/>
      <c r="D482" s="569"/>
      <c r="E482" s="495"/>
      <c r="F482" s="495"/>
      <c r="G482" s="570"/>
      <c r="H482" s="570"/>
      <c r="I482" s="570"/>
      <c r="J482" s="570"/>
      <c r="K482" s="570"/>
      <c r="L482" s="570"/>
      <c r="M482" s="300"/>
      <c r="N482" s="300"/>
    </row>
    <row r="483" spans="1:14" s="294" customFormat="1" ht="19.5" customHeight="1">
      <c r="A483" s="300" t="str">
        <f t="shared" si="43"/>
        <v/>
      </c>
      <c r="B483" s="554"/>
      <c r="C483" s="560" t="s">
        <v>187</v>
      </c>
      <c r="D483" s="554"/>
      <c r="E483" s="503">
        <f t="shared" ref="E483:L483" si="47">SUM(E150:E482)</f>
        <v>0</v>
      </c>
      <c r="F483" s="503">
        <f t="shared" si="47"/>
        <v>0</v>
      </c>
      <c r="G483" s="503">
        <f t="shared" si="47"/>
        <v>98880.164104882453</v>
      </c>
      <c r="H483" s="503">
        <f t="shared" si="47"/>
        <v>957706400</v>
      </c>
      <c r="I483" s="503">
        <f t="shared" si="47"/>
        <v>98880.164104882453</v>
      </c>
      <c r="J483" s="503">
        <f t="shared" si="47"/>
        <v>957706400</v>
      </c>
      <c r="K483" s="503">
        <f t="shared" si="47"/>
        <v>0</v>
      </c>
      <c r="L483" s="503">
        <f t="shared" si="47"/>
        <v>0</v>
      </c>
      <c r="M483" s="300"/>
      <c r="N483" s="300"/>
    </row>
    <row r="484" spans="1:14" s="294" customFormat="1" ht="18.75" customHeight="1">
      <c r="A484" s="300" t="str">
        <f t="shared" si="43"/>
        <v/>
      </c>
      <c r="B484" s="562"/>
      <c r="C484" s="562"/>
      <c r="D484" s="561"/>
      <c r="E484" s="563">
        <f>F483-F484</f>
        <v>0</v>
      </c>
      <c r="F484" s="563">
        <f>CDPS!C22</f>
        <v>0</v>
      </c>
      <c r="G484" s="563">
        <f>H483-H484</f>
        <v>0</v>
      </c>
      <c r="H484" s="563">
        <f>CDPS!E22</f>
        <v>957706400</v>
      </c>
      <c r="I484" s="563">
        <f>J483-J484</f>
        <v>0</v>
      </c>
      <c r="J484" s="563">
        <f>CDPS!F22</f>
        <v>957706400</v>
      </c>
      <c r="K484" s="563">
        <f>L483-L484</f>
        <v>0</v>
      </c>
      <c r="L484" s="563">
        <f>CDPS!G22</f>
        <v>0</v>
      </c>
      <c r="M484" s="575"/>
      <c r="N484" s="300"/>
    </row>
    <row r="485" spans="1:14" s="294" customFormat="1" ht="18.75" customHeight="1">
      <c r="D485" s="395"/>
      <c r="E485" s="576"/>
      <c r="F485" s="576"/>
      <c r="G485" s="300"/>
      <c r="H485" s="300"/>
      <c r="I485" s="300"/>
      <c r="J485" s="300"/>
      <c r="K485" s="300"/>
      <c r="L485" s="300"/>
      <c r="N485" s="300"/>
    </row>
    <row r="486" spans="1:14" s="294" customFormat="1" ht="19.5" customHeight="1">
      <c r="D486" s="395"/>
      <c r="E486" s="576"/>
      <c r="F486" s="576"/>
      <c r="G486" s="300"/>
      <c r="H486" s="300"/>
      <c r="I486" s="300"/>
      <c r="J486" s="300"/>
      <c r="K486" s="300"/>
      <c r="L486" s="300"/>
      <c r="N486" s="300"/>
    </row>
    <row r="487" spans="1:14" s="294" customFormat="1" ht="19.5" customHeight="1">
      <c r="C487" s="853"/>
      <c r="D487" s="853"/>
      <c r="E487" s="853"/>
      <c r="F487" s="156"/>
      <c r="G487" s="156"/>
      <c r="H487" s="156"/>
      <c r="I487" s="156"/>
      <c r="J487" s="853" t="s">
        <v>1385</v>
      </c>
      <c r="K487" s="853"/>
      <c r="L487" s="853"/>
      <c r="N487" s="300"/>
    </row>
    <row r="488" spans="1:14" s="294" customFormat="1" ht="19.5" customHeight="1">
      <c r="C488" s="230"/>
      <c r="D488" s="230"/>
      <c r="E488" s="230"/>
      <c r="F488" s="853"/>
      <c r="G488" s="853"/>
      <c r="H488" s="853"/>
      <c r="I488" s="156"/>
      <c r="J488" s="853" t="s">
        <v>98</v>
      </c>
      <c r="K488" s="853"/>
      <c r="L488" s="853"/>
      <c r="N488" s="300"/>
    </row>
    <row r="489" spans="1:14" s="294" customFormat="1" ht="19.5" customHeight="1">
      <c r="C489" s="230"/>
      <c r="D489" s="230"/>
      <c r="E489" s="230"/>
      <c r="F489" s="853"/>
      <c r="G489" s="853"/>
      <c r="H489" s="853"/>
      <c r="J489" s="853" t="s">
        <v>125</v>
      </c>
      <c r="K489" s="853"/>
      <c r="L489" s="853"/>
      <c r="N489" s="300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489:H489"/>
    <mergeCell ref="J489:L489"/>
    <mergeCell ref="C487:E487"/>
    <mergeCell ref="J487:L487"/>
    <mergeCell ref="F488:H488"/>
    <mergeCell ref="J488:L488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7" customWidth="1"/>
    <col min="2" max="2" width="29.7109375" style="157" customWidth="1"/>
    <col min="3" max="3" width="5.7109375" style="157" customWidth="1"/>
    <col min="4" max="4" width="6.7109375" style="157" customWidth="1"/>
    <col min="5" max="5" width="12.7109375" style="157" customWidth="1"/>
    <col min="6" max="6" width="9.85546875" style="157" customWidth="1"/>
    <col min="7" max="7" width="11" style="157" customWidth="1"/>
    <col min="8" max="8" width="14" style="157" customWidth="1"/>
    <col min="9" max="9" width="4.28515625" style="157" customWidth="1"/>
    <col min="10" max="10" width="7.5703125" style="157" customWidth="1"/>
    <col min="11" max="11" width="3.140625" style="157" customWidth="1"/>
    <col min="12" max="12" width="5.7109375" style="157" customWidth="1"/>
    <col min="13" max="13" width="2.7109375" style="157" customWidth="1"/>
    <col min="14" max="14" width="4" style="157" customWidth="1"/>
    <col min="15" max="15" width="3.7109375" style="157" customWidth="1"/>
    <col min="16" max="16384" width="9.140625" style="157"/>
  </cols>
  <sheetData>
    <row r="1" spans="1:17" ht="5.25" hidden="1" customHeight="1"/>
    <row r="2" spans="1:17" s="254" customFormat="1" ht="12" customHeight="1">
      <c r="A2" s="253" t="str">
        <f>TH!A1</f>
        <v>Đơn vị: CÔNG TY TNHH SX TM KIM DUNG PHÁT</v>
      </c>
      <c r="G2" s="255" t="str">
        <f>+IF(LEFT($D$7,1)="N","Mẫu số 01 - VT","Mẫu số 02 - VT")</f>
        <v>Mẫu số 02 - VT</v>
      </c>
    </row>
    <row r="3" spans="1:17" s="254" customFormat="1" ht="12" customHeight="1">
      <c r="A3" s="256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55" t="s">
        <v>93</v>
      </c>
      <c r="O3" s="257"/>
      <c r="P3" s="258">
        <f>IF(J5="Quý I",1,IF(J5="Quý II",4,IF(J5="Quý III",7,IF(J5="Quý IV",10,""))))</f>
        <v>10</v>
      </c>
      <c r="Q3" s="258">
        <f>IF(J5="Quý I",3,IF(J5="Quý II",6,IF(J5="Quý III",9,IF(J5="Quý IV",12,""))))</f>
        <v>12</v>
      </c>
    </row>
    <row r="4" spans="1:17" s="254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9"/>
      <c r="M4" s="260"/>
      <c r="N4" s="255" t="s">
        <v>94</v>
      </c>
      <c r="O4" s="257"/>
    </row>
    <row r="5" spans="1:17" ht="18" customHeight="1" thickBot="1">
      <c r="D5" s="161" t="str">
        <f>+IF(LEFT($L$5,1)="N","PHIẾU NHẬP KHO","PHIẾU XUẤT KHO")</f>
        <v>PHIẾU XUẤT KHO</v>
      </c>
      <c r="J5" s="250" t="s">
        <v>1348</v>
      </c>
      <c r="K5" s="162"/>
      <c r="L5" s="251" t="s">
        <v>1375</v>
      </c>
      <c r="M5" s="163"/>
      <c r="N5" s="252">
        <v>2</v>
      </c>
      <c r="O5" s="158"/>
      <c r="P5" s="158"/>
    </row>
    <row r="6" spans="1:17" ht="10.5" customHeight="1">
      <c r="D6" s="26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63"/>
      <c r="M6" s="160"/>
      <c r="O6" s="158"/>
    </row>
    <row r="7" spans="1:17" ht="10.5" customHeight="1">
      <c r="C7" s="264" t="str">
        <f xml:space="preserve"> "Số:"</f>
        <v>Số:</v>
      </c>
      <c r="D7" s="265" t="str">
        <f xml:space="preserve"> RIGHT($L$5,2)&amp;"/"&amp;LEFT($L$5,1)&amp;IF($N$5&gt;=10,$N$5,"0"&amp;$N$5)</f>
        <v>TP/X02</v>
      </c>
      <c r="G7" s="157" t="str">
        <f ca="1">"Nợ:  "&amp;IF(ROWS($1:1)&gt;COUNT(Dong10),"",OFFSET(TH!L$1,SMALL(Dong10,ROWS($1:1)),))</f>
        <v>Nợ:  131</v>
      </c>
      <c r="M7" s="160"/>
      <c r="O7" s="158"/>
    </row>
    <row r="8" spans="1:17" ht="10.5" customHeight="1">
      <c r="D8" s="42"/>
      <c r="G8" s="157" t="str">
        <f ca="1">"Có:  "&amp;IF(ROWS($1:1)&gt;COUNT(Dong10),"",OFFSET(TH!M$1,SMALL(Dong10,ROWS($1:1)),))</f>
        <v>Có:  5112</v>
      </c>
      <c r="M8" s="160"/>
      <c r="O8" s="266"/>
    </row>
    <row r="9" spans="1:17" ht="11.25" customHeight="1">
      <c r="A9" s="15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60"/>
    </row>
    <row r="10" spans="1:17" ht="11.25" customHeight="1">
      <c r="A10" s="15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92" t="s">
        <v>32</v>
      </c>
      <c r="B14" s="892" t="s">
        <v>188</v>
      </c>
      <c r="C14" s="892" t="s">
        <v>189</v>
      </c>
      <c r="D14" s="892" t="s">
        <v>180</v>
      </c>
      <c r="E14" s="894" t="s">
        <v>190</v>
      </c>
      <c r="F14" s="894"/>
      <c r="G14" s="892" t="s">
        <v>191</v>
      </c>
      <c r="H14" s="892" t="s">
        <v>192</v>
      </c>
    </row>
    <row r="15" spans="1:17" ht="12.75" customHeight="1">
      <c r="A15" s="893"/>
      <c r="B15" s="893"/>
      <c r="C15" s="893"/>
      <c r="D15" s="893"/>
      <c r="E15" s="267" t="s">
        <v>193</v>
      </c>
      <c r="F15" s="267" t="str">
        <f>IF(LEFT($D$7,1)="N","Thực nhập","Thực xuất")</f>
        <v>Thực xuất</v>
      </c>
      <c r="G15" s="893"/>
      <c r="H15" s="893"/>
    </row>
    <row r="16" spans="1:17" s="42" customFormat="1" ht="8.25" customHeight="1">
      <c r="A16" s="268" t="s">
        <v>2</v>
      </c>
      <c r="B16" s="268" t="s">
        <v>3</v>
      </c>
      <c r="C16" s="268" t="s">
        <v>4</v>
      </c>
      <c r="D16" s="268" t="s">
        <v>5</v>
      </c>
      <c r="E16" s="268">
        <v>1</v>
      </c>
      <c r="F16" s="268">
        <v>2</v>
      </c>
      <c r="G16" s="268">
        <v>3</v>
      </c>
      <c r="H16" s="268">
        <v>4</v>
      </c>
    </row>
    <row r="17" spans="1:8" ht="11.25" customHeight="1">
      <c r="A17" s="269">
        <f ca="1">IF(B17="","",ROW()-16)</f>
        <v>1</v>
      </c>
      <c r="B17" s="270" t="str">
        <f ca="1">IF(ROWS($1:1)&gt;COUNT(Dong10),"",OFFSET(TH!F$1,SMALL(Dong10,ROWS($1:1)),))</f>
        <v>Thùng carton (69x41x29)</v>
      </c>
      <c r="C17" s="271"/>
      <c r="D17" s="272" t="str">
        <f ca="1">IF(ISNA(VLOOKUP(B17,NXT!$C$10:$D$482,2,0)),"",VLOOKUP(B17,NXT!$C$10:$D$482,2,0))</f>
        <v>thùng</v>
      </c>
      <c r="E17" s="273"/>
      <c r="F17" s="274">
        <f ca="1">IF(ROWS($1:1)&gt;COUNT(Dong10),"",OFFSET(TH!I$1,SMALL(Dong10,ROWS($1:1)),))</f>
        <v>2954.1641048824595</v>
      </c>
      <c r="G17" s="274">
        <f ca="1">IF(ROWS($1:1)&gt;COUNT(Dong10),"",OFFSET(TH!J$1,SMALL(Dong10,ROWS($1:1)),))</f>
        <v>19908</v>
      </c>
      <c r="H17" s="273">
        <f ca="1">IF(F17&lt;&gt;"",ROUND(F17*G17,0),0)</f>
        <v>58811499</v>
      </c>
    </row>
    <row r="18" spans="1:8" ht="11.25" customHeight="1">
      <c r="A18" s="269" t="str">
        <f t="shared" ref="A18:A20" ca="1" si="0">IF(B18="","",A17+1)</f>
        <v/>
      </c>
      <c r="B18" s="270" t="str">
        <f ca="1">IF(ROWS($1:2)&gt;COUNT(Dong10),"",OFFSET(TH!F$1,SMALL(Dong10,ROWS($1:2)),))</f>
        <v/>
      </c>
      <c r="C18" s="271"/>
      <c r="D18" s="272" t="str">
        <f ca="1">IF(ISNA(VLOOKUP(B18,NXT!$C$10:$D$482,2,0)),"",VLOOKUP(B18,NXT!$C$10:$D$482,2,0))</f>
        <v/>
      </c>
      <c r="E18" s="273"/>
      <c r="F18" s="274" t="str">
        <f ca="1">IF(ROWS($1:2)&gt;COUNT(Dong10),"",OFFSET(TH!I$1,SMALL(Dong10,ROWS($1:2)),))</f>
        <v/>
      </c>
      <c r="G18" s="274" t="str">
        <f ca="1">IF(ROWS($1:2)&gt;COUNT(Dong10),"",OFFSET(TH!J$1,SMALL(Dong10,ROWS($1:2)),))</f>
        <v/>
      </c>
      <c r="H18" s="273">
        <f t="shared" ref="H18:H24" ca="1" si="1">IF(F18&lt;&gt;"",ROUND(F18*G18,0),0)</f>
        <v>0</v>
      </c>
    </row>
    <row r="19" spans="1:8" ht="11.25" customHeight="1">
      <c r="A19" s="269" t="str">
        <f t="shared" ca="1" si="0"/>
        <v/>
      </c>
      <c r="B19" s="270" t="str">
        <f ca="1">IF(ROWS($1:3)&gt;COUNT(Dong10),"",OFFSET(TH!F$1,SMALL(Dong10,ROWS($1:3)),))</f>
        <v/>
      </c>
      <c r="C19" s="271"/>
      <c r="D19" s="272" t="str">
        <f ca="1">IF(ISNA(VLOOKUP(B19,NXT!$C$10:$D$482,2,0)),"",VLOOKUP(B19,NXT!$C$10:$D$482,2,0))</f>
        <v/>
      </c>
      <c r="E19" s="273"/>
      <c r="F19" s="274" t="str">
        <f ca="1">IF(ROWS($1:3)&gt;COUNT(Dong10),"",OFFSET(TH!I$1,SMALL(Dong10,ROWS($1:3)),))</f>
        <v/>
      </c>
      <c r="G19" s="274" t="str">
        <f ca="1">IF(ROWS($1:3)&gt;COUNT(Dong10),"",OFFSET(TH!J$1,SMALL(Dong10,ROWS($1:3)),))</f>
        <v/>
      </c>
      <c r="H19" s="273">
        <f t="shared" ca="1" si="1"/>
        <v>0</v>
      </c>
    </row>
    <row r="20" spans="1:8" ht="11.25" customHeight="1">
      <c r="A20" s="269" t="str">
        <f t="shared" ca="1" si="0"/>
        <v/>
      </c>
      <c r="B20" s="270" t="str">
        <f ca="1">IF(ROWS($1:4)&gt;COUNT(Dong10),"",OFFSET(TH!F$1,SMALL(Dong10,ROWS($1:4)),))</f>
        <v/>
      </c>
      <c r="C20" s="271"/>
      <c r="D20" s="272" t="str">
        <f ca="1">IF(ISNA(VLOOKUP(B20,NXT!$C$10:$D$482,2,0)),"",VLOOKUP(B20,NXT!$C$10:$D$482,2,0))</f>
        <v/>
      </c>
      <c r="E20" s="273"/>
      <c r="F20" s="274" t="str">
        <f ca="1">IF(ROWS($1:4)&gt;COUNT(Dong10),"",OFFSET(TH!I$1,SMALL(Dong10,ROWS($1:4)),))</f>
        <v/>
      </c>
      <c r="G20" s="274" t="str">
        <f ca="1">IF(ROWS($1:4)&gt;COUNT(Dong10),"",OFFSET(TH!J$1,SMALL(Dong10,ROWS($1:4)),))</f>
        <v/>
      </c>
      <c r="H20" s="273">
        <f t="shared" ca="1" si="1"/>
        <v>0</v>
      </c>
    </row>
    <row r="21" spans="1:8" ht="11.25" customHeight="1">
      <c r="A21" s="269" t="str">
        <f t="shared" ref="A21:A23" ca="1" si="2">IF(B21="","",A20+1)</f>
        <v/>
      </c>
      <c r="B21" s="270" t="str">
        <f ca="1">IF(ROWS($1:5)&gt;COUNT(Dong10),"",OFFSET(TH!F$1,SMALL(Dong10,ROWS($1:5)),))</f>
        <v/>
      </c>
      <c r="C21" s="271"/>
      <c r="D21" s="272" t="str">
        <f ca="1">IF(ISNA(VLOOKUP(B21,NXT!$C$10:$D$482,2,0)),"",VLOOKUP(B21,NXT!$C$10:$D$482,2,0))</f>
        <v/>
      </c>
      <c r="E21" s="273"/>
      <c r="F21" s="274" t="str">
        <f ca="1">IF(ROWS($1:5)&gt;COUNT(Dong10),"",OFFSET(TH!I$1,SMALL(Dong10,ROWS($1:5)),))</f>
        <v/>
      </c>
      <c r="G21" s="274" t="str">
        <f ca="1">IF(ROWS($1:5)&gt;COUNT(Dong10),"",OFFSET(TH!J$1,SMALL(Dong10,ROWS($1:5)),))</f>
        <v/>
      </c>
      <c r="H21" s="273">
        <f t="shared" ca="1" si="1"/>
        <v>0</v>
      </c>
    </row>
    <row r="22" spans="1:8" ht="11.25" customHeight="1">
      <c r="A22" s="269" t="str">
        <f t="shared" ca="1" si="2"/>
        <v/>
      </c>
      <c r="B22" s="270" t="str">
        <f ca="1">IF(ROWS($1:6)&gt;COUNT(Dong10),"",OFFSET(TH!F$1,SMALL(Dong10,ROWS($1:6)),))</f>
        <v/>
      </c>
      <c r="C22" s="271"/>
      <c r="D22" s="272" t="str">
        <f ca="1">IF(ISNA(VLOOKUP(B22,NXT!$C$10:$D$482,2,0)),"",VLOOKUP(B22,NXT!$C$10:$D$482,2,0))</f>
        <v/>
      </c>
      <c r="E22" s="273"/>
      <c r="F22" s="274" t="str">
        <f ca="1">IF(ROWS($1:6)&gt;COUNT(Dong10),"",OFFSET(TH!I$1,SMALL(Dong10,ROWS($1:6)),))</f>
        <v/>
      </c>
      <c r="G22" s="274" t="str">
        <f ca="1">IF(ROWS($1:6)&gt;COUNT(Dong10),"",OFFSET(TH!J$1,SMALL(Dong10,ROWS($1:6)),))</f>
        <v/>
      </c>
      <c r="H22" s="273">
        <f t="shared" ca="1" si="1"/>
        <v>0</v>
      </c>
    </row>
    <row r="23" spans="1:8" ht="11.25" customHeight="1">
      <c r="A23" s="269" t="str">
        <f t="shared" ca="1" si="2"/>
        <v/>
      </c>
      <c r="B23" s="270" t="str">
        <f ca="1">IF(ROWS($1:7)&gt;COUNT(Dong10),"",OFFSET(TH!F$1,SMALL(Dong10,ROWS($1:7)),))</f>
        <v/>
      </c>
      <c r="C23" s="271"/>
      <c r="D23" s="272" t="str">
        <f ca="1">IF(ISNA(VLOOKUP(B23,NXT!$C$10:$D$482,2,0)),"",VLOOKUP(B23,NXT!$C$10:$D$482,2,0))</f>
        <v/>
      </c>
      <c r="E23" s="273"/>
      <c r="F23" s="274" t="str">
        <f ca="1">IF(ROWS($1:7)&gt;COUNT(Dong10),"",OFFSET(TH!I$1,SMALL(Dong10,ROWS($1:7)),))</f>
        <v/>
      </c>
      <c r="G23" s="274" t="str">
        <f ca="1">IF(ROWS($1:7)&gt;COUNT(Dong10),"",OFFSET(TH!J$1,SMALL(Dong10,ROWS($1:7)),))</f>
        <v/>
      </c>
      <c r="H23" s="273">
        <f t="shared" ca="1" si="1"/>
        <v>0</v>
      </c>
    </row>
    <row r="24" spans="1:8" ht="11.25" customHeight="1">
      <c r="A24" s="269" t="str">
        <f t="shared" ref="A24" ca="1" si="3">IF(B24="","",A23+1)</f>
        <v/>
      </c>
      <c r="B24" s="270" t="str">
        <f ca="1">IF(ROWS($1:8)&gt;COUNT(Dong10),"",OFFSET(TH!F$1,SMALL(Dong10,ROWS($1:8)),))</f>
        <v/>
      </c>
      <c r="C24" s="271"/>
      <c r="D24" s="272" t="str">
        <f ca="1">IF(ISNA(VLOOKUP(B24,NXT!$C$10:$D$482,2,0)),"",VLOOKUP(B24,NXT!$C$10:$D$482,2,0))</f>
        <v/>
      </c>
      <c r="E24" s="273"/>
      <c r="F24" s="274" t="str">
        <f ca="1">IF(ROWS($1:8)&gt;COUNT(Dong10),"",OFFSET(TH!I$1,SMALL(Dong10,ROWS($1:8)),))</f>
        <v/>
      </c>
      <c r="G24" s="274" t="str">
        <f ca="1">IF(ROWS($1:8)&gt;COUNT(Dong10),"",OFFSET(TH!J$1,SMALL(Dong10,ROWS($1:8)),))</f>
        <v/>
      </c>
      <c r="H24" s="273">
        <f t="shared" ca="1" si="1"/>
        <v>0</v>
      </c>
    </row>
    <row r="25" spans="1:8" ht="11.25" customHeight="1">
      <c r="A25" s="269" t="str">
        <f t="shared" ref="A25" ca="1" si="4">IF(B25="","",A24+1)</f>
        <v/>
      </c>
      <c r="B25" s="270" t="str">
        <f ca="1">IF(ROWS($1:9)&gt;COUNT(Dong10),"",OFFSET(TH!F$1,SMALL(Dong10,ROWS($1:9)),))</f>
        <v/>
      </c>
      <c r="C25" s="271"/>
      <c r="D25" s="272" t="str">
        <f ca="1">IF(ISNA(VLOOKUP(B25,NXT!$C$10:$D$482,2,0)),"",VLOOKUP(B25,NXT!$C$10:$D$482,2,0))</f>
        <v/>
      </c>
      <c r="E25" s="273"/>
      <c r="F25" s="274" t="str">
        <f ca="1">IF(ROWS($1:9)&gt;COUNT(Dong10),"",OFFSET(TH!I$1,SMALL(Dong10,ROWS($1:9)),))</f>
        <v/>
      </c>
      <c r="G25" s="274" t="str">
        <f ca="1">IF(ROWS($1:9)&gt;COUNT(Dong10),"",OFFSET(TH!J$1,SMALL(Dong10,ROWS($1:9)),))</f>
        <v/>
      </c>
      <c r="H25" s="273">
        <f t="shared" ref="H25" ca="1" si="5">IF(F25&lt;&gt;"",ROUND(F25*G25,0),0)</f>
        <v>0</v>
      </c>
    </row>
    <row r="26" spans="1:8" ht="11.25" customHeight="1">
      <c r="A26" s="269"/>
      <c r="B26" s="270"/>
      <c r="C26" s="271"/>
      <c r="D26" s="272"/>
      <c r="E26" s="273"/>
      <c r="F26" s="274"/>
      <c r="G26" s="275"/>
      <c r="H26" s="273"/>
    </row>
    <row r="27" spans="1:8" ht="11.25" customHeight="1">
      <c r="A27" s="894" t="s">
        <v>194</v>
      </c>
      <c r="B27" s="894"/>
      <c r="C27" s="276"/>
      <c r="D27" s="276"/>
      <c r="E27" s="277"/>
      <c r="F27" s="277"/>
      <c r="G27" s="277"/>
      <c r="H27" s="277">
        <f ca="1">SUM(H17:H26)</f>
        <v>58811499</v>
      </c>
    </row>
    <row r="28" spans="1:8" ht="3" customHeight="1">
      <c r="A28" s="278"/>
      <c r="B28" s="278"/>
      <c r="C28" s="160"/>
      <c r="D28" s="160"/>
      <c r="E28" s="279"/>
      <c r="F28" s="279"/>
      <c r="G28" s="279"/>
      <c r="H28" s="279"/>
    </row>
    <row r="29" spans="1:8" ht="11.25" customHeight="1">
      <c r="A29" s="157" t="e">
        <f ca="1">"Tổng số tiền (viết bằng chữ):  "&amp;[1]!VND(H27, TRUE)</f>
        <v>#NAME?</v>
      </c>
    </row>
    <row r="30" spans="1:8" ht="11.25" customHeight="1">
      <c r="A30" s="15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9" customFormat="1" ht="11.25" customHeight="1">
      <c r="A32" s="280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65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65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61" customFormat="1" ht="11.25" customHeight="1"/>
    <row r="39" spans="1:8" ht="11.25" customHeight="1">
      <c r="A39" s="164"/>
      <c r="F39" s="16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7" customFormat="1" ht="15">
      <c r="A1" s="166" t="s">
        <v>197</v>
      </c>
      <c r="O1" s="168"/>
    </row>
    <row r="2" spans="1:17" s="218" customFormat="1" ht="16.5" customHeight="1">
      <c r="B2" s="169" t="str">
        <f>TH!A1</f>
        <v>Đơn vị: CÔNG TY TNHH SX TM KIM DUNG PHÁT</v>
      </c>
      <c r="C2" s="170"/>
      <c r="D2" s="171"/>
      <c r="E2" s="172"/>
      <c r="F2" s="2"/>
      <c r="J2" s="895" t="s">
        <v>198</v>
      </c>
      <c r="K2" s="895"/>
      <c r="L2" s="895"/>
      <c r="M2" s="895"/>
      <c r="N2" s="384"/>
    </row>
    <row r="3" spans="1:17" s="218" customFormat="1" ht="16.5" customHeight="1">
      <c r="B3" s="244" t="str">
        <f>TH!A2</f>
        <v>Địa chỉ: 1A227/1 Ấp 1, Phạm Văn Hai, Bình Chánh, TPHCM</v>
      </c>
      <c r="C3" s="169"/>
      <c r="D3" s="169"/>
      <c r="E3" s="173"/>
      <c r="F3" s="169"/>
      <c r="J3" s="89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6"/>
      <c r="L3" s="896"/>
      <c r="M3" s="896"/>
      <c r="N3" s="385"/>
    </row>
    <row r="4" spans="1:17" s="218" customFormat="1" ht="16.5" customHeight="1">
      <c r="B4" s="169"/>
      <c r="C4" s="169"/>
      <c r="D4" s="169"/>
      <c r="E4" s="173"/>
      <c r="F4" s="169"/>
      <c r="J4" s="896"/>
      <c r="K4" s="896"/>
      <c r="L4" s="896"/>
      <c r="M4" s="896"/>
      <c r="N4" s="385"/>
    </row>
    <row r="5" spans="1:17" s="167" customFormat="1" ht="33.75" customHeight="1">
      <c r="B5" s="897" t="s">
        <v>199</v>
      </c>
      <c r="C5" s="897"/>
      <c r="D5" s="897"/>
      <c r="E5" s="897"/>
      <c r="F5" s="897"/>
      <c r="G5" s="897"/>
      <c r="H5" s="897"/>
      <c r="I5" s="897"/>
      <c r="J5" s="897"/>
      <c r="K5" s="897"/>
      <c r="L5" s="897"/>
      <c r="M5" s="897"/>
      <c r="N5" s="174"/>
    </row>
    <row r="6" spans="1:17" s="167" customFormat="1" ht="15">
      <c r="B6" s="898" t="str">
        <f>"Năm: "&amp;YEAR(TH!$C$10)</f>
        <v>Năm: 2011</v>
      </c>
      <c r="C6" s="898"/>
      <c r="D6" s="898"/>
      <c r="E6" s="898"/>
      <c r="F6" s="898"/>
      <c r="G6" s="898"/>
      <c r="H6" s="898"/>
      <c r="I6" s="898"/>
      <c r="J6" s="898"/>
      <c r="K6" s="898"/>
      <c r="L6" s="898"/>
      <c r="M6" s="898"/>
      <c r="N6" s="388"/>
    </row>
    <row r="7" spans="1:17" s="167" customFormat="1" ht="15">
      <c r="C7" s="175"/>
      <c r="D7" s="175"/>
      <c r="E7" s="388"/>
      <c r="F7" s="176" t="s">
        <v>250</v>
      </c>
      <c r="G7" s="388" t="str">
        <f>IF($O$10="VL","1522",IF($O$10="NL","1521",IF($O$10="TP","155","")))</f>
        <v>1521</v>
      </c>
      <c r="H7" s="176" t="s">
        <v>200</v>
      </c>
      <c r="I7" s="175" t="str">
        <f>IF($O$10="NL","Nguyên Liệu",IF($O$10="TP","Thành Phẩm",IF($O$10="VL","Vật Liệu","")))</f>
        <v>Nguyên Liệu</v>
      </c>
      <c r="J7" s="175"/>
      <c r="K7" s="175"/>
      <c r="L7" s="175"/>
      <c r="M7" s="175"/>
      <c r="N7" s="388"/>
    </row>
    <row r="8" spans="1:17" s="167" customFormat="1" ht="15">
      <c r="B8" s="388"/>
      <c r="C8" s="175"/>
      <c r="D8" s="175"/>
      <c r="E8" s="388"/>
      <c r="F8" s="388" t="s">
        <v>201</v>
      </c>
      <c r="H8" s="175"/>
      <c r="I8" s="175"/>
      <c r="J8" s="899" t="s">
        <v>364</v>
      </c>
      <c r="K8" s="899"/>
      <c r="L8" s="899"/>
      <c r="M8" s="175"/>
      <c r="N8" s="175"/>
    </row>
    <row r="9" spans="1:17" s="167" customFormat="1" ht="15">
      <c r="D9" s="177"/>
      <c r="E9" s="178"/>
      <c r="F9" s="177"/>
      <c r="G9" s="177"/>
      <c r="H9" s="177"/>
      <c r="I9" s="177"/>
      <c r="J9" s="177"/>
      <c r="K9" s="177" t="s">
        <v>112</v>
      </c>
      <c r="M9" s="179"/>
      <c r="N9" s="180"/>
    </row>
    <row r="10" spans="1:17" s="167" customFormat="1" ht="15.75" customHeight="1">
      <c r="A10" s="900" t="s">
        <v>32</v>
      </c>
      <c r="B10" s="901" t="s">
        <v>1</v>
      </c>
      <c r="C10" s="901"/>
      <c r="D10" s="902" t="s">
        <v>0</v>
      </c>
      <c r="E10" s="902" t="s">
        <v>202</v>
      </c>
      <c r="F10" s="902" t="s">
        <v>191</v>
      </c>
      <c r="G10" s="903" t="s">
        <v>203</v>
      </c>
      <c r="H10" s="904"/>
      <c r="I10" s="903" t="s">
        <v>204</v>
      </c>
      <c r="J10" s="904"/>
      <c r="K10" s="903" t="s">
        <v>205</v>
      </c>
      <c r="L10" s="904"/>
      <c r="M10" s="902" t="s">
        <v>116</v>
      </c>
      <c r="N10" s="181"/>
      <c r="O10" s="182" t="s">
        <v>197</v>
      </c>
    </row>
    <row r="11" spans="1:17" s="167" customFormat="1" ht="45.75" customHeight="1">
      <c r="A11" s="900"/>
      <c r="B11" s="183" t="s">
        <v>15</v>
      </c>
      <c r="C11" s="183" t="s">
        <v>30</v>
      </c>
      <c r="D11" s="902"/>
      <c r="E11" s="902"/>
      <c r="F11" s="902"/>
      <c r="G11" s="183" t="s">
        <v>190</v>
      </c>
      <c r="H11" s="183" t="s">
        <v>192</v>
      </c>
      <c r="I11" s="183" t="s">
        <v>190</v>
      </c>
      <c r="J11" s="183" t="s">
        <v>192</v>
      </c>
      <c r="K11" s="183" t="s">
        <v>190</v>
      </c>
      <c r="L11" s="183" t="s">
        <v>192</v>
      </c>
      <c r="M11" s="902"/>
      <c r="N11" s="181"/>
    </row>
    <row r="12" spans="1:17" s="388" customFormat="1" ht="15">
      <c r="A12" s="184"/>
      <c r="B12" s="387" t="s">
        <v>2</v>
      </c>
      <c r="C12" s="389" t="s">
        <v>3</v>
      </c>
      <c r="D12" s="389" t="s">
        <v>4</v>
      </c>
      <c r="E12" s="387" t="s">
        <v>5</v>
      </c>
      <c r="F12" s="387">
        <v>1</v>
      </c>
      <c r="G12" s="387">
        <v>2</v>
      </c>
      <c r="H12" s="387" t="s">
        <v>207</v>
      </c>
      <c r="I12" s="387">
        <v>4</v>
      </c>
      <c r="J12" s="387" t="s">
        <v>208</v>
      </c>
      <c r="K12" s="387">
        <v>6</v>
      </c>
      <c r="L12" s="387" t="s">
        <v>209</v>
      </c>
      <c r="M12" s="387"/>
      <c r="N12" s="185"/>
    </row>
    <row r="13" spans="1:17" s="167" customFormat="1" ht="15">
      <c r="A13" s="186"/>
      <c r="B13" s="186"/>
      <c r="C13" s="186"/>
      <c r="D13" s="187" t="s">
        <v>133</v>
      </c>
      <c r="E13" s="188"/>
      <c r="F13" s="189"/>
      <c r="G13" s="189"/>
      <c r="H13" s="189"/>
      <c r="I13" s="189"/>
      <c r="J13" s="189"/>
      <c r="K13" s="190">
        <f>VLOOKUP($J$8,NXT!$C$10:$L$482,3,0)</f>
        <v>0</v>
      </c>
      <c r="L13" s="190">
        <f>VLOOKUP($J$8,NXT!$C$10:$L$482,4,0)</f>
        <v>0</v>
      </c>
      <c r="M13" s="189"/>
      <c r="N13" s="185"/>
    </row>
    <row r="14" spans="1:17" s="167" customFormat="1" ht="15">
      <c r="A14" s="577">
        <f ca="1">IF(B14="","",ROW()-13)</f>
        <v>1</v>
      </c>
      <c r="B14" s="191" t="str">
        <f ca="1">IF(ROWS($1:1)&gt;COUNT(Dong11),"",OFFSET(TH!D$1,SMALL(Dong11,ROWS($1:1)),))</f>
        <v>NL/N02</v>
      </c>
      <c r="C14" s="192">
        <f ca="1">IF(ROWS($1:1)&gt;COUNT(Dong11),"",OFFSET(TH!E$1,SMALL(Dong11,ROWS($1:1)),))</f>
        <v>40646</v>
      </c>
      <c r="D14" s="193" t="str">
        <f ca="1">IF(ROWS($1:1)&gt;COUNT(Dong11),"",OFFSET(TH!H$1,SMALL(Dong11,ROWS($1:1)),))</f>
        <v>Cty CP Hợp Tác Kinh Tế &amp; Xuất Nhập Khẩu</v>
      </c>
      <c r="E14" s="191" t="str">
        <f ca="1">IF(ROWS($1:1)&gt;COUNT(Dong11),"",IF(OFFSET(TH!L$1,SMALL(Dong11,ROWS($1:1)),)=$G$7,OFFSET(TH!M$1,SMALL(Dong11,ROWS($1:1)),),OFFSET(TH!L$1,SMALL(Dong11,ROWS($1:1)),)))</f>
        <v>331</v>
      </c>
      <c r="F14" s="194">
        <f ca="1">IF(ROWS($1:1)&gt;COUNT(Dong11),0,OFFSET(TH!J$1,SMALL(Dong11,ROWS($1:1)),))</f>
        <v>4449</v>
      </c>
      <c r="G14" s="194">
        <f ca="1">IF(ROWS($1:1)&gt;COUNT(Dong11),0,IF(MID(OFFSET(TH!D$1,SMALL(Dong11,ROWS($1:1)),),4,1)="N",OFFSET(TH!I$1,SMALL(Dong11,ROWS($1:1)),),0))</f>
        <v>2500</v>
      </c>
      <c r="H14" s="195">
        <f ca="1">ROUND(F14*G14,0)</f>
        <v>11122500</v>
      </c>
      <c r="I14" s="194">
        <f ca="1">IF(ROWS($1:1)&gt;COUNT(Dong11),0,IF(MID(OFFSET(TH!D$1,SMALL(Dong11,ROWS($1:1)),),4,1)="X",OFFSET(TH!I$1,SMALL(Dong11,ROWS($1:1)),),0))</f>
        <v>0</v>
      </c>
      <c r="J14" s="195">
        <f ca="1">ROUND(F14*I14,0)</f>
        <v>0</v>
      </c>
      <c r="K14" s="195">
        <f ca="1">IF(D14&lt;&gt;"",K13+G14-I14,0)</f>
        <v>2500</v>
      </c>
      <c r="L14" s="195">
        <f ca="1">IF(D14&lt;&gt;"",L13+H14-J14,0)</f>
        <v>11122500</v>
      </c>
      <c r="M14" s="195"/>
      <c r="N14" s="185"/>
    </row>
    <row r="15" spans="1:17" s="167" customFormat="1" ht="15">
      <c r="A15" s="577">
        <f t="shared" ref="A15:A24" ca="1" si="0">IF(B15="","",A14+1)</f>
        <v>2</v>
      </c>
      <c r="B15" s="191" t="str">
        <f ca="1">IF(ROWS($1:2)&gt;COUNT(Dong11),"",OFFSET(TH!D$1,SMALL(Dong11,ROWS($1:2)),))</f>
        <v>NL/X02</v>
      </c>
      <c r="C15" s="192">
        <f ca="1">IF(ROWS($1:2)&gt;COUNT(Dong11),"",OFFSET(TH!E$1,SMALL(Dong11,ROWS($1:2)),))</f>
        <v>40670</v>
      </c>
      <c r="D15" s="193" t="str">
        <f ca="1">IF(ROWS($1:2)&gt;COUNT(Dong11),"",OFFSET(TH!H$1,SMALL(Dong11,ROWS($1:2)),))</f>
        <v>Bộ phận SX</v>
      </c>
      <c r="E15" s="191" t="str">
        <f ca="1">IF(ROWS($1:2)&gt;COUNT(Dong11),"",IF(OFFSET(TH!L$1,SMALL(Dong11,ROWS($1:2)),)=$G$7,OFFSET(TH!M$1,SMALL(Dong11,ROWS($1:2)),),OFFSET(TH!L$1,SMALL(Dong11,ROWS($1:2)),)))</f>
        <v>154</v>
      </c>
      <c r="F15" s="194">
        <f ca="1">IF(ROWS($1:2)&gt;COUNT(Dong11),0,OFFSET(TH!J$1,SMALL(Dong11,ROWS($1:2)),))</f>
        <v>4449</v>
      </c>
      <c r="G15" s="194">
        <f ca="1">IF(ROWS($1:2)&gt;COUNT(Dong11),0,IF(MID(OFFSET(TH!D$1,SMALL(Dong11,ROWS($1:2)),),4,1)="N",OFFSET(TH!I$1,SMALL(Dong11,ROWS($1:2)),),0))</f>
        <v>0</v>
      </c>
      <c r="H15" s="195">
        <f t="shared" ref="H15:H24" ca="1" si="1">ROUND(F15*G15,0)</f>
        <v>0</v>
      </c>
      <c r="I15" s="194">
        <f ca="1">IF(ROWS($1:2)&gt;COUNT(Dong11),0,IF(MID(OFFSET(TH!D$1,SMALL(Dong11,ROWS($1:2)),),4,1)="X",OFFSET(TH!I$1,SMALL(Dong11,ROWS($1:2)),),0))</f>
        <v>75</v>
      </c>
      <c r="J15" s="195">
        <f t="shared" ref="J15:J24" ca="1" si="2">ROUND(F15*I15,0)</f>
        <v>333675</v>
      </c>
      <c r="K15" s="195">
        <f t="shared" ref="K15:K24" ca="1" si="3">IF(D15&lt;&gt;"",K14+G15-I15,0)</f>
        <v>2425</v>
      </c>
      <c r="L15" s="195">
        <f t="shared" ref="L15:L24" ca="1" si="4">IF(D15&lt;&gt;"",L14+H15-J15,0)</f>
        <v>10788825</v>
      </c>
      <c r="M15" s="195"/>
      <c r="N15" s="185"/>
      <c r="Q15" s="196"/>
    </row>
    <row r="16" spans="1:17" s="167" customFormat="1" ht="15">
      <c r="A16" s="577">
        <f t="shared" ca="1" si="0"/>
        <v>3</v>
      </c>
      <c r="B16" s="191" t="str">
        <f ca="1">IF(ROWS($1:3)&gt;COUNT(Dong11),"",OFFSET(TH!D$1,SMALL(Dong11,ROWS($1:3)),))</f>
        <v>NL/X02</v>
      </c>
      <c r="C16" s="192">
        <f ca="1">IF(ROWS($1:3)&gt;COUNT(Dong11),"",OFFSET(TH!E$1,SMALL(Dong11,ROWS($1:3)),))</f>
        <v>40670</v>
      </c>
      <c r="D16" s="193" t="str">
        <f ca="1">IF(ROWS($1:3)&gt;COUNT(Dong11),"",OFFSET(TH!H$1,SMALL(Dong11,ROWS($1:3)),))</f>
        <v>Bộ phận SX</v>
      </c>
      <c r="E16" s="191" t="str">
        <f ca="1">IF(ROWS($1:3)&gt;COUNT(Dong11),"",IF(OFFSET(TH!L$1,SMALL(Dong11,ROWS($1:3)),)=$G$7,OFFSET(TH!M$1,SMALL(Dong11,ROWS($1:3)),),OFFSET(TH!L$1,SMALL(Dong11,ROWS($1:3)),)))</f>
        <v>154</v>
      </c>
      <c r="F16" s="194">
        <f ca="1">IF(ROWS($1:3)&gt;COUNT(Dong11),0,OFFSET(TH!J$1,SMALL(Dong11,ROWS($1:3)),))</f>
        <v>4449</v>
      </c>
      <c r="G16" s="194">
        <f ca="1">IF(ROWS($1:3)&gt;COUNT(Dong11),0,IF(MID(OFFSET(TH!D$1,SMALL(Dong11,ROWS($1:3)),),4,1)="N",OFFSET(TH!I$1,SMALL(Dong11,ROWS($1:3)),),0))</f>
        <v>0</v>
      </c>
      <c r="H16" s="195">
        <f t="shared" ca="1" si="1"/>
        <v>0</v>
      </c>
      <c r="I16" s="194">
        <f ca="1">IF(ROWS($1:3)&gt;COUNT(Dong11),0,IF(MID(OFFSET(TH!D$1,SMALL(Dong11,ROWS($1:3)),),4,1)="X",OFFSET(TH!I$1,SMALL(Dong11,ROWS($1:3)),),0))</f>
        <v>45</v>
      </c>
      <c r="J16" s="195">
        <f t="shared" ca="1" si="2"/>
        <v>200205</v>
      </c>
      <c r="K16" s="195">
        <f t="shared" ca="1" si="3"/>
        <v>2380</v>
      </c>
      <c r="L16" s="195">
        <f t="shared" ca="1" si="4"/>
        <v>10588620</v>
      </c>
      <c r="M16" s="195"/>
      <c r="N16" s="185"/>
    </row>
    <row r="17" spans="1:16" s="167" customFormat="1" ht="15">
      <c r="A17" s="577">
        <f t="shared" ca="1" si="0"/>
        <v>4</v>
      </c>
      <c r="B17" s="191" t="str">
        <f ca="1">IF(ROWS($1:4)&gt;COUNT(Dong11),"",OFFSET(TH!D$1,SMALL(Dong11,ROWS($1:4)),))</f>
        <v>NL/X03</v>
      </c>
      <c r="C17" s="192">
        <f ca="1">IF(ROWS($1:4)&gt;COUNT(Dong11),"",OFFSET(TH!E$1,SMALL(Dong11,ROWS($1:4)),))</f>
        <v>40675</v>
      </c>
      <c r="D17" s="193" t="str">
        <f ca="1">IF(ROWS($1:4)&gt;COUNT(Dong11),"",OFFSET(TH!H$1,SMALL(Dong11,ROWS($1:4)),))</f>
        <v>Bộ phận SX</v>
      </c>
      <c r="E17" s="191" t="str">
        <f ca="1">IF(ROWS($1:4)&gt;COUNT(Dong11),"",IF(OFFSET(TH!L$1,SMALL(Dong11,ROWS($1:4)),)=$G$7,OFFSET(TH!M$1,SMALL(Dong11,ROWS($1:4)),),OFFSET(TH!L$1,SMALL(Dong11,ROWS($1:4)),)))</f>
        <v>154</v>
      </c>
      <c r="F17" s="194">
        <f ca="1">IF(ROWS($1:4)&gt;COUNT(Dong11),0,OFFSET(TH!J$1,SMALL(Dong11,ROWS($1:4)),))</f>
        <v>4449</v>
      </c>
      <c r="G17" s="194">
        <f ca="1">IF(ROWS($1:4)&gt;COUNT(Dong11),0,IF(MID(OFFSET(TH!D$1,SMALL(Dong11,ROWS($1:4)),),4,1)="N",OFFSET(TH!I$1,SMALL(Dong11,ROWS($1:4)),),0))</f>
        <v>0</v>
      </c>
      <c r="H17" s="195">
        <f t="shared" ca="1" si="1"/>
        <v>0</v>
      </c>
      <c r="I17" s="194">
        <f ca="1">IF(ROWS($1:4)&gt;COUNT(Dong11),0,IF(MID(OFFSET(TH!D$1,SMALL(Dong11,ROWS($1:4)),),4,1)="X",OFFSET(TH!I$1,SMALL(Dong11,ROWS($1:4)),),0))</f>
        <v>4</v>
      </c>
      <c r="J17" s="195">
        <f t="shared" ca="1" si="2"/>
        <v>17796</v>
      </c>
      <c r="K17" s="195">
        <f t="shared" ca="1" si="3"/>
        <v>2376</v>
      </c>
      <c r="L17" s="195">
        <f t="shared" ca="1" si="4"/>
        <v>10570824</v>
      </c>
      <c r="M17" s="195"/>
      <c r="N17" s="185"/>
      <c r="P17" s="197"/>
    </row>
    <row r="18" spans="1:16" s="167" customFormat="1" ht="15">
      <c r="A18" s="577">
        <f t="shared" ca="1" si="0"/>
        <v>5</v>
      </c>
      <c r="B18" s="191" t="str">
        <f ca="1">IF(ROWS($1:5)&gt;COUNT(Dong11),"",OFFSET(TH!D$1,SMALL(Dong11,ROWS($1:5)),))</f>
        <v>NL/X03</v>
      </c>
      <c r="C18" s="192">
        <f ca="1">IF(ROWS($1:5)&gt;COUNT(Dong11),"",OFFSET(TH!E$1,SMALL(Dong11,ROWS($1:5)),))</f>
        <v>40675</v>
      </c>
      <c r="D18" s="193" t="str">
        <f ca="1">IF(ROWS($1:5)&gt;COUNT(Dong11),"",OFFSET(TH!H$1,SMALL(Dong11,ROWS($1:5)),))</f>
        <v>Bộ phận SX</v>
      </c>
      <c r="E18" s="191" t="str">
        <f ca="1">IF(ROWS($1:5)&gt;COUNT(Dong11),"",IF(OFFSET(TH!L$1,SMALL(Dong11,ROWS($1:5)),)=$G$7,OFFSET(TH!M$1,SMALL(Dong11,ROWS($1:5)),),OFFSET(TH!L$1,SMALL(Dong11,ROWS($1:5)),)))</f>
        <v>154</v>
      </c>
      <c r="F18" s="194">
        <f ca="1">IF(ROWS($1:5)&gt;COUNT(Dong11),0,OFFSET(TH!J$1,SMALL(Dong11,ROWS($1:5)),))</f>
        <v>4449</v>
      </c>
      <c r="G18" s="194">
        <f ca="1">IF(ROWS($1:5)&gt;COUNT(Dong11),0,IF(MID(OFFSET(TH!D$1,SMALL(Dong11,ROWS($1:5)),),4,1)="N",OFFSET(TH!I$1,SMALL(Dong11,ROWS($1:5)),),0))</f>
        <v>0</v>
      </c>
      <c r="H18" s="195">
        <f t="shared" ca="1" si="1"/>
        <v>0</v>
      </c>
      <c r="I18" s="194">
        <f ca="1">IF(ROWS($1:5)&gt;COUNT(Dong11),0,IF(MID(OFFSET(TH!D$1,SMALL(Dong11,ROWS($1:5)),),4,1)="X",OFFSET(TH!I$1,SMALL(Dong11,ROWS($1:5)),),0))</f>
        <v>1</v>
      </c>
      <c r="J18" s="195">
        <f t="shared" ca="1" si="2"/>
        <v>4449</v>
      </c>
      <c r="K18" s="195">
        <f t="shared" ca="1" si="3"/>
        <v>2375</v>
      </c>
      <c r="L18" s="195">
        <f t="shared" ca="1" si="4"/>
        <v>10566375</v>
      </c>
      <c r="M18" s="195"/>
      <c r="N18" s="185"/>
    </row>
    <row r="19" spans="1:16" s="167" customFormat="1" ht="15">
      <c r="A19" s="577">
        <f t="shared" ca="1" si="0"/>
        <v>6</v>
      </c>
      <c r="B19" s="191" t="str">
        <f ca="1">IF(ROWS($1:6)&gt;COUNT(Dong11),"",OFFSET(TH!D$1,SMALL(Dong11,ROWS($1:6)),))</f>
        <v>NL/X05</v>
      </c>
      <c r="C19" s="192">
        <f ca="1">IF(ROWS($1:6)&gt;COUNT(Dong11),"",OFFSET(TH!E$1,SMALL(Dong11,ROWS($1:6)),))</f>
        <v>40681</v>
      </c>
      <c r="D19" s="193" t="str">
        <f ca="1">IF(ROWS($1:6)&gt;COUNT(Dong11),"",OFFSET(TH!H$1,SMALL(Dong11,ROWS($1:6)),))</f>
        <v>Bộ phận SX</v>
      </c>
      <c r="E19" s="191" t="str">
        <f ca="1">IF(ROWS($1:6)&gt;COUNT(Dong11),"",IF(OFFSET(TH!L$1,SMALL(Dong11,ROWS($1:6)),)=$G$7,OFFSET(TH!M$1,SMALL(Dong11,ROWS($1:6)),),OFFSET(TH!L$1,SMALL(Dong11,ROWS($1:6)),)))</f>
        <v>154</v>
      </c>
      <c r="F19" s="194">
        <f ca="1">IF(ROWS($1:6)&gt;COUNT(Dong11),0,OFFSET(TH!J$1,SMALL(Dong11,ROWS($1:6)),))</f>
        <v>4449</v>
      </c>
      <c r="G19" s="194">
        <f ca="1">IF(ROWS($1:6)&gt;COUNT(Dong11),0,IF(MID(OFFSET(TH!D$1,SMALL(Dong11,ROWS($1:6)),),4,1)="N",OFFSET(TH!I$1,SMALL(Dong11,ROWS($1:6)),),0))</f>
        <v>0</v>
      </c>
      <c r="H19" s="195">
        <f t="shared" ca="1" si="1"/>
        <v>0</v>
      </c>
      <c r="I19" s="194">
        <f ca="1">IF(ROWS($1:6)&gt;COUNT(Dong11),0,IF(MID(OFFSET(TH!D$1,SMALL(Dong11,ROWS($1:6)),),4,1)="X",OFFSET(TH!I$1,SMALL(Dong11,ROWS($1:6)),),0))</f>
        <v>64</v>
      </c>
      <c r="J19" s="195">
        <f t="shared" ca="1" si="2"/>
        <v>284736</v>
      </c>
      <c r="K19" s="195">
        <f t="shared" ca="1" si="3"/>
        <v>2311</v>
      </c>
      <c r="L19" s="195">
        <f t="shared" ca="1" si="4"/>
        <v>10281639</v>
      </c>
      <c r="M19" s="195"/>
      <c r="N19" s="185"/>
    </row>
    <row r="20" spans="1:16" s="167" customFormat="1" ht="15">
      <c r="A20" s="577">
        <f t="shared" ca="1" si="0"/>
        <v>7</v>
      </c>
      <c r="B20" s="191" t="str">
        <f ca="1">IF(ROWS($1:7)&gt;COUNT(Dong11),"",OFFSET(TH!D$1,SMALL(Dong11,ROWS($1:7)),))</f>
        <v>NL/X06</v>
      </c>
      <c r="C20" s="192">
        <f ca="1">IF(ROWS($1:7)&gt;COUNT(Dong11),"",OFFSET(TH!E$1,SMALL(Dong11,ROWS($1:7)),))</f>
        <v>40684</v>
      </c>
      <c r="D20" s="193" t="str">
        <f ca="1">IF(ROWS($1:7)&gt;COUNT(Dong11),"",OFFSET(TH!H$1,SMALL(Dong11,ROWS($1:7)),))</f>
        <v>Bộ phận SX</v>
      </c>
      <c r="E20" s="191" t="str">
        <f ca="1">IF(ROWS($1:7)&gt;COUNT(Dong11),"",IF(OFFSET(TH!L$1,SMALL(Dong11,ROWS($1:7)),)=$G$7,OFFSET(TH!M$1,SMALL(Dong11,ROWS($1:7)),),OFFSET(TH!L$1,SMALL(Dong11,ROWS($1:7)),)))</f>
        <v>154</v>
      </c>
      <c r="F20" s="194">
        <f ca="1">IF(ROWS($1:7)&gt;COUNT(Dong11),0,OFFSET(TH!J$1,SMALL(Dong11,ROWS($1:7)),))</f>
        <v>4449</v>
      </c>
      <c r="G20" s="194">
        <f ca="1">IF(ROWS($1:7)&gt;COUNT(Dong11),0,IF(MID(OFFSET(TH!D$1,SMALL(Dong11,ROWS($1:7)),),4,1)="N",OFFSET(TH!I$1,SMALL(Dong11,ROWS($1:7)),),0))</f>
        <v>0</v>
      </c>
      <c r="H20" s="195">
        <f t="shared" ca="1" si="1"/>
        <v>0</v>
      </c>
      <c r="I20" s="194">
        <f ca="1">IF(ROWS($1:7)&gt;COUNT(Dong11),0,IF(MID(OFFSET(TH!D$1,SMALL(Dong11,ROWS($1:7)),),4,1)="X",OFFSET(TH!I$1,SMALL(Dong11,ROWS($1:7)),),0))</f>
        <v>5</v>
      </c>
      <c r="J20" s="195">
        <f t="shared" ca="1" si="2"/>
        <v>22245</v>
      </c>
      <c r="K20" s="195">
        <f t="shared" ca="1" si="3"/>
        <v>2306</v>
      </c>
      <c r="L20" s="195">
        <f t="shared" ca="1" si="4"/>
        <v>10259394</v>
      </c>
      <c r="M20" s="195"/>
      <c r="N20" s="185"/>
    </row>
    <row r="21" spans="1:16" s="167" customFormat="1" ht="15">
      <c r="A21" s="577">
        <f t="shared" ca="1" si="0"/>
        <v>8</v>
      </c>
      <c r="B21" s="191" t="str">
        <f ca="1">IF(ROWS($1:8)&gt;COUNT(Dong11),"",OFFSET(TH!D$1,SMALL(Dong11,ROWS($1:8)),))</f>
        <v>NL/X08</v>
      </c>
      <c r="C21" s="192">
        <f ca="1">IF(ROWS($1:8)&gt;COUNT(Dong11),"",OFFSET(TH!E$1,SMALL(Dong11,ROWS($1:8)),))</f>
        <v>40688</v>
      </c>
      <c r="D21" s="193" t="str">
        <f ca="1">IF(ROWS($1:8)&gt;COUNT(Dong11),"",OFFSET(TH!H$1,SMALL(Dong11,ROWS($1:8)),))</f>
        <v>Bộ phận SX</v>
      </c>
      <c r="E21" s="191" t="str">
        <f ca="1">IF(ROWS($1:8)&gt;COUNT(Dong11),"",IF(OFFSET(TH!L$1,SMALL(Dong11,ROWS($1:8)),)=$G$7,OFFSET(TH!M$1,SMALL(Dong11,ROWS($1:8)),),OFFSET(TH!L$1,SMALL(Dong11,ROWS($1:8)),)))</f>
        <v>154</v>
      </c>
      <c r="F21" s="194">
        <f ca="1">IF(ROWS($1:8)&gt;COUNT(Dong11),0,OFFSET(TH!J$1,SMALL(Dong11,ROWS($1:8)),))</f>
        <v>4449</v>
      </c>
      <c r="G21" s="194">
        <f ca="1">IF(ROWS($1:8)&gt;COUNT(Dong11),0,IF(MID(OFFSET(TH!D$1,SMALL(Dong11,ROWS($1:8)),),4,1)="N",OFFSET(TH!I$1,SMALL(Dong11,ROWS($1:8)),),0))</f>
        <v>0</v>
      </c>
      <c r="H21" s="195">
        <f t="shared" ca="1" si="1"/>
        <v>0</v>
      </c>
      <c r="I21" s="194">
        <f ca="1">IF(ROWS($1:8)&gt;COUNT(Dong11),0,IF(MID(OFFSET(TH!D$1,SMALL(Dong11,ROWS($1:8)),),4,1)="X",OFFSET(TH!I$1,SMALL(Dong11,ROWS($1:8)),),0))</f>
        <v>239</v>
      </c>
      <c r="J21" s="195">
        <f t="shared" ca="1" si="2"/>
        <v>1063311</v>
      </c>
      <c r="K21" s="195">
        <f t="shared" ca="1" si="3"/>
        <v>2067</v>
      </c>
      <c r="L21" s="195">
        <f t="shared" ca="1" si="4"/>
        <v>9196083</v>
      </c>
      <c r="M21" s="195"/>
      <c r="N21" s="185"/>
    </row>
    <row r="22" spans="1:16" s="167" customFormat="1" ht="15">
      <c r="A22" s="577">
        <f t="shared" ca="1" si="0"/>
        <v>9</v>
      </c>
      <c r="B22" s="191" t="str">
        <f ca="1">IF(ROWS($1:9)&gt;COUNT(Dong11),"",OFFSET(TH!D$1,SMALL(Dong11,ROWS($1:9)),))</f>
        <v>NL/X08</v>
      </c>
      <c r="C22" s="192">
        <f ca="1">IF(ROWS($1:9)&gt;COUNT(Dong11),"",OFFSET(TH!E$1,SMALL(Dong11,ROWS($1:9)),))</f>
        <v>40688</v>
      </c>
      <c r="D22" s="193" t="str">
        <f ca="1">IF(ROWS($1:9)&gt;COUNT(Dong11),"",OFFSET(TH!H$1,SMALL(Dong11,ROWS($1:9)),))</f>
        <v>Bộ phận SX</v>
      </c>
      <c r="E22" s="191" t="str">
        <f ca="1">IF(ROWS($1:9)&gt;COUNT(Dong11),"",IF(OFFSET(TH!L$1,SMALL(Dong11,ROWS($1:9)),)=$G$7,OFFSET(TH!M$1,SMALL(Dong11,ROWS($1:9)),),OFFSET(TH!L$1,SMALL(Dong11,ROWS($1:9)),)))</f>
        <v>154</v>
      </c>
      <c r="F22" s="194">
        <f ca="1">IF(ROWS($1:9)&gt;COUNT(Dong11),0,OFFSET(TH!J$1,SMALL(Dong11,ROWS($1:9)),))</f>
        <v>4449</v>
      </c>
      <c r="G22" s="194">
        <f ca="1">IF(ROWS($1:9)&gt;COUNT(Dong11),0,IF(MID(OFFSET(TH!D$1,SMALL(Dong11,ROWS($1:9)),),4,1)="N",OFFSET(TH!I$1,SMALL(Dong11,ROWS($1:9)),),0))</f>
        <v>0</v>
      </c>
      <c r="H22" s="195">
        <f t="shared" ca="1" si="1"/>
        <v>0</v>
      </c>
      <c r="I22" s="194">
        <f ca="1">IF(ROWS($1:9)&gt;COUNT(Dong11),0,IF(MID(OFFSET(TH!D$1,SMALL(Dong11,ROWS($1:9)),),4,1)="X",OFFSET(TH!I$1,SMALL(Dong11,ROWS($1:9)),),0))</f>
        <v>51</v>
      </c>
      <c r="J22" s="195">
        <f t="shared" ca="1" si="2"/>
        <v>226899</v>
      </c>
      <c r="K22" s="195">
        <f t="shared" ca="1" si="3"/>
        <v>2016</v>
      </c>
      <c r="L22" s="195">
        <f t="shared" ca="1" si="4"/>
        <v>8969184</v>
      </c>
      <c r="M22" s="195"/>
      <c r="N22" s="185"/>
    </row>
    <row r="23" spans="1:16" s="167" customFormat="1" ht="15">
      <c r="A23" s="577">
        <f t="shared" ca="1" si="0"/>
        <v>10</v>
      </c>
      <c r="B23" s="191" t="str">
        <f ca="1">IF(ROWS($1:10)&gt;COUNT(Dong11),"",OFFSET(TH!D$1,SMALL(Dong11,ROWS($1:10)),))</f>
        <v>NL/X08</v>
      </c>
      <c r="C23" s="192">
        <f ca="1">IF(ROWS($1:10)&gt;COUNT(Dong11),"",OFFSET(TH!E$1,SMALL(Dong11,ROWS($1:10)),))</f>
        <v>40688</v>
      </c>
      <c r="D23" s="193" t="str">
        <f ca="1">IF(ROWS($1:10)&gt;COUNT(Dong11),"",OFFSET(TH!H$1,SMALL(Dong11,ROWS($1:10)),))</f>
        <v>Bộ phận SX</v>
      </c>
      <c r="E23" s="191" t="str">
        <f ca="1">IF(ROWS($1:10)&gt;COUNT(Dong11),"",IF(OFFSET(TH!L$1,SMALL(Dong11,ROWS($1:10)),)=$G$7,OFFSET(TH!M$1,SMALL(Dong11,ROWS($1:10)),),OFFSET(TH!L$1,SMALL(Dong11,ROWS($1:10)),)))</f>
        <v>154</v>
      </c>
      <c r="F23" s="194">
        <f ca="1">IF(ROWS($1:10)&gt;COUNT(Dong11),0,OFFSET(TH!J$1,SMALL(Dong11,ROWS($1:10)),))</f>
        <v>4449</v>
      </c>
      <c r="G23" s="194">
        <f ca="1">IF(ROWS($1:10)&gt;COUNT(Dong11),0,IF(MID(OFFSET(TH!D$1,SMALL(Dong11,ROWS($1:10)),),4,1)="N",OFFSET(TH!I$1,SMALL(Dong11,ROWS($1:10)),),0))</f>
        <v>0</v>
      </c>
      <c r="H23" s="195">
        <f t="shared" ca="1" si="1"/>
        <v>0</v>
      </c>
      <c r="I23" s="194">
        <f ca="1">IF(ROWS($1:10)&gt;COUNT(Dong11),0,IF(MID(OFFSET(TH!D$1,SMALL(Dong11,ROWS($1:10)),),4,1)="X",OFFSET(TH!I$1,SMALL(Dong11,ROWS($1:10)),),0))</f>
        <v>50</v>
      </c>
      <c r="J23" s="195">
        <f t="shared" ca="1" si="2"/>
        <v>222450</v>
      </c>
      <c r="K23" s="195">
        <f t="shared" ca="1" si="3"/>
        <v>1966</v>
      </c>
      <c r="L23" s="195">
        <f t="shared" ca="1" si="4"/>
        <v>8746734</v>
      </c>
      <c r="M23" s="195"/>
      <c r="N23" s="185"/>
    </row>
    <row r="24" spans="1:16" s="167" customFormat="1" ht="15">
      <c r="A24" s="577">
        <f t="shared" ca="1" si="0"/>
        <v>11</v>
      </c>
      <c r="B24" s="191" t="str">
        <f ca="1">IF(ROWS($1:11)&gt;COUNT(Dong11),"",OFFSET(TH!D$1,SMALL(Dong11,ROWS($1:11)),))</f>
        <v>NL/X08</v>
      </c>
      <c r="C24" s="192">
        <f ca="1">IF(ROWS($1:11)&gt;COUNT(Dong11),"",OFFSET(TH!E$1,SMALL(Dong11,ROWS($1:11)),))</f>
        <v>40688</v>
      </c>
      <c r="D24" s="193" t="str">
        <f ca="1">IF(ROWS($1:11)&gt;COUNT(Dong11),"",OFFSET(TH!H$1,SMALL(Dong11,ROWS($1:11)),))</f>
        <v>Bộ phận SX</v>
      </c>
      <c r="E24" s="191" t="str">
        <f ca="1">IF(ROWS($1:11)&gt;COUNT(Dong11),"",IF(OFFSET(TH!L$1,SMALL(Dong11,ROWS($1:11)),)=$G$7,OFFSET(TH!M$1,SMALL(Dong11,ROWS($1:11)),),OFFSET(TH!L$1,SMALL(Dong11,ROWS($1:11)),)))</f>
        <v>154</v>
      </c>
      <c r="F24" s="194">
        <f ca="1">IF(ROWS($1:11)&gt;COUNT(Dong11),0,OFFSET(TH!J$1,SMALL(Dong11,ROWS($1:11)),))</f>
        <v>4449</v>
      </c>
      <c r="G24" s="194">
        <f ca="1">IF(ROWS($1:11)&gt;COUNT(Dong11),0,IF(MID(OFFSET(TH!D$1,SMALL(Dong11,ROWS($1:11)),),4,1)="N",OFFSET(TH!I$1,SMALL(Dong11,ROWS($1:11)),),0))</f>
        <v>0</v>
      </c>
      <c r="H24" s="195">
        <f t="shared" ca="1" si="1"/>
        <v>0</v>
      </c>
      <c r="I24" s="194">
        <f ca="1">IF(ROWS($1:11)&gt;COUNT(Dong11),0,IF(MID(OFFSET(TH!D$1,SMALL(Dong11,ROWS($1:11)),),4,1)="X",OFFSET(TH!I$1,SMALL(Dong11,ROWS($1:11)),),0))</f>
        <v>17</v>
      </c>
      <c r="J24" s="195">
        <f t="shared" ca="1" si="2"/>
        <v>75633</v>
      </c>
      <c r="K24" s="195">
        <f t="shared" ca="1" si="3"/>
        <v>1949</v>
      </c>
      <c r="L24" s="195">
        <f t="shared" ca="1" si="4"/>
        <v>8671101</v>
      </c>
      <c r="M24" s="195"/>
      <c r="N24" s="185"/>
    </row>
    <row r="25" spans="1:16" s="167" customFormat="1" ht="15">
      <c r="A25" s="577">
        <f t="shared" ref="A25:A38" ca="1" si="5">IF(B25="","",A24+1)</f>
        <v>12</v>
      </c>
      <c r="B25" s="191" t="str">
        <f ca="1">IF(ROWS($1:12)&gt;COUNT(Dong11),"",OFFSET(TH!D$1,SMALL(Dong11,ROWS($1:12)),))</f>
        <v>NL/X08</v>
      </c>
      <c r="C25" s="192">
        <f ca="1">IF(ROWS($1:12)&gt;COUNT(Dong11),"",OFFSET(TH!E$1,SMALL(Dong11,ROWS($1:12)),))</f>
        <v>40688</v>
      </c>
      <c r="D25" s="193" t="str">
        <f ca="1">IF(ROWS($1:12)&gt;COUNT(Dong11),"",OFFSET(TH!H$1,SMALL(Dong11,ROWS($1:12)),))</f>
        <v>Bộ phận SX</v>
      </c>
      <c r="E25" s="191" t="str">
        <f ca="1">IF(ROWS($1:12)&gt;COUNT(Dong11),"",IF(OFFSET(TH!L$1,SMALL(Dong11,ROWS($1:12)),)=$G$7,OFFSET(TH!M$1,SMALL(Dong11,ROWS($1:12)),),OFFSET(TH!L$1,SMALL(Dong11,ROWS($1:12)),)))</f>
        <v>154</v>
      </c>
      <c r="F25" s="194">
        <f ca="1">IF(ROWS($1:12)&gt;COUNT(Dong11),0,OFFSET(TH!J$1,SMALL(Dong11,ROWS($1:12)),))</f>
        <v>4449</v>
      </c>
      <c r="G25" s="194">
        <f ca="1">IF(ROWS($1:12)&gt;COUNT(Dong11),0,IF(MID(OFFSET(TH!D$1,SMALL(Dong11,ROWS($1:12)),),4,1)="N",OFFSET(TH!I$1,SMALL(Dong11,ROWS($1:12)),),0))</f>
        <v>0</v>
      </c>
      <c r="H25" s="195">
        <f t="shared" ref="H25:H38" ca="1" si="6">ROUND(F25*G25,0)</f>
        <v>0</v>
      </c>
      <c r="I25" s="194">
        <f ca="1">IF(ROWS($1:12)&gt;COUNT(Dong11),0,IF(MID(OFFSET(TH!D$1,SMALL(Dong11,ROWS($1:12)),),4,1)="X",OFFSET(TH!I$1,SMALL(Dong11,ROWS($1:12)),),0))</f>
        <v>75</v>
      </c>
      <c r="J25" s="195">
        <f t="shared" ref="J25:J38" ca="1" si="7">ROUND(F25*I25,0)</f>
        <v>333675</v>
      </c>
      <c r="K25" s="195">
        <f t="shared" ref="K25:K38" ca="1" si="8">IF(D25&lt;&gt;"",K24+G25-I25,0)</f>
        <v>1874</v>
      </c>
      <c r="L25" s="195">
        <f t="shared" ref="L25:L38" ca="1" si="9">IF(D25&lt;&gt;"",L24+H25-J25,0)</f>
        <v>8337426</v>
      </c>
      <c r="M25" s="195"/>
      <c r="N25" s="185"/>
    </row>
    <row r="26" spans="1:16" s="167" customFormat="1" ht="15">
      <c r="A26" s="577">
        <f t="shared" ca="1" si="5"/>
        <v>13</v>
      </c>
      <c r="B26" s="191" t="str">
        <f ca="1">IF(ROWS($1:13)&gt;COUNT(Dong11),"",OFFSET(TH!D$1,SMALL(Dong11,ROWS($1:13)),))</f>
        <v>NL/X09</v>
      </c>
      <c r="C26" s="192">
        <f ca="1">IF(ROWS($1:13)&gt;COUNT(Dong11),"",OFFSET(TH!E$1,SMALL(Dong11,ROWS($1:13)),))</f>
        <v>40690</v>
      </c>
      <c r="D26" s="193" t="str">
        <f ca="1">IF(ROWS($1:13)&gt;COUNT(Dong11),"",OFFSET(TH!H$1,SMALL(Dong11,ROWS($1:13)),))</f>
        <v>Bộ phận SX</v>
      </c>
      <c r="E26" s="191" t="str">
        <f ca="1">IF(ROWS($1:13)&gt;COUNT(Dong11),"",IF(OFFSET(TH!L$1,SMALL(Dong11,ROWS($1:13)),)=$G$7,OFFSET(TH!M$1,SMALL(Dong11,ROWS($1:13)),),OFFSET(TH!L$1,SMALL(Dong11,ROWS($1:13)),)))</f>
        <v>154</v>
      </c>
      <c r="F26" s="194">
        <f ca="1">IF(ROWS($1:13)&gt;COUNT(Dong11),0,OFFSET(TH!J$1,SMALL(Dong11,ROWS($1:13)),))</f>
        <v>4449</v>
      </c>
      <c r="G26" s="194">
        <f ca="1">IF(ROWS($1:13)&gt;COUNT(Dong11),0,IF(MID(OFFSET(TH!D$1,SMALL(Dong11,ROWS($1:13)),),4,1)="N",OFFSET(TH!I$1,SMALL(Dong11,ROWS($1:13)),),0))</f>
        <v>0</v>
      </c>
      <c r="H26" s="195">
        <f t="shared" ca="1" si="6"/>
        <v>0</v>
      </c>
      <c r="I26" s="194">
        <f ca="1">IF(ROWS($1:13)&gt;COUNT(Dong11),0,IF(MID(OFFSET(TH!D$1,SMALL(Dong11,ROWS($1:13)),),4,1)="X",OFFSET(TH!I$1,SMALL(Dong11,ROWS($1:13)),),0))</f>
        <v>10</v>
      </c>
      <c r="J26" s="195">
        <f t="shared" ca="1" si="7"/>
        <v>44490</v>
      </c>
      <c r="K26" s="195">
        <f t="shared" ca="1" si="8"/>
        <v>1864</v>
      </c>
      <c r="L26" s="195">
        <f t="shared" ca="1" si="9"/>
        <v>8292936</v>
      </c>
      <c r="M26" s="195"/>
      <c r="N26" s="185"/>
    </row>
    <row r="27" spans="1:16" s="167" customFormat="1" ht="15">
      <c r="A27" s="577">
        <f t="shared" ca="1" si="5"/>
        <v>14</v>
      </c>
      <c r="B27" s="191" t="str">
        <f ca="1">IF(ROWS($1:14)&gt;COUNT(Dong11),"",OFFSET(TH!D$1,SMALL(Dong11,ROWS($1:14)),))</f>
        <v>NL/X09</v>
      </c>
      <c r="C27" s="192">
        <f ca="1">IF(ROWS($1:14)&gt;COUNT(Dong11),"",OFFSET(TH!E$1,SMALL(Dong11,ROWS($1:14)),))</f>
        <v>40690</v>
      </c>
      <c r="D27" s="193" t="str">
        <f ca="1">IF(ROWS($1:14)&gt;COUNT(Dong11),"",OFFSET(TH!H$1,SMALL(Dong11,ROWS($1:14)),))</f>
        <v>Bộ phận SX</v>
      </c>
      <c r="E27" s="191" t="str">
        <f ca="1">IF(ROWS($1:14)&gt;COUNT(Dong11),"",IF(OFFSET(TH!L$1,SMALL(Dong11,ROWS($1:14)),)=$G$7,OFFSET(TH!M$1,SMALL(Dong11,ROWS($1:14)),),OFFSET(TH!L$1,SMALL(Dong11,ROWS($1:14)),)))</f>
        <v>154</v>
      </c>
      <c r="F27" s="194">
        <f ca="1">IF(ROWS($1:14)&gt;COUNT(Dong11),0,OFFSET(TH!J$1,SMALL(Dong11,ROWS($1:14)),))</f>
        <v>4449</v>
      </c>
      <c r="G27" s="194">
        <f ca="1">IF(ROWS($1:14)&gt;COUNT(Dong11),0,IF(MID(OFFSET(TH!D$1,SMALL(Dong11,ROWS($1:14)),),4,1)="N",OFFSET(TH!I$1,SMALL(Dong11,ROWS($1:14)),),0))</f>
        <v>0</v>
      </c>
      <c r="H27" s="195">
        <f t="shared" ca="1" si="6"/>
        <v>0</v>
      </c>
      <c r="I27" s="194">
        <f ca="1">IF(ROWS($1:14)&gt;COUNT(Dong11),0,IF(MID(OFFSET(TH!D$1,SMALL(Dong11,ROWS($1:14)),),4,1)="X",OFFSET(TH!I$1,SMALL(Dong11,ROWS($1:14)),),0))</f>
        <v>17</v>
      </c>
      <c r="J27" s="195">
        <f t="shared" ca="1" si="7"/>
        <v>75633</v>
      </c>
      <c r="K27" s="195">
        <f t="shared" ca="1" si="8"/>
        <v>1847</v>
      </c>
      <c r="L27" s="195">
        <f t="shared" ca="1" si="9"/>
        <v>8217303</v>
      </c>
      <c r="M27" s="195"/>
      <c r="N27" s="185"/>
    </row>
    <row r="28" spans="1:16" s="167" customFormat="1" ht="15">
      <c r="A28" s="577">
        <f t="shared" ca="1" si="5"/>
        <v>15</v>
      </c>
      <c r="B28" s="191" t="str">
        <f ca="1">IF(ROWS($1:15)&gt;COUNT(Dong11),"",OFFSET(TH!D$1,SMALL(Dong11,ROWS($1:15)),))</f>
        <v>NL/X09</v>
      </c>
      <c r="C28" s="192">
        <f ca="1">IF(ROWS($1:15)&gt;COUNT(Dong11),"",OFFSET(TH!E$1,SMALL(Dong11,ROWS($1:15)),))</f>
        <v>40690</v>
      </c>
      <c r="D28" s="193" t="str">
        <f ca="1">IF(ROWS($1:15)&gt;COUNT(Dong11),"",OFFSET(TH!H$1,SMALL(Dong11,ROWS($1:15)),))</f>
        <v>Bộ phận SX</v>
      </c>
      <c r="E28" s="191" t="str">
        <f ca="1">IF(ROWS($1:15)&gt;COUNT(Dong11),"",IF(OFFSET(TH!L$1,SMALL(Dong11,ROWS($1:15)),)=$G$7,OFFSET(TH!M$1,SMALL(Dong11,ROWS($1:15)),),OFFSET(TH!L$1,SMALL(Dong11,ROWS($1:15)),)))</f>
        <v>154</v>
      </c>
      <c r="F28" s="194">
        <f ca="1">IF(ROWS($1:15)&gt;COUNT(Dong11),0,OFFSET(TH!J$1,SMALL(Dong11,ROWS($1:15)),))</f>
        <v>4449</v>
      </c>
      <c r="G28" s="194">
        <f ca="1">IF(ROWS($1:15)&gt;COUNT(Dong11),0,IF(MID(OFFSET(TH!D$1,SMALL(Dong11,ROWS($1:15)),),4,1)="N",OFFSET(TH!I$1,SMALL(Dong11,ROWS($1:15)),),0))</f>
        <v>0</v>
      </c>
      <c r="H28" s="195">
        <f t="shared" ca="1" si="6"/>
        <v>0</v>
      </c>
      <c r="I28" s="194">
        <f ca="1">IF(ROWS($1:15)&gt;COUNT(Dong11),0,IF(MID(OFFSET(TH!D$1,SMALL(Dong11,ROWS($1:15)),),4,1)="X",OFFSET(TH!I$1,SMALL(Dong11,ROWS($1:15)),),0))</f>
        <v>70</v>
      </c>
      <c r="J28" s="195">
        <f t="shared" ca="1" si="7"/>
        <v>311430</v>
      </c>
      <c r="K28" s="195">
        <f t="shared" ca="1" si="8"/>
        <v>1777</v>
      </c>
      <c r="L28" s="195">
        <f t="shared" ca="1" si="9"/>
        <v>7905873</v>
      </c>
      <c r="M28" s="195"/>
      <c r="N28" s="185"/>
    </row>
    <row r="29" spans="1:16" s="167" customFormat="1" ht="15">
      <c r="A29" s="577">
        <f t="shared" ca="1" si="5"/>
        <v>16</v>
      </c>
      <c r="B29" s="191" t="str">
        <f ca="1">IF(ROWS($1:16)&gt;COUNT(Dong11),"",OFFSET(TH!D$1,SMALL(Dong11,ROWS($1:16)),))</f>
        <v>NL/X10</v>
      </c>
      <c r="C29" s="192">
        <f ca="1">IF(ROWS($1:16)&gt;COUNT(Dong11),"",OFFSET(TH!E$1,SMALL(Dong11,ROWS($1:16)),))</f>
        <v>40692</v>
      </c>
      <c r="D29" s="193" t="str">
        <f ca="1">IF(ROWS($1:16)&gt;COUNT(Dong11),"",OFFSET(TH!H$1,SMALL(Dong11,ROWS($1:16)),))</f>
        <v>Bộ phận SX</v>
      </c>
      <c r="E29" s="191" t="str">
        <f ca="1">IF(ROWS($1:16)&gt;COUNT(Dong11),"",IF(OFFSET(TH!L$1,SMALL(Dong11,ROWS($1:16)),)=$G$7,OFFSET(TH!M$1,SMALL(Dong11,ROWS($1:16)),),OFFSET(TH!L$1,SMALL(Dong11,ROWS($1:16)),)))</f>
        <v>154</v>
      </c>
      <c r="F29" s="194">
        <f ca="1">IF(ROWS($1:16)&gt;COUNT(Dong11),0,OFFSET(TH!J$1,SMALL(Dong11,ROWS($1:16)),))</f>
        <v>4449</v>
      </c>
      <c r="G29" s="194">
        <f ca="1">IF(ROWS($1:16)&gt;COUNT(Dong11),0,IF(MID(OFFSET(TH!D$1,SMALL(Dong11,ROWS($1:16)),),4,1)="N",OFFSET(TH!I$1,SMALL(Dong11,ROWS($1:16)),),0))</f>
        <v>0</v>
      </c>
      <c r="H29" s="195">
        <f t="shared" ca="1" si="6"/>
        <v>0</v>
      </c>
      <c r="I29" s="194">
        <f ca="1">IF(ROWS($1:16)&gt;COUNT(Dong11),0,IF(MID(OFFSET(TH!D$1,SMALL(Dong11,ROWS($1:16)),),4,1)="X",OFFSET(TH!I$1,SMALL(Dong11,ROWS($1:16)),),0))</f>
        <v>303</v>
      </c>
      <c r="J29" s="195">
        <f t="shared" ca="1" si="7"/>
        <v>1348047</v>
      </c>
      <c r="K29" s="195">
        <f t="shared" ca="1" si="8"/>
        <v>1474</v>
      </c>
      <c r="L29" s="195">
        <f t="shared" ca="1" si="9"/>
        <v>6557826</v>
      </c>
      <c r="M29" s="195"/>
      <c r="N29" s="185"/>
    </row>
    <row r="30" spans="1:16" s="167" customFormat="1" ht="15">
      <c r="A30" s="577">
        <f t="shared" ca="1" si="5"/>
        <v>17</v>
      </c>
      <c r="B30" s="191" t="str">
        <f ca="1">IF(ROWS($1:17)&gt;COUNT(Dong11),"",OFFSET(TH!D$1,SMALL(Dong11,ROWS($1:17)),))</f>
        <v>NL/X12</v>
      </c>
      <c r="C30" s="192">
        <f ca="1">IF(ROWS($1:17)&gt;COUNT(Dong11),"",OFFSET(TH!E$1,SMALL(Dong11,ROWS($1:17)),))</f>
        <v>40702</v>
      </c>
      <c r="D30" s="193" t="str">
        <f ca="1">IF(ROWS($1:17)&gt;COUNT(Dong11),"",OFFSET(TH!H$1,SMALL(Dong11,ROWS($1:17)),))</f>
        <v>Bộ phận SX</v>
      </c>
      <c r="E30" s="191" t="str">
        <f ca="1">IF(ROWS($1:17)&gt;COUNT(Dong11),"",IF(OFFSET(TH!L$1,SMALL(Dong11,ROWS($1:17)),)=$G$7,OFFSET(TH!M$1,SMALL(Dong11,ROWS($1:17)),),OFFSET(TH!L$1,SMALL(Dong11,ROWS($1:17)),)))</f>
        <v>154</v>
      </c>
      <c r="F30" s="194">
        <f ca="1">IF(ROWS($1:17)&gt;COUNT(Dong11),0,OFFSET(TH!J$1,SMALL(Dong11,ROWS($1:17)),))</f>
        <v>4449</v>
      </c>
      <c r="G30" s="194">
        <f ca="1">IF(ROWS($1:17)&gt;COUNT(Dong11),0,IF(MID(OFFSET(TH!D$1,SMALL(Dong11,ROWS($1:17)),),4,1)="N",OFFSET(TH!I$1,SMALL(Dong11,ROWS($1:17)),),0))</f>
        <v>0</v>
      </c>
      <c r="H30" s="195">
        <f t="shared" ca="1" si="6"/>
        <v>0</v>
      </c>
      <c r="I30" s="194">
        <f ca="1">IF(ROWS($1:17)&gt;COUNT(Dong11),0,IF(MID(OFFSET(TH!D$1,SMALL(Dong11,ROWS($1:17)),),4,1)="X",OFFSET(TH!I$1,SMALL(Dong11,ROWS($1:17)),),0))</f>
        <v>1</v>
      </c>
      <c r="J30" s="195">
        <f t="shared" ca="1" si="7"/>
        <v>4449</v>
      </c>
      <c r="K30" s="195">
        <f t="shared" ca="1" si="8"/>
        <v>1473</v>
      </c>
      <c r="L30" s="195">
        <f t="shared" ca="1" si="9"/>
        <v>6553377</v>
      </c>
      <c r="M30" s="195"/>
      <c r="N30" s="185"/>
    </row>
    <row r="31" spans="1:16" s="167" customFormat="1" ht="15">
      <c r="A31" s="577">
        <f t="shared" ca="1" si="5"/>
        <v>18</v>
      </c>
      <c r="B31" s="191" t="str">
        <f ca="1">IF(ROWS($1:18)&gt;COUNT(Dong11),"",OFFSET(TH!D$1,SMALL(Dong11,ROWS($1:18)),))</f>
        <v>NL/X14</v>
      </c>
      <c r="C31" s="192">
        <f ca="1">IF(ROWS($1:18)&gt;COUNT(Dong11),"",OFFSET(TH!E$1,SMALL(Dong11,ROWS($1:18)),))</f>
        <v>40710</v>
      </c>
      <c r="D31" s="193" t="str">
        <f ca="1">IF(ROWS($1:18)&gt;COUNT(Dong11),"",OFFSET(TH!H$1,SMALL(Dong11,ROWS($1:18)),))</f>
        <v>Bộ phận SX</v>
      </c>
      <c r="E31" s="191" t="str">
        <f ca="1">IF(ROWS($1:18)&gt;COUNT(Dong11),"",IF(OFFSET(TH!L$1,SMALL(Dong11,ROWS($1:18)),)=$G$7,OFFSET(TH!M$1,SMALL(Dong11,ROWS($1:18)),),OFFSET(TH!L$1,SMALL(Dong11,ROWS($1:18)),)))</f>
        <v>154</v>
      </c>
      <c r="F31" s="194">
        <f ca="1">IF(ROWS($1:18)&gt;COUNT(Dong11),0,OFFSET(TH!J$1,SMALL(Dong11,ROWS($1:18)),))</f>
        <v>4449</v>
      </c>
      <c r="G31" s="194">
        <f ca="1">IF(ROWS($1:18)&gt;COUNT(Dong11),0,IF(MID(OFFSET(TH!D$1,SMALL(Dong11,ROWS($1:18)),),4,1)="N",OFFSET(TH!I$1,SMALL(Dong11,ROWS($1:18)),),0))</f>
        <v>0</v>
      </c>
      <c r="H31" s="195">
        <f t="shared" ca="1" si="6"/>
        <v>0</v>
      </c>
      <c r="I31" s="194">
        <f ca="1">IF(ROWS($1:18)&gt;COUNT(Dong11),0,IF(MID(OFFSET(TH!D$1,SMALL(Dong11,ROWS($1:18)),),4,1)="X",OFFSET(TH!I$1,SMALL(Dong11,ROWS($1:18)),),0))</f>
        <v>1</v>
      </c>
      <c r="J31" s="195">
        <f t="shared" ca="1" si="7"/>
        <v>4449</v>
      </c>
      <c r="K31" s="195">
        <f t="shared" ca="1" si="8"/>
        <v>1472</v>
      </c>
      <c r="L31" s="195">
        <f t="shared" ca="1" si="9"/>
        <v>6548928</v>
      </c>
      <c r="M31" s="195"/>
      <c r="N31" s="185"/>
    </row>
    <row r="32" spans="1:16" s="167" customFormat="1" ht="15">
      <c r="A32" s="577">
        <f t="shared" ca="1" si="5"/>
        <v>19</v>
      </c>
      <c r="B32" s="191" t="str">
        <f ca="1">IF(ROWS($1:19)&gt;COUNT(Dong11),"",OFFSET(TH!D$1,SMALL(Dong11,ROWS($1:19)),))</f>
        <v>NL/X15</v>
      </c>
      <c r="C32" s="192">
        <f ca="1">IF(ROWS($1:19)&gt;COUNT(Dong11),"",OFFSET(TH!E$1,SMALL(Dong11,ROWS($1:19)),))</f>
        <v>40713</v>
      </c>
      <c r="D32" s="193" t="str">
        <f ca="1">IF(ROWS($1:19)&gt;COUNT(Dong11),"",OFFSET(TH!H$1,SMALL(Dong11,ROWS($1:19)),))</f>
        <v>Bộ phận SX</v>
      </c>
      <c r="E32" s="191" t="str">
        <f ca="1">IF(ROWS($1:19)&gt;COUNT(Dong11),"",IF(OFFSET(TH!L$1,SMALL(Dong11,ROWS($1:19)),)=$G$7,OFFSET(TH!M$1,SMALL(Dong11,ROWS($1:19)),),OFFSET(TH!L$1,SMALL(Dong11,ROWS($1:19)),)))</f>
        <v>154</v>
      </c>
      <c r="F32" s="194">
        <f ca="1">IF(ROWS($1:19)&gt;COUNT(Dong11),0,OFFSET(TH!J$1,SMALL(Dong11,ROWS($1:19)),))</f>
        <v>4449</v>
      </c>
      <c r="G32" s="194">
        <f ca="1">IF(ROWS($1:19)&gt;COUNT(Dong11),0,IF(MID(OFFSET(TH!D$1,SMALL(Dong11,ROWS($1:19)),),4,1)="N",OFFSET(TH!I$1,SMALL(Dong11,ROWS($1:19)),),0))</f>
        <v>0</v>
      </c>
      <c r="H32" s="195">
        <f t="shared" ca="1" si="6"/>
        <v>0</v>
      </c>
      <c r="I32" s="194">
        <f ca="1">IF(ROWS($1:19)&gt;COUNT(Dong11),0,IF(MID(OFFSET(TH!D$1,SMALL(Dong11,ROWS($1:19)),),4,1)="X",OFFSET(TH!I$1,SMALL(Dong11,ROWS($1:19)),),0))</f>
        <v>2</v>
      </c>
      <c r="J32" s="195">
        <f t="shared" ca="1" si="7"/>
        <v>8898</v>
      </c>
      <c r="K32" s="195">
        <f t="shared" ca="1" si="8"/>
        <v>1470</v>
      </c>
      <c r="L32" s="195">
        <f t="shared" ca="1" si="9"/>
        <v>6540030</v>
      </c>
      <c r="M32" s="195"/>
      <c r="N32" s="185"/>
    </row>
    <row r="33" spans="1:14" s="167" customFormat="1" ht="15">
      <c r="A33" s="577">
        <f t="shared" ca="1" si="5"/>
        <v>20</v>
      </c>
      <c r="B33" s="191" t="str">
        <f ca="1">IF(ROWS($1:20)&gt;COUNT(Dong11),"",OFFSET(TH!D$1,SMALL(Dong11,ROWS($1:20)),))</f>
        <v>NL/X15</v>
      </c>
      <c r="C33" s="192">
        <f ca="1">IF(ROWS($1:20)&gt;COUNT(Dong11),"",OFFSET(TH!E$1,SMALL(Dong11,ROWS($1:20)),))</f>
        <v>40713</v>
      </c>
      <c r="D33" s="193" t="str">
        <f ca="1">IF(ROWS($1:20)&gt;COUNT(Dong11),"",OFFSET(TH!H$1,SMALL(Dong11,ROWS($1:20)),))</f>
        <v>Bộ phận SX</v>
      </c>
      <c r="E33" s="191" t="str">
        <f ca="1">IF(ROWS($1:20)&gt;COUNT(Dong11),"",IF(OFFSET(TH!L$1,SMALL(Dong11,ROWS($1:20)),)=$G$7,OFFSET(TH!M$1,SMALL(Dong11,ROWS($1:20)),),OFFSET(TH!L$1,SMALL(Dong11,ROWS($1:20)),)))</f>
        <v>154</v>
      </c>
      <c r="F33" s="194">
        <f ca="1">IF(ROWS($1:20)&gt;COUNT(Dong11),0,OFFSET(TH!J$1,SMALL(Dong11,ROWS($1:20)),))</f>
        <v>4449</v>
      </c>
      <c r="G33" s="194">
        <f ca="1">IF(ROWS($1:20)&gt;COUNT(Dong11),0,IF(MID(OFFSET(TH!D$1,SMALL(Dong11,ROWS($1:20)),),4,1)="N",OFFSET(TH!I$1,SMALL(Dong11,ROWS($1:20)),),0))</f>
        <v>0</v>
      </c>
      <c r="H33" s="195">
        <f t="shared" ca="1" si="6"/>
        <v>0</v>
      </c>
      <c r="I33" s="194">
        <f ca="1">IF(ROWS($1:20)&gt;COUNT(Dong11),0,IF(MID(OFFSET(TH!D$1,SMALL(Dong11,ROWS($1:20)),),4,1)="X",OFFSET(TH!I$1,SMALL(Dong11,ROWS($1:20)),),0))</f>
        <v>240</v>
      </c>
      <c r="J33" s="195">
        <f t="shared" ca="1" si="7"/>
        <v>1067760</v>
      </c>
      <c r="K33" s="195">
        <f t="shared" ca="1" si="8"/>
        <v>1230</v>
      </c>
      <c r="L33" s="195">
        <f t="shared" ca="1" si="9"/>
        <v>5472270</v>
      </c>
      <c r="M33" s="195"/>
      <c r="N33" s="185"/>
    </row>
    <row r="34" spans="1:14" s="167" customFormat="1" ht="15">
      <c r="A34" s="577">
        <f t="shared" ca="1" si="5"/>
        <v>21</v>
      </c>
      <c r="B34" s="191" t="str">
        <f ca="1">IF(ROWS($1:21)&gt;COUNT(Dong11),"",OFFSET(TH!D$1,SMALL(Dong11,ROWS($1:21)),))</f>
        <v>NL/X15</v>
      </c>
      <c r="C34" s="192">
        <f ca="1">IF(ROWS($1:21)&gt;COUNT(Dong11),"",OFFSET(TH!E$1,SMALL(Dong11,ROWS($1:21)),))</f>
        <v>40713</v>
      </c>
      <c r="D34" s="193" t="str">
        <f ca="1">IF(ROWS($1:21)&gt;COUNT(Dong11),"",OFFSET(TH!H$1,SMALL(Dong11,ROWS($1:21)),))</f>
        <v>Bộ phận SX</v>
      </c>
      <c r="E34" s="191" t="str">
        <f ca="1">IF(ROWS($1:21)&gt;COUNT(Dong11),"",IF(OFFSET(TH!L$1,SMALL(Dong11,ROWS($1:21)),)=$G$7,OFFSET(TH!M$1,SMALL(Dong11,ROWS($1:21)),),OFFSET(TH!L$1,SMALL(Dong11,ROWS($1:21)),)))</f>
        <v>154</v>
      </c>
      <c r="F34" s="194">
        <f ca="1">IF(ROWS($1:21)&gt;COUNT(Dong11),0,OFFSET(TH!J$1,SMALL(Dong11,ROWS($1:21)),))</f>
        <v>4449</v>
      </c>
      <c r="G34" s="194">
        <f ca="1">IF(ROWS($1:21)&gt;COUNT(Dong11),0,IF(MID(OFFSET(TH!D$1,SMALL(Dong11,ROWS($1:21)),),4,1)="N",OFFSET(TH!I$1,SMALL(Dong11,ROWS($1:21)),),0))</f>
        <v>0</v>
      </c>
      <c r="H34" s="195">
        <f t="shared" ca="1" si="6"/>
        <v>0</v>
      </c>
      <c r="I34" s="194">
        <f ca="1">IF(ROWS($1:21)&gt;COUNT(Dong11),0,IF(MID(OFFSET(TH!D$1,SMALL(Dong11,ROWS($1:21)),),4,1)="X",OFFSET(TH!I$1,SMALL(Dong11,ROWS($1:21)),),0))</f>
        <v>42.5</v>
      </c>
      <c r="J34" s="195">
        <f t="shared" ca="1" si="7"/>
        <v>189083</v>
      </c>
      <c r="K34" s="195">
        <f t="shared" ca="1" si="8"/>
        <v>1187.5</v>
      </c>
      <c r="L34" s="195">
        <f t="shared" ca="1" si="9"/>
        <v>5283187</v>
      </c>
      <c r="M34" s="195"/>
      <c r="N34" s="185"/>
    </row>
    <row r="35" spans="1:14" s="167" customFormat="1" ht="15">
      <c r="A35" s="577">
        <f t="shared" ca="1" si="5"/>
        <v>22</v>
      </c>
      <c r="B35" s="191" t="str">
        <f ca="1">IF(ROWS($1:22)&gt;COUNT(Dong11),"",OFFSET(TH!D$1,SMALL(Dong11,ROWS($1:22)),))</f>
        <v>NL/X16</v>
      </c>
      <c r="C35" s="192">
        <f ca="1">IF(ROWS($1:22)&gt;COUNT(Dong11),"",OFFSET(TH!E$1,SMALL(Dong11,ROWS($1:22)),))</f>
        <v>40714</v>
      </c>
      <c r="D35" s="193" t="str">
        <f ca="1">IF(ROWS($1:22)&gt;COUNT(Dong11),"",OFFSET(TH!H$1,SMALL(Dong11,ROWS($1:22)),))</f>
        <v>Bộ phận SX</v>
      </c>
      <c r="E35" s="191" t="str">
        <f ca="1">IF(ROWS($1:22)&gt;COUNT(Dong11),"",IF(OFFSET(TH!L$1,SMALL(Dong11,ROWS($1:22)),)=$G$7,OFFSET(TH!M$1,SMALL(Dong11,ROWS($1:22)),),OFFSET(TH!L$1,SMALL(Dong11,ROWS($1:22)),)))</f>
        <v>154</v>
      </c>
      <c r="F35" s="194">
        <f ca="1">IF(ROWS($1:22)&gt;COUNT(Dong11),0,OFFSET(TH!J$1,SMALL(Dong11,ROWS($1:22)),))</f>
        <v>4449</v>
      </c>
      <c r="G35" s="194">
        <f ca="1">IF(ROWS($1:22)&gt;COUNT(Dong11),0,IF(MID(OFFSET(TH!D$1,SMALL(Dong11,ROWS($1:22)),),4,1)="N",OFFSET(TH!I$1,SMALL(Dong11,ROWS($1:22)),),0))</f>
        <v>0</v>
      </c>
      <c r="H35" s="195">
        <f t="shared" ca="1" si="6"/>
        <v>0</v>
      </c>
      <c r="I35" s="194">
        <f ca="1">IF(ROWS($1:22)&gt;COUNT(Dong11),0,IF(MID(OFFSET(TH!D$1,SMALL(Dong11,ROWS($1:22)),),4,1)="X",OFFSET(TH!I$1,SMALL(Dong11,ROWS($1:22)),),0))</f>
        <v>22.5</v>
      </c>
      <c r="J35" s="195">
        <f t="shared" ca="1" si="7"/>
        <v>100103</v>
      </c>
      <c r="K35" s="195">
        <f t="shared" ca="1" si="8"/>
        <v>1165</v>
      </c>
      <c r="L35" s="195">
        <f t="shared" ca="1" si="9"/>
        <v>5183084</v>
      </c>
      <c r="M35" s="195"/>
      <c r="N35" s="185"/>
    </row>
    <row r="36" spans="1:14" s="167" customFormat="1" ht="15">
      <c r="A36" s="577">
        <f t="shared" ca="1" si="5"/>
        <v>23</v>
      </c>
      <c r="B36" s="191" t="str">
        <f ca="1">IF(ROWS($1:23)&gt;COUNT(Dong11),"",OFFSET(TH!D$1,SMALL(Dong11,ROWS($1:23)),))</f>
        <v>NL/X16</v>
      </c>
      <c r="C36" s="192">
        <f ca="1">IF(ROWS($1:23)&gt;COUNT(Dong11),"",OFFSET(TH!E$1,SMALL(Dong11,ROWS($1:23)),))</f>
        <v>40714</v>
      </c>
      <c r="D36" s="193" t="str">
        <f ca="1">IF(ROWS($1:23)&gt;COUNT(Dong11),"",OFFSET(TH!H$1,SMALL(Dong11,ROWS($1:23)),))</f>
        <v>Bộ phận SX</v>
      </c>
      <c r="E36" s="191" t="str">
        <f ca="1">IF(ROWS($1:23)&gt;COUNT(Dong11),"",IF(OFFSET(TH!L$1,SMALL(Dong11,ROWS($1:23)),)=$G$7,OFFSET(TH!M$1,SMALL(Dong11,ROWS($1:23)),),OFFSET(TH!L$1,SMALL(Dong11,ROWS($1:23)),)))</f>
        <v>154</v>
      </c>
      <c r="F36" s="194">
        <f ca="1">IF(ROWS($1:23)&gt;COUNT(Dong11),0,OFFSET(TH!J$1,SMALL(Dong11,ROWS($1:23)),))</f>
        <v>4449</v>
      </c>
      <c r="G36" s="194">
        <f ca="1">IF(ROWS($1:23)&gt;COUNT(Dong11),0,IF(MID(OFFSET(TH!D$1,SMALL(Dong11,ROWS($1:23)),),4,1)="N",OFFSET(TH!I$1,SMALL(Dong11,ROWS($1:23)),),0))</f>
        <v>0</v>
      </c>
      <c r="H36" s="195">
        <f t="shared" ca="1" si="6"/>
        <v>0</v>
      </c>
      <c r="I36" s="194">
        <f ca="1">IF(ROWS($1:23)&gt;COUNT(Dong11),0,IF(MID(OFFSET(TH!D$1,SMALL(Dong11,ROWS($1:23)),),4,1)="X",OFFSET(TH!I$1,SMALL(Dong11,ROWS($1:23)),),0))</f>
        <v>41</v>
      </c>
      <c r="J36" s="195">
        <f t="shared" ca="1" si="7"/>
        <v>182409</v>
      </c>
      <c r="K36" s="195">
        <f t="shared" ca="1" si="8"/>
        <v>1124</v>
      </c>
      <c r="L36" s="195">
        <f t="shared" ca="1" si="9"/>
        <v>5000675</v>
      </c>
      <c r="M36" s="195"/>
      <c r="N36" s="185"/>
    </row>
    <row r="37" spans="1:14" s="167" customFormat="1" ht="15">
      <c r="A37" s="577">
        <f t="shared" ca="1" si="5"/>
        <v>24</v>
      </c>
      <c r="B37" s="191" t="str">
        <f ca="1">IF(ROWS($1:24)&gt;COUNT(Dong11),"",OFFSET(TH!D$1,SMALL(Dong11,ROWS($1:24)),))</f>
        <v>NL/X16</v>
      </c>
      <c r="C37" s="192">
        <f ca="1">IF(ROWS($1:24)&gt;COUNT(Dong11),"",OFFSET(TH!E$1,SMALL(Dong11,ROWS($1:24)),))</f>
        <v>40714</v>
      </c>
      <c r="D37" s="193" t="str">
        <f ca="1">IF(ROWS($1:24)&gt;COUNT(Dong11),"",OFFSET(TH!H$1,SMALL(Dong11,ROWS($1:24)),))</f>
        <v>Bộ phận SX</v>
      </c>
      <c r="E37" s="191" t="str">
        <f ca="1">IF(ROWS($1:24)&gt;COUNT(Dong11),"",IF(OFFSET(TH!L$1,SMALL(Dong11,ROWS($1:24)),)=$G$7,OFFSET(TH!M$1,SMALL(Dong11,ROWS($1:24)),),OFFSET(TH!L$1,SMALL(Dong11,ROWS($1:24)),)))</f>
        <v>154</v>
      </c>
      <c r="F37" s="194">
        <f ca="1">IF(ROWS($1:24)&gt;COUNT(Dong11),0,OFFSET(TH!J$1,SMALL(Dong11,ROWS($1:24)),))</f>
        <v>4449</v>
      </c>
      <c r="G37" s="194">
        <f ca="1">IF(ROWS($1:24)&gt;COUNT(Dong11),0,IF(MID(OFFSET(TH!D$1,SMALL(Dong11,ROWS($1:24)),),4,1)="N",OFFSET(TH!I$1,SMALL(Dong11,ROWS($1:24)),),0))</f>
        <v>0</v>
      </c>
      <c r="H37" s="195">
        <f t="shared" ca="1" si="6"/>
        <v>0</v>
      </c>
      <c r="I37" s="194">
        <f ca="1">IF(ROWS($1:24)&gt;COUNT(Dong11),0,IF(MID(OFFSET(TH!D$1,SMALL(Dong11,ROWS($1:24)),),4,1)="X",OFFSET(TH!I$1,SMALL(Dong11,ROWS($1:24)),),0))</f>
        <v>210</v>
      </c>
      <c r="J37" s="195">
        <f t="shared" ca="1" si="7"/>
        <v>934290</v>
      </c>
      <c r="K37" s="195">
        <f t="shared" ca="1" si="8"/>
        <v>914</v>
      </c>
      <c r="L37" s="195">
        <f t="shared" ca="1" si="9"/>
        <v>4066385</v>
      </c>
      <c r="M37" s="195"/>
      <c r="N37" s="185"/>
    </row>
    <row r="38" spans="1:14" s="167" customFormat="1" ht="15">
      <c r="A38" s="577">
        <f t="shared" ca="1" si="5"/>
        <v>25</v>
      </c>
      <c r="B38" s="191" t="str">
        <f ca="1">IF(ROWS($1:25)&gt;COUNT(Dong11),"",OFFSET(TH!D$1,SMALL(Dong11,ROWS($1:25)),))</f>
        <v>NL/X16</v>
      </c>
      <c r="C38" s="192">
        <f ca="1">IF(ROWS($1:25)&gt;COUNT(Dong11),"",OFFSET(TH!E$1,SMALL(Dong11,ROWS($1:25)),))</f>
        <v>40714</v>
      </c>
      <c r="D38" s="193" t="str">
        <f ca="1">IF(ROWS($1:25)&gt;COUNT(Dong11),"",OFFSET(TH!H$1,SMALL(Dong11,ROWS($1:25)),))</f>
        <v>Bộ phận SX</v>
      </c>
      <c r="E38" s="191" t="str">
        <f ca="1">IF(ROWS($1:25)&gt;COUNT(Dong11),"",IF(OFFSET(TH!L$1,SMALL(Dong11,ROWS($1:25)),)=$G$7,OFFSET(TH!M$1,SMALL(Dong11,ROWS($1:25)),),OFFSET(TH!L$1,SMALL(Dong11,ROWS($1:25)),)))</f>
        <v>154</v>
      </c>
      <c r="F38" s="194">
        <f ca="1">IF(ROWS($1:25)&gt;COUNT(Dong11),0,OFFSET(TH!J$1,SMALL(Dong11,ROWS($1:25)),))</f>
        <v>4449</v>
      </c>
      <c r="G38" s="194">
        <f ca="1">IF(ROWS($1:25)&gt;COUNT(Dong11),0,IF(MID(OFFSET(TH!D$1,SMALL(Dong11,ROWS($1:25)),),4,1)="N",OFFSET(TH!I$1,SMALL(Dong11,ROWS($1:25)),),0))</f>
        <v>0</v>
      </c>
      <c r="H38" s="195">
        <f t="shared" ca="1" si="6"/>
        <v>0</v>
      </c>
      <c r="I38" s="194">
        <f ca="1">IF(ROWS($1:25)&gt;COUNT(Dong11),0,IF(MID(OFFSET(TH!D$1,SMALL(Dong11,ROWS($1:25)),),4,1)="X",OFFSET(TH!I$1,SMALL(Dong11,ROWS($1:25)),),0))</f>
        <v>211</v>
      </c>
      <c r="J38" s="195">
        <f t="shared" ca="1" si="7"/>
        <v>938739</v>
      </c>
      <c r="K38" s="195">
        <f t="shared" ca="1" si="8"/>
        <v>703</v>
      </c>
      <c r="L38" s="195">
        <f t="shared" ca="1" si="9"/>
        <v>3127646</v>
      </c>
      <c r="M38" s="195"/>
      <c r="N38" s="185"/>
    </row>
    <row r="39" spans="1:14" s="167" customFormat="1" ht="15">
      <c r="A39" s="577">
        <f t="shared" ref="A39:A62" ca="1" si="10">IF(B39="","",A38+1)</f>
        <v>26</v>
      </c>
      <c r="B39" s="191" t="str">
        <f ca="1">IF(ROWS($1:26)&gt;COUNT(Dong11),"",OFFSET(TH!D$1,SMALL(Dong11,ROWS($1:26)),))</f>
        <v>NL/X18</v>
      </c>
      <c r="C39" s="192">
        <f ca="1">IF(ROWS($1:26)&gt;COUNT(Dong11),"",OFFSET(TH!E$1,SMALL(Dong11,ROWS($1:26)),))</f>
        <v>40719</v>
      </c>
      <c r="D39" s="193" t="str">
        <f ca="1">IF(ROWS($1:26)&gt;COUNT(Dong11),"",OFFSET(TH!H$1,SMALL(Dong11,ROWS($1:26)),))</f>
        <v>Bộ phận SX</v>
      </c>
      <c r="E39" s="191" t="str">
        <f ca="1">IF(ROWS($1:26)&gt;COUNT(Dong11),"",IF(OFFSET(TH!L$1,SMALL(Dong11,ROWS($1:26)),)=$G$7,OFFSET(TH!M$1,SMALL(Dong11,ROWS($1:26)),),OFFSET(TH!L$1,SMALL(Dong11,ROWS($1:26)),)))</f>
        <v>154</v>
      </c>
      <c r="F39" s="194">
        <f ca="1">IF(ROWS($1:26)&gt;COUNT(Dong11),0,OFFSET(TH!J$1,SMALL(Dong11,ROWS($1:26)),))</f>
        <v>4449</v>
      </c>
      <c r="G39" s="194">
        <f ca="1">IF(ROWS($1:26)&gt;COUNT(Dong11),0,IF(MID(OFFSET(TH!D$1,SMALL(Dong11,ROWS($1:26)),),4,1)="N",OFFSET(TH!I$1,SMALL(Dong11,ROWS($1:26)),),0))</f>
        <v>0</v>
      </c>
      <c r="H39" s="195">
        <f t="shared" ref="H39:H62" ca="1" si="11">ROUND(F39*G39,0)</f>
        <v>0</v>
      </c>
      <c r="I39" s="194">
        <f ca="1">IF(ROWS($1:26)&gt;COUNT(Dong11),0,IF(MID(OFFSET(TH!D$1,SMALL(Dong11,ROWS($1:26)),),4,1)="X",OFFSET(TH!I$1,SMALL(Dong11,ROWS($1:26)),),0))</f>
        <v>35</v>
      </c>
      <c r="J39" s="195">
        <f t="shared" ref="J39:J62" ca="1" si="12">ROUND(F39*I39,0)</f>
        <v>155715</v>
      </c>
      <c r="K39" s="195">
        <f t="shared" ref="K39:K62" ca="1" si="13">IF(D39&lt;&gt;"",K38+G39-I39,0)</f>
        <v>668</v>
      </c>
      <c r="L39" s="195">
        <f t="shared" ref="L39:L62" ca="1" si="14">IF(D39&lt;&gt;"",L38+H39-J39,0)</f>
        <v>2971931</v>
      </c>
      <c r="M39" s="195"/>
      <c r="N39" s="185"/>
    </row>
    <row r="40" spans="1:14" s="167" customFormat="1" ht="15">
      <c r="A40" s="577">
        <f t="shared" ca="1" si="10"/>
        <v>27</v>
      </c>
      <c r="B40" s="191" t="str">
        <f ca="1">IF(ROWS($1:27)&gt;COUNT(Dong11),"",OFFSET(TH!D$1,SMALL(Dong11,ROWS($1:27)),))</f>
        <v>NL/X01</v>
      </c>
      <c r="C40" s="192">
        <f ca="1">IF(ROWS($1:27)&gt;COUNT(Dong11),"",OFFSET(TH!E$1,SMALL(Dong11,ROWS($1:27)),))</f>
        <v>40729</v>
      </c>
      <c r="D40" s="193" t="str">
        <f ca="1">IF(ROWS($1:27)&gt;COUNT(Dong11),"",OFFSET(TH!H$1,SMALL(Dong11,ROWS($1:27)),))</f>
        <v>Bộ phận SX</v>
      </c>
      <c r="E40" s="191" t="str">
        <f ca="1">IF(ROWS($1:27)&gt;COUNT(Dong11),"",IF(OFFSET(TH!L$1,SMALL(Dong11,ROWS($1:27)),)=$G$7,OFFSET(TH!M$1,SMALL(Dong11,ROWS($1:27)),),OFFSET(TH!L$1,SMALL(Dong11,ROWS($1:27)),)))</f>
        <v>154</v>
      </c>
      <c r="F40" s="194">
        <f ca="1">IF(ROWS($1:27)&gt;COUNT(Dong11),0,OFFSET(TH!J$1,SMALL(Dong11,ROWS($1:27)),))</f>
        <v>4449</v>
      </c>
      <c r="G40" s="194">
        <f ca="1">IF(ROWS($1:27)&gt;COUNT(Dong11),0,IF(MID(OFFSET(TH!D$1,SMALL(Dong11,ROWS($1:27)),),4,1)="N",OFFSET(TH!I$1,SMALL(Dong11,ROWS($1:27)),),0))</f>
        <v>0</v>
      </c>
      <c r="H40" s="195">
        <f t="shared" ca="1" si="11"/>
        <v>0</v>
      </c>
      <c r="I40" s="194">
        <f ca="1">IF(ROWS($1:27)&gt;COUNT(Dong11),0,IF(MID(OFFSET(TH!D$1,SMALL(Dong11,ROWS($1:27)),),4,1)="X",OFFSET(TH!I$1,SMALL(Dong11,ROWS($1:27)),),0))</f>
        <v>60</v>
      </c>
      <c r="J40" s="195">
        <f t="shared" ca="1" si="12"/>
        <v>266940</v>
      </c>
      <c r="K40" s="195">
        <f t="shared" ca="1" si="13"/>
        <v>608</v>
      </c>
      <c r="L40" s="195">
        <f t="shared" ca="1" si="14"/>
        <v>2704991</v>
      </c>
      <c r="M40" s="195"/>
      <c r="N40" s="185"/>
    </row>
    <row r="41" spans="1:14" s="167" customFormat="1" ht="15">
      <c r="A41" s="577">
        <f t="shared" ca="1" si="10"/>
        <v>28</v>
      </c>
      <c r="B41" s="191" t="str">
        <f ca="1">IF(ROWS($1:28)&gt;COUNT(Dong11),"",OFFSET(TH!D$1,SMALL(Dong11,ROWS($1:28)),))</f>
        <v>NL/X01</v>
      </c>
      <c r="C41" s="192">
        <f ca="1">IF(ROWS($1:28)&gt;COUNT(Dong11),"",OFFSET(TH!E$1,SMALL(Dong11,ROWS($1:28)),))</f>
        <v>40729</v>
      </c>
      <c r="D41" s="193" t="str">
        <f ca="1">IF(ROWS($1:28)&gt;COUNT(Dong11),"",OFFSET(TH!H$1,SMALL(Dong11,ROWS($1:28)),))</f>
        <v>Bộ phận SX</v>
      </c>
      <c r="E41" s="191" t="str">
        <f ca="1">IF(ROWS($1:28)&gt;COUNT(Dong11),"",IF(OFFSET(TH!L$1,SMALL(Dong11,ROWS($1:28)),)=$G$7,OFFSET(TH!M$1,SMALL(Dong11,ROWS($1:28)),),OFFSET(TH!L$1,SMALL(Dong11,ROWS($1:28)),)))</f>
        <v>154</v>
      </c>
      <c r="F41" s="194">
        <f ca="1">IF(ROWS($1:28)&gt;COUNT(Dong11),0,OFFSET(TH!J$1,SMALL(Dong11,ROWS($1:28)),))</f>
        <v>4449</v>
      </c>
      <c r="G41" s="194">
        <f ca="1">IF(ROWS($1:28)&gt;COUNT(Dong11),0,IF(MID(OFFSET(TH!D$1,SMALL(Dong11,ROWS($1:28)),),4,1)="N",OFFSET(TH!I$1,SMALL(Dong11,ROWS($1:28)),),0))</f>
        <v>0</v>
      </c>
      <c r="H41" s="195">
        <f t="shared" ca="1" si="11"/>
        <v>0</v>
      </c>
      <c r="I41" s="194">
        <f ca="1">IF(ROWS($1:28)&gt;COUNT(Dong11),0,IF(MID(OFFSET(TH!D$1,SMALL(Dong11,ROWS($1:28)),),4,1)="X",OFFSET(TH!I$1,SMALL(Dong11,ROWS($1:28)),),0))</f>
        <v>60</v>
      </c>
      <c r="J41" s="195">
        <f t="shared" ca="1" si="12"/>
        <v>266940</v>
      </c>
      <c r="K41" s="195">
        <f t="shared" ca="1" si="13"/>
        <v>548</v>
      </c>
      <c r="L41" s="195">
        <f t="shared" ca="1" si="14"/>
        <v>2438051</v>
      </c>
      <c r="M41" s="195"/>
      <c r="N41" s="185"/>
    </row>
    <row r="42" spans="1:14" s="167" customFormat="1" ht="15">
      <c r="A42" s="577">
        <f t="shared" ca="1" si="10"/>
        <v>29</v>
      </c>
      <c r="B42" s="191" t="str">
        <f ca="1">IF(ROWS($1:29)&gt;COUNT(Dong11),"",OFFSET(TH!D$1,SMALL(Dong11,ROWS($1:29)),))</f>
        <v>NL/X01</v>
      </c>
      <c r="C42" s="192">
        <f ca="1">IF(ROWS($1:29)&gt;COUNT(Dong11),"",OFFSET(TH!E$1,SMALL(Dong11,ROWS($1:29)),))</f>
        <v>40729</v>
      </c>
      <c r="D42" s="193" t="str">
        <f ca="1">IF(ROWS($1:29)&gt;COUNT(Dong11),"",OFFSET(TH!H$1,SMALL(Dong11,ROWS($1:29)),))</f>
        <v>Bộ phận SX</v>
      </c>
      <c r="E42" s="191" t="str">
        <f ca="1">IF(ROWS($1:29)&gt;COUNT(Dong11),"",IF(OFFSET(TH!L$1,SMALL(Dong11,ROWS($1:29)),)=$G$7,OFFSET(TH!M$1,SMALL(Dong11,ROWS($1:29)),),OFFSET(TH!L$1,SMALL(Dong11,ROWS($1:29)),)))</f>
        <v>154</v>
      </c>
      <c r="F42" s="194">
        <f ca="1">IF(ROWS($1:29)&gt;COUNT(Dong11),0,OFFSET(TH!J$1,SMALL(Dong11,ROWS($1:29)),))</f>
        <v>4448.97</v>
      </c>
      <c r="G42" s="194">
        <f ca="1">IF(ROWS($1:29)&gt;COUNT(Dong11),0,IF(MID(OFFSET(TH!D$1,SMALL(Dong11,ROWS($1:29)),),4,1)="N",OFFSET(TH!I$1,SMALL(Dong11,ROWS($1:29)),),0))</f>
        <v>0</v>
      </c>
      <c r="H42" s="195">
        <f t="shared" ca="1" si="11"/>
        <v>0</v>
      </c>
      <c r="I42" s="194">
        <f ca="1">IF(ROWS($1:29)&gt;COUNT(Dong11),0,IF(MID(OFFSET(TH!D$1,SMALL(Dong11,ROWS($1:29)),),4,1)="X",OFFSET(TH!I$1,SMALL(Dong11,ROWS($1:29)),),0))</f>
        <v>100</v>
      </c>
      <c r="J42" s="195">
        <f t="shared" ca="1" si="12"/>
        <v>444897</v>
      </c>
      <c r="K42" s="195">
        <f t="shared" ca="1" si="13"/>
        <v>448</v>
      </c>
      <c r="L42" s="195">
        <f t="shared" ca="1" si="14"/>
        <v>1993154</v>
      </c>
      <c r="M42" s="195"/>
      <c r="N42" s="185"/>
    </row>
    <row r="43" spans="1:14" s="167" customFormat="1" ht="15">
      <c r="A43" s="577">
        <f t="shared" ca="1" si="10"/>
        <v>30</v>
      </c>
      <c r="B43" s="191" t="str">
        <f ca="1">IF(ROWS($1:30)&gt;COUNT(Dong11),"",OFFSET(TH!D$1,SMALL(Dong11,ROWS($1:30)),))</f>
        <v>NL/X01</v>
      </c>
      <c r="C43" s="192">
        <f ca="1">IF(ROWS($1:30)&gt;COUNT(Dong11),"",OFFSET(TH!E$1,SMALL(Dong11,ROWS($1:30)),))</f>
        <v>40729</v>
      </c>
      <c r="D43" s="193" t="str">
        <f ca="1">IF(ROWS($1:30)&gt;COUNT(Dong11),"",OFFSET(TH!H$1,SMALL(Dong11,ROWS($1:30)),))</f>
        <v>Bộ phận SX</v>
      </c>
      <c r="E43" s="191" t="str">
        <f ca="1">IF(ROWS($1:30)&gt;COUNT(Dong11),"",IF(OFFSET(TH!L$1,SMALL(Dong11,ROWS($1:30)),)=$G$7,OFFSET(TH!M$1,SMALL(Dong11,ROWS($1:30)),),OFFSET(TH!L$1,SMALL(Dong11,ROWS($1:30)),)))</f>
        <v>154</v>
      </c>
      <c r="F43" s="194">
        <f ca="1">IF(ROWS($1:30)&gt;COUNT(Dong11),0,OFFSET(TH!J$1,SMALL(Dong11,ROWS($1:30)),))</f>
        <v>4449</v>
      </c>
      <c r="G43" s="194">
        <f ca="1">IF(ROWS($1:30)&gt;COUNT(Dong11),0,IF(MID(OFFSET(TH!D$1,SMALL(Dong11,ROWS($1:30)),),4,1)="N",OFFSET(TH!I$1,SMALL(Dong11,ROWS($1:30)),),0))</f>
        <v>0</v>
      </c>
      <c r="H43" s="195">
        <f t="shared" ca="1" si="11"/>
        <v>0</v>
      </c>
      <c r="I43" s="194">
        <f ca="1">IF(ROWS($1:30)&gt;COUNT(Dong11),0,IF(MID(OFFSET(TH!D$1,SMALL(Dong11,ROWS($1:30)),),4,1)="X",OFFSET(TH!I$1,SMALL(Dong11,ROWS($1:30)),),0))</f>
        <v>6</v>
      </c>
      <c r="J43" s="195">
        <f t="shared" ca="1" si="12"/>
        <v>26694</v>
      </c>
      <c r="K43" s="195">
        <f t="shared" ca="1" si="13"/>
        <v>442</v>
      </c>
      <c r="L43" s="195">
        <f t="shared" ca="1" si="14"/>
        <v>1966460</v>
      </c>
      <c r="M43" s="195"/>
      <c r="N43" s="185"/>
    </row>
    <row r="44" spans="1:14" s="167" customFormat="1" ht="15">
      <c r="A44" s="577">
        <f t="shared" ca="1" si="10"/>
        <v>31</v>
      </c>
      <c r="B44" s="191" t="str">
        <f ca="1">IF(ROWS($1:31)&gt;COUNT(Dong11),"",OFFSET(TH!D$1,SMALL(Dong11,ROWS($1:31)),))</f>
        <v>NL/X03</v>
      </c>
      <c r="C44" s="192">
        <f ca="1">IF(ROWS($1:31)&gt;COUNT(Dong11),"",OFFSET(TH!E$1,SMALL(Dong11,ROWS($1:31)),))</f>
        <v>40737</v>
      </c>
      <c r="D44" s="193" t="str">
        <f ca="1">IF(ROWS($1:31)&gt;COUNT(Dong11),"",OFFSET(TH!H$1,SMALL(Dong11,ROWS($1:31)),))</f>
        <v>Bộ phận SX</v>
      </c>
      <c r="E44" s="191" t="str">
        <f ca="1">IF(ROWS($1:31)&gt;COUNT(Dong11),"",IF(OFFSET(TH!L$1,SMALL(Dong11,ROWS($1:31)),)=$G$7,OFFSET(TH!M$1,SMALL(Dong11,ROWS($1:31)),),OFFSET(TH!L$1,SMALL(Dong11,ROWS($1:31)),)))</f>
        <v>154</v>
      </c>
      <c r="F44" s="194">
        <f ca="1">IF(ROWS($1:31)&gt;COUNT(Dong11),0,OFFSET(TH!J$1,SMALL(Dong11,ROWS($1:31)),))</f>
        <v>4449</v>
      </c>
      <c r="G44" s="194">
        <f ca="1">IF(ROWS($1:31)&gt;COUNT(Dong11),0,IF(MID(OFFSET(TH!D$1,SMALL(Dong11,ROWS($1:31)),),4,1)="N",OFFSET(TH!I$1,SMALL(Dong11,ROWS($1:31)),),0))</f>
        <v>0</v>
      </c>
      <c r="H44" s="195">
        <f t="shared" ca="1" si="11"/>
        <v>0</v>
      </c>
      <c r="I44" s="194">
        <f ca="1">IF(ROWS($1:31)&gt;COUNT(Dong11),0,IF(MID(OFFSET(TH!D$1,SMALL(Dong11,ROWS($1:31)),),4,1)="X",OFFSET(TH!I$1,SMALL(Dong11,ROWS($1:31)),),0))</f>
        <v>0.5</v>
      </c>
      <c r="J44" s="195">
        <f t="shared" ca="1" si="12"/>
        <v>2225</v>
      </c>
      <c r="K44" s="195">
        <f t="shared" ca="1" si="13"/>
        <v>441.5</v>
      </c>
      <c r="L44" s="195">
        <f t="shared" ca="1" si="14"/>
        <v>1964235</v>
      </c>
      <c r="M44" s="195"/>
      <c r="N44" s="185"/>
    </row>
    <row r="45" spans="1:14" s="167" customFormat="1" ht="15">
      <c r="A45" s="577">
        <f t="shared" ca="1" si="10"/>
        <v>32</v>
      </c>
      <c r="B45" s="191" t="str">
        <f ca="1">IF(ROWS($1:32)&gt;COUNT(Dong11),"",OFFSET(TH!D$1,SMALL(Dong11,ROWS($1:32)),))</f>
        <v>NL/X03</v>
      </c>
      <c r="C45" s="192">
        <f ca="1">IF(ROWS($1:32)&gt;COUNT(Dong11),"",OFFSET(TH!E$1,SMALL(Dong11,ROWS($1:32)),))</f>
        <v>40737</v>
      </c>
      <c r="D45" s="193" t="str">
        <f ca="1">IF(ROWS($1:32)&gt;COUNT(Dong11),"",OFFSET(TH!H$1,SMALL(Dong11,ROWS($1:32)),))</f>
        <v>Bộ phận SX</v>
      </c>
      <c r="E45" s="191" t="str">
        <f ca="1">IF(ROWS($1:32)&gt;COUNT(Dong11),"",IF(OFFSET(TH!L$1,SMALL(Dong11,ROWS($1:32)),)=$G$7,OFFSET(TH!M$1,SMALL(Dong11,ROWS($1:32)),),OFFSET(TH!L$1,SMALL(Dong11,ROWS($1:32)),)))</f>
        <v>154</v>
      </c>
      <c r="F45" s="194">
        <f ca="1">IF(ROWS($1:32)&gt;COUNT(Dong11),0,OFFSET(TH!J$1,SMALL(Dong11,ROWS($1:32)),))</f>
        <v>4449</v>
      </c>
      <c r="G45" s="194">
        <f ca="1">IF(ROWS($1:32)&gt;COUNT(Dong11),0,IF(MID(OFFSET(TH!D$1,SMALL(Dong11,ROWS($1:32)),),4,1)="N",OFFSET(TH!I$1,SMALL(Dong11,ROWS($1:32)),),0))</f>
        <v>0</v>
      </c>
      <c r="H45" s="195">
        <f t="shared" ca="1" si="11"/>
        <v>0</v>
      </c>
      <c r="I45" s="194">
        <f ca="1">IF(ROWS($1:32)&gt;COUNT(Dong11),0,IF(MID(OFFSET(TH!D$1,SMALL(Dong11,ROWS($1:32)),),4,1)="X",OFFSET(TH!I$1,SMALL(Dong11,ROWS($1:32)),),0))</f>
        <v>1</v>
      </c>
      <c r="J45" s="195">
        <f t="shared" ca="1" si="12"/>
        <v>4449</v>
      </c>
      <c r="K45" s="195">
        <f t="shared" ca="1" si="13"/>
        <v>440.5</v>
      </c>
      <c r="L45" s="195">
        <f t="shared" ca="1" si="14"/>
        <v>1959786</v>
      </c>
      <c r="M45" s="195"/>
      <c r="N45" s="185"/>
    </row>
    <row r="46" spans="1:14" s="167" customFormat="1" ht="15">
      <c r="A46" s="577">
        <f t="shared" ca="1" si="10"/>
        <v>33</v>
      </c>
      <c r="B46" s="191" t="str">
        <f ca="1">IF(ROWS($1:33)&gt;COUNT(Dong11),"",OFFSET(TH!D$1,SMALL(Dong11,ROWS($1:33)),))</f>
        <v>NL/X03</v>
      </c>
      <c r="C46" s="192">
        <f ca="1">IF(ROWS($1:33)&gt;COUNT(Dong11),"",OFFSET(TH!E$1,SMALL(Dong11,ROWS($1:33)),))</f>
        <v>40737</v>
      </c>
      <c r="D46" s="193" t="str">
        <f ca="1">IF(ROWS($1:33)&gt;COUNT(Dong11),"",OFFSET(TH!H$1,SMALL(Dong11,ROWS($1:33)),))</f>
        <v>Bộ phận SX</v>
      </c>
      <c r="E46" s="191" t="str">
        <f ca="1">IF(ROWS($1:33)&gt;COUNT(Dong11),"",IF(OFFSET(TH!L$1,SMALL(Dong11,ROWS($1:33)),)=$G$7,OFFSET(TH!M$1,SMALL(Dong11,ROWS($1:33)),),OFFSET(TH!L$1,SMALL(Dong11,ROWS($1:33)),)))</f>
        <v>154</v>
      </c>
      <c r="F46" s="194">
        <f ca="1">IF(ROWS($1:33)&gt;COUNT(Dong11),0,OFFSET(TH!J$1,SMALL(Dong11,ROWS($1:33)),))</f>
        <v>4449</v>
      </c>
      <c r="G46" s="194">
        <f ca="1">IF(ROWS($1:33)&gt;COUNT(Dong11),0,IF(MID(OFFSET(TH!D$1,SMALL(Dong11,ROWS($1:33)),),4,1)="N",OFFSET(TH!I$1,SMALL(Dong11,ROWS($1:33)),),0))</f>
        <v>0</v>
      </c>
      <c r="H46" s="195">
        <f t="shared" ca="1" si="11"/>
        <v>0</v>
      </c>
      <c r="I46" s="194">
        <f ca="1">IF(ROWS($1:33)&gt;COUNT(Dong11),0,IF(MID(OFFSET(TH!D$1,SMALL(Dong11,ROWS($1:33)),),4,1)="X",OFFSET(TH!I$1,SMALL(Dong11,ROWS($1:33)),),0))</f>
        <v>1</v>
      </c>
      <c r="J46" s="195">
        <f t="shared" ca="1" si="12"/>
        <v>4449</v>
      </c>
      <c r="K46" s="195">
        <f t="shared" ca="1" si="13"/>
        <v>439.5</v>
      </c>
      <c r="L46" s="195">
        <f t="shared" ca="1" si="14"/>
        <v>1955337</v>
      </c>
      <c r="M46" s="195"/>
      <c r="N46" s="185"/>
    </row>
    <row r="47" spans="1:14" s="167" customFormat="1" ht="15">
      <c r="A47" s="577">
        <f t="shared" ca="1" si="10"/>
        <v>34</v>
      </c>
      <c r="B47" s="191" t="str">
        <f ca="1">IF(ROWS($1:34)&gt;COUNT(Dong11),"",OFFSET(TH!D$1,SMALL(Dong11,ROWS($1:34)),))</f>
        <v>NL/X07</v>
      </c>
      <c r="C47" s="192">
        <f ca="1">IF(ROWS($1:34)&gt;COUNT(Dong11),"",OFFSET(TH!E$1,SMALL(Dong11,ROWS($1:34)),))</f>
        <v>40744</v>
      </c>
      <c r="D47" s="193" t="str">
        <f ca="1">IF(ROWS($1:34)&gt;COUNT(Dong11),"",OFFSET(TH!H$1,SMALL(Dong11,ROWS($1:34)),))</f>
        <v>Bộ phận SX</v>
      </c>
      <c r="E47" s="191" t="str">
        <f ca="1">IF(ROWS($1:34)&gt;COUNT(Dong11),"",IF(OFFSET(TH!L$1,SMALL(Dong11,ROWS($1:34)),)=$G$7,OFFSET(TH!M$1,SMALL(Dong11,ROWS($1:34)),),OFFSET(TH!L$1,SMALL(Dong11,ROWS($1:34)),)))</f>
        <v>154</v>
      </c>
      <c r="F47" s="194">
        <f ca="1">IF(ROWS($1:34)&gt;COUNT(Dong11),0,OFFSET(TH!J$1,SMALL(Dong11,ROWS($1:34)),))</f>
        <v>4449</v>
      </c>
      <c r="G47" s="194">
        <f ca="1">IF(ROWS($1:34)&gt;COUNT(Dong11),0,IF(MID(OFFSET(TH!D$1,SMALL(Dong11,ROWS($1:34)),),4,1)="N",OFFSET(TH!I$1,SMALL(Dong11,ROWS($1:34)),),0))</f>
        <v>0</v>
      </c>
      <c r="H47" s="195">
        <f t="shared" ca="1" si="11"/>
        <v>0</v>
      </c>
      <c r="I47" s="194">
        <f ca="1">IF(ROWS($1:34)&gt;COUNT(Dong11),0,IF(MID(OFFSET(TH!D$1,SMALL(Dong11,ROWS($1:34)),),4,1)="X",OFFSET(TH!I$1,SMALL(Dong11,ROWS($1:34)),),0))</f>
        <v>28</v>
      </c>
      <c r="J47" s="195">
        <f t="shared" ca="1" si="12"/>
        <v>124572</v>
      </c>
      <c r="K47" s="195">
        <f t="shared" ca="1" si="13"/>
        <v>411.5</v>
      </c>
      <c r="L47" s="195">
        <f t="shared" ca="1" si="14"/>
        <v>1830765</v>
      </c>
      <c r="M47" s="195"/>
      <c r="N47" s="185"/>
    </row>
    <row r="48" spans="1:14" s="167" customFormat="1" ht="15">
      <c r="A48" s="577">
        <f t="shared" ca="1" si="10"/>
        <v>35</v>
      </c>
      <c r="B48" s="191" t="str">
        <f ca="1">IF(ROWS($1:35)&gt;COUNT(Dong11),"",OFFSET(TH!D$1,SMALL(Dong11,ROWS($1:35)),))</f>
        <v>NL/X07</v>
      </c>
      <c r="C48" s="192">
        <f ca="1">IF(ROWS($1:35)&gt;COUNT(Dong11),"",OFFSET(TH!E$1,SMALL(Dong11,ROWS($1:35)),))</f>
        <v>40744</v>
      </c>
      <c r="D48" s="193" t="str">
        <f ca="1">IF(ROWS($1:35)&gt;COUNT(Dong11),"",OFFSET(TH!H$1,SMALL(Dong11,ROWS($1:35)),))</f>
        <v>Bộ phận SX</v>
      </c>
      <c r="E48" s="191" t="str">
        <f ca="1">IF(ROWS($1:35)&gt;COUNT(Dong11),"",IF(OFFSET(TH!L$1,SMALL(Dong11,ROWS($1:35)),)=$G$7,OFFSET(TH!M$1,SMALL(Dong11,ROWS($1:35)),),OFFSET(TH!L$1,SMALL(Dong11,ROWS($1:35)),)))</f>
        <v>154</v>
      </c>
      <c r="F48" s="194">
        <f ca="1">IF(ROWS($1:35)&gt;COUNT(Dong11),0,OFFSET(TH!J$1,SMALL(Dong11,ROWS($1:35)),))</f>
        <v>4449</v>
      </c>
      <c r="G48" s="194">
        <f ca="1">IF(ROWS($1:35)&gt;COUNT(Dong11),0,IF(MID(OFFSET(TH!D$1,SMALL(Dong11,ROWS($1:35)),),4,1)="N",OFFSET(TH!I$1,SMALL(Dong11,ROWS($1:35)),),0))</f>
        <v>0</v>
      </c>
      <c r="H48" s="195">
        <f t="shared" ca="1" si="11"/>
        <v>0</v>
      </c>
      <c r="I48" s="194">
        <f ca="1">IF(ROWS($1:35)&gt;COUNT(Dong11),0,IF(MID(OFFSET(TH!D$1,SMALL(Dong11,ROWS($1:35)),),4,1)="X",OFFSET(TH!I$1,SMALL(Dong11,ROWS($1:35)),),0))</f>
        <v>0.5</v>
      </c>
      <c r="J48" s="195">
        <f t="shared" ca="1" si="12"/>
        <v>2225</v>
      </c>
      <c r="K48" s="195">
        <f t="shared" ca="1" si="13"/>
        <v>411</v>
      </c>
      <c r="L48" s="195">
        <f t="shared" ca="1" si="14"/>
        <v>1828540</v>
      </c>
      <c r="M48" s="195"/>
      <c r="N48" s="185"/>
    </row>
    <row r="49" spans="1:14" s="167" customFormat="1" ht="15">
      <c r="A49" s="577">
        <f t="shared" ca="1" si="10"/>
        <v>36</v>
      </c>
      <c r="B49" s="191" t="str">
        <f ca="1">IF(ROWS($1:36)&gt;COUNT(Dong11),"",OFFSET(TH!D$1,SMALL(Dong11,ROWS($1:36)),))</f>
        <v>NL/X07</v>
      </c>
      <c r="C49" s="192">
        <f ca="1">IF(ROWS($1:36)&gt;COUNT(Dong11),"",OFFSET(TH!E$1,SMALL(Dong11,ROWS($1:36)),))</f>
        <v>40744</v>
      </c>
      <c r="D49" s="193" t="str">
        <f ca="1">IF(ROWS($1:36)&gt;COUNT(Dong11),"",OFFSET(TH!H$1,SMALL(Dong11,ROWS($1:36)),))</f>
        <v>Bộ phận SX</v>
      </c>
      <c r="E49" s="191" t="str">
        <f ca="1">IF(ROWS($1:36)&gt;COUNT(Dong11),"",IF(OFFSET(TH!L$1,SMALL(Dong11,ROWS($1:36)),)=$G$7,OFFSET(TH!M$1,SMALL(Dong11,ROWS($1:36)),),OFFSET(TH!L$1,SMALL(Dong11,ROWS($1:36)),)))</f>
        <v>154</v>
      </c>
      <c r="F49" s="194">
        <f ca="1">IF(ROWS($1:36)&gt;COUNT(Dong11),0,OFFSET(TH!J$1,SMALL(Dong11,ROWS($1:36)),))</f>
        <v>4449</v>
      </c>
      <c r="G49" s="194">
        <f ca="1">IF(ROWS($1:36)&gt;COUNT(Dong11),0,IF(MID(OFFSET(TH!D$1,SMALL(Dong11,ROWS($1:36)),),4,1)="N",OFFSET(TH!I$1,SMALL(Dong11,ROWS($1:36)),),0))</f>
        <v>0</v>
      </c>
      <c r="H49" s="195">
        <f t="shared" ca="1" si="11"/>
        <v>0</v>
      </c>
      <c r="I49" s="194">
        <f ca="1">IF(ROWS($1:36)&gt;COUNT(Dong11),0,IF(MID(OFFSET(TH!D$1,SMALL(Dong11,ROWS($1:36)),),4,1)="X",OFFSET(TH!I$1,SMALL(Dong11,ROWS($1:36)),),0))</f>
        <v>1</v>
      </c>
      <c r="J49" s="195">
        <f t="shared" ca="1" si="12"/>
        <v>4449</v>
      </c>
      <c r="K49" s="195">
        <f t="shared" ca="1" si="13"/>
        <v>410</v>
      </c>
      <c r="L49" s="195">
        <f t="shared" ca="1" si="14"/>
        <v>1824091</v>
      </c>
      <c r="M49" s="195"/>
      <c r="N49" s="185"/>
    </row>
    <row r="50" spans="1:14" s="167" customFormat="1" ht="15">
      <c r="A50" s="577">
        <f t="shared" ca="1" si="10"/>
        <v>37</v>
      </c>
      <c r="B50" s="191" t="str">
        <f ca="1">IF(ROWS($1:37)&gt;COUNT(Dong11),"",OFFSET(TH!D$1,SMALL(Dong11,ROWS($1:37)),))</f>
        <v>NL/X08</v>
      </c>
      <c r="C50" s="192">
        <f ca="1">IF(ROWS($1:37)&gt;COUNT(Dong11),"",OFFSET(TH!E$1,SMALL(Dong11,ROWS($1:37)),))</f>
        <v>40746</v>
      </c>
      <c r="D50" s="193" t="str">
        <f ca="1">IF(ROWS($1:37)&gt;COUNT(Dong11),"",OFFSET(TH!H$1,SMALL(Dong11,ROWS($1:37)),))</f>
        <v>Bộ phận SX</v>
      </c>
      <c r="E50" s="191" t="str">
        <f ca="1">IF(ROWS($1:37)&gt;COUNT(Dong11),"",IF(OFFSET(TH!L$1,SMALL(Dong11,ROWS($1:37)),)=$G$7,OFFSET(TH!M$1,SMALL(Dong11,ROWS($1:37)),),OFFSET(TH!L$1,SMALL(Dong11,ROWS($1:37)),)))</f>
        <v>154</v>
      </c>
      <c r="F50" s="194">
        <f ca="1">IF(ROWS($1:37)&gt;COUNT(Dong11),0,OFFSET(TH!J$1,SMALL(Dong11,ROWS($1:37)),))</f>
        <v>4449</v>
      </c>
      <c r="G50" s="194">
        <f ca="1">IF(ROWS($1:37)&gt;COUNT(Dong11),0,IF(MID(OFFSET(TH!D$1,SMALL(Dong11,ROWS($1:37)),),4,1)="N",OFFSET(TH!I$1,SMALL(Dong11,ROWS($1:37)),),0))</f>
        <v>0</v>
      </c>
      <c r="H50" s="195">
        <f t="shared" ca="1" si="11"/>
        <v>0</v>
      </c>
      <c r="I50" s="194">
        <f ca="1">IF(ROWS($1:37)&gt;COUNT(Dong11),0,IF(MID(OFFSET(TH!D$1,SMALL(Dong11,ROWS($1:37)),),4,1)="X",OFFSET(TH!I$1,SMALL(Dong11,ROWS($1:37)),),0))</f>
        <v>11</v>
      </c>
      <c r="J50" s="195">
        <f t="shared" ca="1" si="12"/>
        <v>48939</v>
      </c>
      <c r="K50" s="195">
        <f t="shared" ca="1" si="13"/>
        <v>399</v>
      </c>
      <c r="L50" s="195">
        <f t="shared" ca="1" si="14"/>
        <v>1775152</v>
      </c>
      <c r="M50" s="195"/>
      <c r="N50" s="185"/>
    </row>
    <row r="51" spans="1:14" s="167" customFormat="1" ht="15">
      <c r="A51" s="577">
        <f t="shared" ca="1" si="10"/>
        <v>38</v>
      </c>
      <c r="B51" s="191" t="str">
        <f ca="1">IF(ROWS($1:38)&gt;COUNT(Dong11),"",OFFSET(TH!D$1,SMALL(Dong11,ROWS($1:38)),))</f>
        <v>NL/X12</v>
      </c>
      <c r="C51" s="192">
        <f ca="1">IF(ROWS($1:38)&gt;COUNT(Dong11),"",OFFSET(TH!E$1,SMALL(Dong11,ROWS($1:38)),))</f>
        <v>40760</v>
      </c>
      <c r="D51" s="193" t="str">
        <f ca="1">IF(ROWS($1:38)&gt;COUNT(Dong11),"",OFFSET(TH!H$1,SMALL(Dong11,ROWS($1:38)),))</f>
        <v>Bộ phận SX</v>
      </c>
      <c r="E51" s="191" t="str">
        <f ca="1">IF(ROWS($1:38)&gt;COUNT(Dong11),"",IF(OFFSET(TH!L$1,SMALL(Dong11,ROWS($1:38)),)=$G$7,OFFSET(TH!M$1,SMALL(Dong11,ROWS($1:38)),),OFFSET(TH!L$1,SMALL(Dong11,ROWS($1:38)),)))</f>
        <v>154</v>
      </c>
      <c r="F51" s="194">
        <f ca="1">IF(ROWS($1:38)&gt;COUNT(Dong11),0,OFFSET(TH!J$1,SMALL(Dong11,ROWS($1:38)),))</f>
        <v>4449</v>
      </c>
      <c r="G51" s="194">
        <f ca="1">IF(ROWS($1:38)&gt;COUNT(Dong11),0,IF(MID(OFFSET(TH!D$1,SMALL(Dong11,ROWS($1:38)),),4,1)="N",OFFSET(TH!I$1,SMALL(Dong11,ROWS($1:38)),),0))</f>
        <v>0</v>
      </c>
      <c r="H51" s="195">
        <f t="shared" ca="1" si="11"/>
        <v>0</v>
      </c>
      <c r="I51" s="194">
        <f ca="1">IF(ROWS($1:38)&gt;COUNT(Dong11),0,IF(MID(OFFSET(TH!D$1,SMALL(Dong11,ROWS($1:38)),),4,1)="X",OFFSET(TH!I$1,SMALL(Dong11,ROWS($1:38)),),0))</f>
        <v>1</v>
      </c>
      <c r="J51" s="195">
        <f t="shared" ca="1" si="12"/>
        <v>4449</v>
      </c>
      <c r="K51" s="195">
        <f t="shared" ca="1" si="13"/>
        <v>398</v>
      </c>
      <c r="L51" s="195">
        <f t="shared" ca="1" si="14"/>
        <v>1770703</v>
      </c>
      <c r="M51" s="195"/>
      <c r="N51" s="185"/>
    </row>
    <row r="52" spans="1:14" s="167" customFormat="1" ht="15">
      <c r="A52" s="577">
        <f t="shared" ca="1" si="10"/>
        <v>39</v>
      </c>
      <c r="B52" s="191" t="str">
        <f ca="1">IF(ROWS($1:39)&gt;COUNT(Dong11),"",OFFSET(TH!D$1,SMALL(Dong11,ROWS($1:39)),))</f>
        <v>NL/X13</v>
      </c>
      <c r="C52" s="192">
        <f ca="1">IF(ROWS($1:39)&gt;COUNT(Dong11),"",OFFSET(TH!E$1,SMALL(Dong11,ROWS($1:39)),))</f>
        <v>40763</v>
      </c>
      <c r="D52" s="193" t="str">
        <f ca="1">IF(ROWS($1:39)&gt;COUNT(Dong11),"",OFFSET(TH!H$1,SMALL(Dong11,ROWS($1:39)),))</f>
        <v>Bộ phận SX</v>
      </c>
      <c r="E52" s="191" t="str">
        <f ca="1">IF(ROWS($1:39)&gt;COUNT(Dong11),"",IF(OFFSET(TH!L$1,SMALL(Dong11,ROWS($1:39)),)=$G$7,OFFSET(TH!M$1,SMALL(Dong11,ROWS($1:39)),),OFFSET(TH!L$1,SMALL(Dong11,ROWS($1:39)),)))</f>
        <v>154</v>
      </c>
      <c r="F52" s="194">
        <f ca="1">IF(ROWS($1:39)&gt;COUNT(Dong11),0,OFFSET(TH!J$1,SMALL(Dong11,ROWS($1:39)),))</f>
        <v>4449</v>
      </c>
      <c r="G52" s="194">
        <f ca="1">IF(ROWS($1:39)&gt;COUNT(Dong11),0,IF(MID(OFFSET(TH!D$1,SMALL(Dong11,ROWS($1:39)),),4,1)="N",OFFSET(TH!I$1,SMALL(Dong11,ROWS($1:39)),),0))</f>
        <v>0</v>
      </c>
      <c r="H52" s="195">
        <f t="shared" ca="1" si="11"/>
        <v>0</v>
      </c>
      <c r="I52" s="194">
        <f ca="1">IF(ROWS($1:39)&gt;COUNT(Dong11),0,IF(MID(OFFSET(TH!D$1,SMALL(Dong11,ROWS($1:39)),),4,1)="X",OFFSET(TH!I$1,SMALL(Dong11,ROWS($1:39)),),0))</f>
        <v>22.5</v>
      </c>
      <c r="J52" s="195">
        <f t="shared" ca="1" si="12"/>
        <v>100103</v>
      </c>
      <c r="K52" s="195">
        <f t="shared" ca="1" si="13"/>
        <v>375.5</v>
      </c>
      <c r="L52" s="195">
        <f t="shared" ca="1" si="14"/>
        <v>1670600</v>
      </c>
      <c r="M52" s="195"/>
      <c r="N52" s="185"/>
    </row>
    <row r="53" spans="1:14" s="167" customFormat="1" ht="15">
      <c r="A53" s="577">
        <f t="shared" ca="1" si="10"/>
        <v>40</v>
      </c>
      <c r="B53" s="191" t="str">
        <f ca="1">IF(ROWS($1:40)&gt;COUNT(Dong11),"",OFFSET(TH!D$1,SMALL(Dong11,ROWS($1:40)),))</f>
        <v>NL/X14</v>
      </c>
      <c r="C53" s="192">
        <f ca="1">IF(ROWS($1:40)&gt;COUNT(Dong11),"",OFFSET(TH!E$1,SMALL(Dong11,ROWS($1:40)),))</f>
        <v>40768</v>
      </c>
      <c r="D53" s="193" t="str">
        <f ca="1">IF(ROWS($1:40)&gt;COUNT(Dong11),"",OFFSET(TH!H$1,SMALL(Dong11,ROWS($1:40)),))</f>
        <v>Bộ phận SX</v>
      </c>
      <c r="E53" s="191" t="str">
        <f ca="1">IF(ROWS($1:40)&gt;COUNT(Dong11),"",IF(OFFSET(TH!L$1,SMALL(Dong11,ROWS($1:40)),)=$G$7,OFFSET(TH!M$1,SMALL(Dong11,ROWS($1:40)),),OFFSET(TH!L$1,SMALL(Dong11,ROWS($1:40)),)))</f>
        <v>154</v>
      </c>
      <c r="F53" s="194">
        <f ca="1">IF(ROWS($1:40)&gt;COUNT(Dong11),0,OFFSET(TH!J$1,SMALL(Dong11,ROWS($1:40)),))</f>
        <v>4449</v>
      </c>
      <c r="G53" s="194">
        <f ca="1">IF(ROWS($1:40)&gt;COUNT(Dong11),0,IF(MID(OFFSET(TH!D$1,SMALL(Dong11,ROWS($1:40)),),4,1)="N",OFFSET(TH!I$1,SMALL(Dong11,ROWS($1:40)),),0))</f>
        <v>0</v>
      </c>
      <c r="H53" s="195">
        <f t="shared" ca="1" si="11"/>
        <v>0</v>
      </c>
      <c r="I53" s="194">
        <f ca="1">IF(ROWS($1:40)&gt;COUNT(Dong11),0,IF(MID(OFFSET(TH!D$1,SMALL(Dong11,ROWS($1:40)),),4,1)="X",OFFSET(TH!I$1,SMALL(Dong11,ROWS($1:40)),),0))</f>
        <v>75</v>
      </c>
      <c r="J53" s="195">
        <f t="shared" ca="1" si="12"/>
        <v>333675</v>
      </c>
      <c r="K53" s="195">
        <f t="shared" ca="1" si="13"/>
        <v>300.5</v>
      </c>
      <c r="L53" s="195">
        <f t="shared" ca="1" si="14"/>
        <v>1336925</v>
      </c>
      <c r="M53" s="195"/>
      <c r="N53" s="185"/>
    </row>
    <row r="54" spans="1:14" s="167" customFormat="1" ht="15">
      <c r="A54" s="577">
        <f t="shared" ca="1" si="10"/>
        <v>41</v>
      </c>
      <c r="B54" s="191" t="str">
        <f ca="1">IF(ROWS($1:41)&gt;COUNT(Dong11),"",OFFSET(TH!D$1,SMALL(Dong11,ROWS($1:41)),))</f>
        <v>NL/X14</v>
      </c>
      <c r="C54" s="192">
        <f ca="1">IF(ROWS($1:41)&gt;COUNT(Dong11),"",OFFSET(TH!E$1,SMALL(Dong11,ROWS($1:41)),))</f>
        <v>40768</v>
      </c>
      <c r="D54" s="193" t="str">
        <f ca="1">IF(ROWS($1:41)&gt;COUNT(Dong11),"",OFFSET(TH!H$1,SMALL(Dong11,ROWS($1:41)),))</f>
        <v>Bộ phận SX</v>
      </c>
      <c r="E54" s="191" t="str">
        <f ca="1">IF(ROWS($1:41)&gt;COUNT(Dong11),"",IF(OFFSET(TH!L$1,SMALL(Dong11,ROWS($1:41)),)=$G$7,OFFSET(TH!M$1,SMALL(Dong11,ROWS($1:41)),),OFFSET(TH!L$1,SMALL(Dong11,ROWS($1:41)),)))</f>
        <v>154</v>
      </c>
      <c r="F54" s="194">
        <f ca="1">IF(ROWS($1:41)&gt;COUNT(Dong11),0,OFFSET(TH!J$1,SMALL(Dong11,ROWS($1:41)),))</f>
        <v>4449</v>
      </c>
      <c r="G54" s="194">
        <f ca="1">IF(ROWS($1:41)&gt;COUNT(Dong11),0,IF(MID(OFFSET(TH!D$1,SMALL(Dong11,ROWS($1:41)),),4,1)="N",OFFSET(TH!I$1,SMALL(Dong11,ROWS($1:41)),),0))</f>
        <v>0</v>
      </c>
      <c r="H54" s="195">
        <f t="shared" ca="1" si="11"/>
        <v>0</v>
      </c>
      <c r="I54" s="194">
        <f ca="1">IF(ROWS($1:41)&gt;COUNT(Dong11),0,IF(MID(OFFSET(TH!D$1,SMALL(Dong11,ROWS($1:41)),),4,1)="X",OFFSET(TH!I$1,SMALL(Dong11,ROWS($1:41)),),0))</f>
        <v>0.5</v>
      </c>
      <c r="J54" s="195">
        <f t="shared" ca="1" si="12"/>
        <v>2225</v>
      </c>
      <c r="K54" s="195">
        <f t="shared" ca="1" si="13"/>
        <v>300</v>
      </c>
      <c r="L54" s="195">
        <f t="shared" ca="1" si="14"/>
        <v>1334700</v>
      </c>
      <c r="M54" s="195"/>
      <c r="N54" s="185"/>
    </row>
    <row r="55" spans="1:14" s="167" customFormat="1" ht="15">
      <c r="A55" s="577">
        <f t="shared" ca="1" si="10"/>
        <v>42</v>
      </c>
      <c r="B55" s="191" t="str">
        <f ca="1">IF(ROWS($1:42)&gt;COUNT(Dong11),"",OFFSET(TH!D$1,SMALL(Dong11,ROWS($1:42)),))</f>
        <v>NL/X16</v>
      </c>
      <c r="C55" s="192">
        <f ca="1">IF(ROWS($1:42)&gt;COUNT(Dong11),"",OFFSET(TH!E$1,SMALL(Dong11,ROWS($1:42)),))</f>
        <v>40775</v>
      </c>
      <c r="D55" s="193" t="str">
        <f ca="1">IF(ROWS($1:42)&gt;COUNT(Dong11),"",OFFSET(TH!H$1,SMALL(Dong11,ROWS($1:42)),))</f>
        <v>Bộ phận SX</v>
      </c>
      <c r="E55" s="191" t="str">
        <f ca="1">IF(ROWS($1:42)&gt;COUNT(Dong11),"",IF(OFFSET(TH!L$1,SMALL(Dong11,ROWS($1:42)),)=$G$7,OFFSET(TH!M$1,SMALL(Dong11,ROWS($1:42)),),OFFSET(TH!L$1,SMALL(Dong11,ROWS($1:42)),)))</f>
        <v>154</v>
      </c>
      <c r="F55" s="194">
        <f ca="1">IF(ROWS($1:42)&gt;COUNT(Dong11),0,OFFSET(TH!J$1,SMALL(Dong11,ROWS($1:42)),))</f>
        <v>4449</v>
      </c>
      <c r="G55" s="194">
        <f ca="1">IF(ROWS($1:42)&gt;COUNT(Dong11),0,IF(MID(OFFSET(TH!D$1,SMALL(Dong11,ROWS($1:42)),),4,1)="N",OFFSET(TH!I$1,SMALL(Dong11,ROWS($1:42)),),0))</f>
        <v>0</v>
      </c>
      <c r="H55" s="195">
        <f t="shared" ca="1" si="11"/>
        <v>0</v>
      </c>
      <c r="I55" s="194">
        <f ca="1">IF(ROWS($1:42)&gt;COUNT(Dong11),0,IF(MID(OFFSET(TH!D$1,SMALL(Dong11,ROWS($1:42)),),4,1)="X",OFFSET(TH!I$1,SMALL(Dong11,ROWS($1:42)),),0))</f>
        <v>86</v>
      </c>
      <c r="J55" s="195">
        <f t="shared" ca="1" si="12"/>
        <v>382614</v>
      </c>
      <c r="K55" s="195">
        <f t="shared" ca="1" si="13"/>
        <v>214</v>
      </c>
      <c r="L55" s="195">
        <f t="shared" ca="1" si="14"/>
        <v>952086</v>
      </c>
      <c r="M55" s="195"/>
      <c r="N55" s="185"/>
    </row>
    <row r="56" spans="1:14" s="167" customFormat="1" ht="15">
      <c r="A56" s="577">
        <f t="shared" ca="1" si="10"/>
        <v>43</v>
      </c>
      <c r="B56" s="191" t="str">
        <f ca="1">IF(ROWS($1:43)&gt;COUNT(Dong11),"",OFFSET(TH!D$1,SMALL(Dong11,ROWS($1:43)),))</f>
        <v>NL/X18</v>
      </c>
      <c r="C56" s="192">
        <f ca="1">IF(ROWS($1:43)&gt;COUNT(Dong11),"",OFFSET(TH!E$1,SMALL(Dong11,ROWS($1:43)),))</f>
        <v>40791</v>
      </c>
      <c r="D56" s="193" t="str">
        <f ca="1">IF(ROWS($1:43)&gt;COUNT(Dong11),"",OFFSET(TH!H$1,SMALL(Dong11,ROWS($1:43)),))</f>
        <v>Bộ phận SX</v>
      </c>
      <c r="E56" s="191" t="str">
        <f ca="1">IF(ROWS($1:43)&gt;COUNT(Dong11),"",IF(OFFSET(TH!L$1,SMALL(Dong11,ROWS($1:43)),)=$G$7,OFFSET(TH!M$1,SMALL(Dong11,ROWS($1:43)),),OFFSET(TH!L$1,SMALL(Dong11,ROWS($1:43)),)))</f>
        <v>154</v>
      </c>
      <c r="F56" s="194">
        <f ca="1">IF(ROWS($1:43)&gt;COUNT(Dong11),0,OFFSET(TH!J$1,SMALL(Dong11,ROWS($1:43)),))</f>
        <v>4449</v>
      </c>
      <c r="G56" s="194">
        <f ca="1">IF(ROWS($1:43)&gt;COUNT(Dong11),0,IF(MID(OFFSET(TH!D$1,SMALL(Dong11,ROWS($1:43)),),4,1)="N",OFFSET(TH!I$1,SMALL(Dong11,ROWS($1:43)),),0))</f>
        <v>0</v>
      </c>
      <c r="H56" s="195">
        <f t="shared" ca="1" si="11"/>
        <v>0</v>
      </c>
      <c r="I56" s="194">
        <f ca="1">IF(ROWS($1:43)&gt;COUNT(Dong11),0,IF(MID(OFFSET(TH!D$1,SMALL(Dong11,ROWS($1:43)),),4,1)="X",OFFSET(TH!I$1,SMALL(Dong11,ROWS($1:43)),),0))</f>
        <v>5</v>
      </c>
      <c r="J56" s="195">
        <f t="shared" ca="1" si="12"/>
        <v>22245</v>
      </c>
      <c r="K56" s="195">
        <f t="shared" ca="1" si="13"/>
        <v>209</v>
      </c>
      <c r="L56" s="195">
        <f t="shared" ca="1" si="14"/>
        <v>929841</v>
      </c>
      <c r="M56" s="195"/>
      <c r="N56" s="185"/>
    </row>
    <row r="57" spans="1:14" s="167" customFormat="1" ht="15">
      <c r="A57" s="577">
        <f t="shared" ca="1" si="10"/>
        <v>44</v>
      </c>
      <c r="B57" s="191" t="str">
        <f ca="1">IF(ROWS($1:44)&gt;COUNT(Dong11),"",OFFSET(TH!D$1,SMALL(Dong11,ROWS($1:44)),))</f>
        <v>NL/X20</v>
      </c>
      <c r="C57" s="192">
        <f ca="1">IF(ROWS($1:44)&gt;COUNT(Dong11),"",OFFSET(TH!E$1,SMALL(Dong11,ROWS($1:44)),))</f>
        <v>40797</v>
      </c>
      <c r="D57" s="193" t="str">
        <f ca="1">IF(ROWS($1:44)&gt;COUNT(Dong11),"",OFFSET(TH!H$1,SMALL(Dong11,ROWS($1:44)),))</f>
        <v>Bộ phận SX</v>
      </c>
      <c r="E57" s="191" t="str">
        <f ca="1">IF(ROWS($1:44)&gt;COUNT(Dong11),"",IF(OFFSET(TH!L$1,SMALL(Dong11,ROWS($1:44)),)=$G$7,OFFSET(TH!M$1,SMALL(Dong11,ROWS($1:44)),),OFFSET(TH!L$1,SMALL(Dong11,ROWS($1:44)),)))</f>
        <v>154</v>
      </c>
      <c r="F57" s="194">
        <f ca="1">IF(ROWS($1:44)&gt;COUNT(Dong11),0,OFFSET(TH!J$1,SMALL(Dong11,ROWS($1:44)),))</f>
        <v>4449</v>
      </c>
      <c r="G57" s="194">
        <f ca="1">IF(ROWS($1:44)&gt;COUNT(Dong11),0,IF(MID(OFFSET(TH!D$1,SMALL(Dong11,ROWS($1:44)),),4,1)="N",OFFSET(TH!I$1,SMALL(Dong11,ROWS($1:44)),),0))</f>
        <v>0</v>
      </c>
      <c r="H57" s="195">
        <f t="shared" ca="1" si="11"/>
        <v>0</v>
      </c>
      <c r="I57" s="194">
        <f ca="1">IF(ROWS($1:44)&gt;COUNT(Dong11),0,IF(MID(OFFSET(TH!D$1,SMALL(Dong11,ROWS($1:44)),),4,1)="X",OFFSET(TH!I$1,SMALL(Dong11,ROWS($1:44)),),0))</f>
        <v>44</v>
      </c>
      <c r="J57" s="195">
        <f t="shared" ca="1" si="12"/>
        <v>195756</v>
      </c>
      <c r="K57" s="195">
        <f t="shared" ca="1" si="13"/>
        <v>165</v>
      </c>
      <c r="L57" s="195">
        <f t="shared" ca="1" si="14"/>
        <v>734085</v>
      </c>
      <c r="M57" s="195"/>
      <c r="N57" s="185"/>
    </row>
    <row r="58" spans="1:14" s="167" customFormat="1" ht="15">
      <c r="A58" s="577">
        <f t="shared" ca="1" si="10"/>
        <v>45</v>
      </c>
      <c r="B58" s="191" t="str">
        <f ca="1">IF(ROWS($1:45)&gt;COUNT(Dong11),"",OFFSET(TH!D$1,SMALL(Dong11,ROWS($1:45)),))</f>
        <v>NL/X21</v>
      </c>
      <c r="C58" s="192">
        <f ca="1">IF(ROWS($1:45)&gt;COUNT(Dong11),"",OFFSET(TH!E$1,SMALL(Dong11,ROWS($1:45)),))</f>
        <v>40803</v>
      </c>
      <c r="D58" s="193" t="str">
        <f ca="1">IF(ROWS($1:45)&gt;COUNT(Dong11),"",OFFSET(TH!H$1,SMALL(Dong11,ROWS($1:45)),))</f>
        <v>Bộ phận SX</v>
      </c>
      <c r="E58" s="191" t="str">
        <f ca="1">IF(ROWS($1:45)&gt;COUNT(Dong11),"",IF(OFFSET(TH!L$1,SMALL(Dong11,ROWS($1:45)),)=$G$7,OFFSET(TH!M$1,SMALL(Dong11,ROWS($1:45)),),OFFSET(TH!L$1,SMALL(Dong11,ROWS($1:45)),)))</f>
        <v>154</v>
      </c>
      <c r="F58" s="194">
        <f ca="1">IF(ROWS($1:45)&gt;COUNT(Dong11),0,OFFSET(TH!J$1,SMALL(Dong11,ROWS($1:45)),))</f>
        <v>4449</v>
      </c>
      <c r="G58" s="194">
        <f ca="1">IF(ROWS($1:45)&gt;COUNT(Dong11),0,IF(MID(OFFSET(TH!D$1,SMALL(Dong11,ROWS($1:45)),),4,1)="N",OFFSET(TH!I$1,SMALL(Dong11,ROWS($1:45)),),0))</f>
        <v>0</v>
      </c>
      <c r="H58" s="195">
        <f t="shared" ca="1" si="11"/>
        <v>0</v>
      </c>
      <c r="I58" s="194">
        <f ca="1">IF(ROWS($1:45)&gt;COUNT(Dong11),0,IF(MID(OFFSET(TH!D$1,SMALL(Dong11,ROWS($1:45)),),4,1)="X",OFFSET(TH!I$1,SMALL(Dong11,ROWS($1:45)),),0))</f>
        <v>2</v>
      </c>
      <c r="J58" s="195">
        <f t="shared" ca="1" si="12"/>
        <v>8898</v>
      </c>
      <c r="K58" s="195">
        <f t="shared" ca="1" si="13"/>
        <v>163</v>
      </c>
      <c r="L58" s="195">
        <f t="shared" ca="1" si="14"/>
        <v>725187</v>
      </c>
      <c r="M58" s="195"/>
      <c r="N58" s="185"/>
    </row>
    <row r="59" spans="1:14" s="167" customFormat="1" ht="15">
      <c r="A59" s="577">
        <f t="shared" ca="1" si="10"/>
        <v>46</v>
      </c>
      <c r="B59" s="191" t="str">
        <f ca="1">IF(ROWS($1:46)&gt;COUNT(Dong11),"",OFFSET(TH!D$1,SMALL(Dong11,ROWS($1:46)),))</f>
        <v>NL/X21</v>
      </c>
      <c r="C59" s="192">
        <f ca="1">IF(ROWS($1:46)&gt;COUNT(Dong11),"",OFFSET(TH!E$1,SMALL(Dong11,ROWS($1:46)),))</f>
        <v>40803</v>
      </c>
      <c r="D59" s="193" t="str">
        <f ca="1">IF(ROWS($1:46)&gt;COUNT(Dong11),"",OFFSET(TH!H$1,SMALL(Dong11,ROWS($1:46)),))</f>
        <v>Bộ phận SX</v>
      </c>
      <c r="E59" s="191" t="str">
        <f ca="1">IF(ROWS($1:46)&gt;COUNT(Dong11),"",IF(OFFSET(TH!L$1,SMALL(Dong11,ROWS($1:46)),)=$G$7,OFFSET(TH!M$1,SMALL(Dong11,ROWS($1:46)),),OFFSET(TH!L$1,SMALL(Dong11,ROWS($1:46)),)))</f>
        <v>154</v>
      </c>
      <c r="F59" s="194">
        <f ca="1">IF(ROWS($1:46)&gt;COUNT(Dong11),0,OFFSET(TH!J$1,SMALL(Dong11,ROWS($1:46)),))</f>
        <v>4449</v>
      </c>
      <c r="G59" s="194">
        <f ca="1">IF(ROWS($1:46)&gt;COUNT(Dong11),0,IF(MID(OFFSET(TH!D$1,SMALL(Dong11,ROWS($1:46)),),4,1)="N",OFFSET(TH!I$1,SMALL(Dong11,ROWS($1:46)),),0))</f>
        <v>0</v>
      </c>
      <c r="H59" s="195">
        <f t="shared" ca="1" si="11"/>
        <v>0</v>
      </c>
      <c r="I59" s="194">
        <f ca="1">IF(ROWS($1:46)&gt;COUNT(Dong11),0,IF(MID(OFFSET(TH!D$1,SMALL(Dong11,ROWS($1:46)),),4,1)="X",OFFSET(TH!I$1,SMALL(Dong11,ROWS($1:46)),),0))</f>
        <v>6</v>
      </c>
      <c r="J59" s="195">
        <f t="shared" ca="1" si="12"/>
        <v>26694</v>
      </c>
      <c r="K59" s="195">
        <f t="shared" ca="1" si="13"/>
        <v>157</v>
      </c>
      <c r="L59" s="195">
        <f t="shared" ca="1" si="14"/>
        <v>698493</v>
      </c>
      <c r="M59" s="195"/>
      <c r="N59" s="185"/>
    </row>
    <row r="60" spans="1:14" s="167" customFormat="1" ht="15">
      <c r="A60" s="577">
        <f t="shared" ca="1" si="10"/>
        <v>47</v>
      </c>
      <c r="B60" s="191" t="str">
        <f ca="1">IF(ROWS($1:47)&gt;COUNT(Dong11),"",OFFSET(TH!D$1,SMALL(Dong11,ROWS($1:47)),))</f>
        <v>NL/X21</v>
      </c>
      <c r="C60" s="192">
        <f ca="1">IF(ROWS($1:47)&gt;COUNT(Dong11),"",OFFSET(TH!E$1,SMALL(Dong11,ROWS($1:47)),))</f>
        <v>40803</v>
      </c>
      <c r="D60" s="193" t="str">
        <f ca="1">IF(ROWS($1:47)&gt;COUNT(Dong11),"",OFFSET(TH!H$1,SMALL(Dong11,ROWS($1:47)),))</f>
        <v>Bộ phận SX</v>
      </c>
      <c r="E60" s="191" t="str">
        <f ca="1">IF(ROWS($1:47)&gt;COUNT(Dong11),"",IF(OFFSET(TH!L$1,SMALL(Dong11,ROWS($1:47)),)=$G$7,OFFSET(TH!M$1,SMALL(Dong11,ROWS($1:47)),),OFFSET(TH!L$1,SMALL(Dong11,ROWS($1:47)),)))</f>
        <v>154</v>
      </c>
      <c r="F60" s="194">
        <f ca="1">IF(ROWS($1:47)&gt;COUNT(Dong11),0,OFFSET(TH!J$1,SMALL(Dong11,ROWS($1:47)),))</f>
        <v>4449</v>
      </c>
      <c r="G60" s="194">
        <f ca="1">IF(ROWS($1:47)&gt;COUNT(Dong11),0,IF(MID(OFFSET(TH!D$1,SMALL(Dong11,ROWS($1:47)),),4,1)="N",OFFSET(TH!I$1,SMALL(Dong11,ROWS($1:47)),),0))</f>
        <v>0</v>
      </c>
      <c r="H60" s="195">
        <f t="shared" ca="1" si="11"/>
        <v>0</v>
      </c>
      <c r="I60" s="194">
        <f ca="1">IF(ROWS($1:47)&gt;COUNT(Dong11),0,IF(MID(OFFSET(TH!D$1,SMALL(Dong11,ROWS($1:47)),),4,1)="X",OFFSET(TH!I$1,SMALL(Dong11,ROWS($1:47)),),0))</f>
        <v>2</v>
      </c>
      <c r="J60" s="195">
        <f t="shared" ca="1" si="12"/>
        <v>8898</v>
      </c>
      <c r="K60" s="195">
        <f t="shared" ca="1" si="13"/>
        <v>155</v>
      </c>
      <c r="L60" s="195">
        <f t="shared" ca="1" si="14"/>
        <v>689595</v>
      </c>
      <c r="M60" s="195"/>
      <c r="N60" s="185"/>
    </row>
    <row r="61" spans="1:14" s="167" customFormat="1" ht="15">
      <c r="A61" s="577">
        <f t="shared" ca="1" si="10"/>
        <v>48</v>
      </c>
      <c r="B61" s="191" t="str">
        <f ca="1">IF(ROWS($1:48)&gt;COUNT(Dong11),"",OFFSET(TH!D$1,SMALL(Dong11,ROWS($1:48)),))</f>
        <v>NL/X21</v>
      </c>
      <c r="C61" s="192">
        <f ca="1">IF(ROWS($1:48)&gt;COUNT(Dong11),"",OFFSET(TH!E$1,SMALL(Dong11,ROWS($1:48)),))</f>
        <v>40803</v>
      </c>
      <c r="D61" s="193" t="str">
        <f ca="1">IF(ROWS($1:48)&gt;COUNT(Dong11),"",OFFSET(TH!H$1,SMALL(Dong11,ROWS($1:48)),))</f>
        <v>Bộ phận SX</v>
      </c>
      <c r="E61" s="191" t="str">
        <f ca="1">IF(ROWS($1:48)&gt;COUNT(Dong11),"",IF(OFFSET(TH!L$1,SMALL(Dong11,ROWS($1:48)),)=$G$7,OFFSET(TH!M$1,SMALL(Dong11,ROWS($1:48)),),OFFSET(TH!L$1,SMALL(Dong11,ROWS($1:48)),)))</f>
        <v>154</v>
      </c>
      <c r="F61" s="194">
        <f ca="1">IF(ROWS($1:48)&gt;COUNT(Dong11),0,OFFSET(TH!J$1,SMALL(Dong11,ROWS($1:48)),))</f>
        <v>4449</v>
      </c>
      <c r="G61" s="194">
        <f ca="1">IF(ROWS($1:48)&gt;COUNT(Dong11),0,IF(MID(OFFSET(TH!D$1,SMALL(Dong11,ROWS($1:48)),),4,1)="N",OFFSET(TH!I$1,SMALL(Dong11,ROWS($1:48)),),0))</f>
        <v>0</v>
      </c>
      <c r="H61" s="195">
        <f t="shared" ca="1" si="11"/>
        <v>0</v>
      </c>
      <c r="I61" s="194">
        <f ca="1">IF(ROWS($1:48)&gt;COUNT(Dong11),0,IF(MID(OFFSET(TH!D$1,SMALL(Dong11,ROWS($1:48)),),4,1)="X",OFFSET(TH!I$1,SMALL(Dong11,ROWS($1:48)),),0))</f>
        <v>2</v>
      </c>
      <c r="J61" s="195">
        <f t="shared" ca="1" si="12"/>
        <v>8898</v>
      </c>
      <c r="K61" s="195">
        <f t="shared" ca="1" si="13"/>
        <v>153</v>
      </c>
      <c r="L61" s="195">
        <f t="shared" ca="1" si="14"/>
        <v>680697</v>
      </c>
      <c r="M61" s="195"/>
      <c r="N61" s="185"/>
    </row>
    <row r="62" spans="1:14" s="167" customFormat="1" ht="15">
      <c r="A62" s="577">
        <f t="shared" ca="1" si="10"/>
        <v>49</v>
      </c>
      <c r="B62" s="191" t="str">
        <f ca="1">IF(ROWS($1:49)&gt;COUNT(Dong11),"",OFFSET(TH!D$1,SMALL(Dong11,ROWS($1:49)),))</f>
        <v>NL/X22</v>
      </c>
      <c r="C62" s="192">
        <f ca="1">IF(ROWS($1:49)&gt;COUNT(Dong11),"",OFFSET(TH!E$1,SMALL(Dong11,ROWS($1:49)),))</f>
        <v>40807</v>
      </c>
      <c r="D62" s="193" t="str">
        <f ca="1">IF(ROWS($1:49)&gt;COUNT(Dong11),"",OFFSET(TH!H$1,SMALL(Dong11,ROWS($1:49)),))</f>
        <v>Bộ phận SX</v>
      </c>
      <c r="E62" s="191" t="str">
        <f ca="1">IF(ROWS($1:49)&gt;COUNT(Dong11),"",IF(OFFSET(TH!L$1,SMALL(Dong11,ROWS($1:49)),)=$G$7,OFFSET(TH!M$1,SMALL(Dong11,ROWS($1:49)),),OFFSET(TH!L$1,SMALL(Dong11,ROWS($1:49)),)))</f>
        <v>154</v>
      </c>
      <c r="F62" s="194">
        <f ca="1">IF(ROWS($1:49)&gt;COUNT(Dong11),0,OFFSET(TH!J$1,SMALL(Dong11,ROWS($1:49)),))</f>
        <v>4449</v>
      </c>
      <c r="G62" s="194">
        <f ca="1">IF(ROWS($1:49)&gt;COUNT(Dong11),0,IF(MID(OFFSET(TH!D$1,SMALL(Dong11,ROWS($1:49)),),4,1)="N",OFFSET(TH!I$1,SMALL(Dong11,ROWS($1:49)),),0))</f>
        <v>0</v>
      </c>
      <c r="H62" s="195">
        <f t="shared" ca="1" si="11"/>
        <v>0</v>
      </c>
      <c r="I62" s="194">
        <f ca="1">IF(ROWS($1:49)&gt;COUNT(Dong11),0,IF(MID(OFFSET(TH!D$1,SMALL(Dong11,ROWS($1:49)),),4,1)="X",OFFSET(TH!I$1,SMALL(Dong11,ROWS($1:49)),),0))</f>
        <v>1</v>
      </c>
      <c r="J62" s="195">
        <f t="shared" ca="1" si="12"/>
        <v>4449</v>
      </c>
      <c r="K62" s="195">
        <f t="shared" ca="1" si="13"/>
        <v>152</v>
      </c>
      <c r="L62" s="195">
        <f t="shared" ca="1" si="14"/>
        <v>676248</v>
      </c>
      <c r="M62" s="195"/>
      <c r="N62" s="185"/>
    </row>
    <row r="63" spans="1:14" s="167" customFormat="1" ht="15">
      <c r="A63" s="577">
        <f t="shared" ref="A63:A72" ca="1" si="15">IF(B63="","",A62+1)</f>
        <v>50</v>
      </c>
      <c r="B63" s="191" t="str">
        <f ca="1">IF(ROWS($1:50)&gt;COUNT(Dong11),"",OFFSET(TH!D$1,SMALL(Dong11,ROWS($1:50)),))</f>
        <v>NL/X22</v>
      </c>
      <c r="C63" s="192">
        <f ca="1">IF(ROWS($1:50)&gt;COUNT(Dong11),"",OFFSET(TH!E$1,SMALL(Dong11,ROWS($1:50)),))</f>
        <v>40807</v>
      </c>
      <c r="D63" s="193" t="str">
        <f ca="1">IF(ROWS($1:50)&gt;COUNT(Dong11),"",OFFSET(TH!H$1,SMALL(Dong11,ROWS($1:50)),))</f>
        <v>Bộ phận SX</v>
      </c>
      <c r="E63" s="191" t="str">
        <f ca="1">IF(ROWS($1:50)&gt;COUNT(Dong11),"",IF(OFFSET(TH!L$1,SMALL(Dong11,ROWS($1:50)),)=$G$7,OFFSET(TH!M$1,SMALL(Dong11,ROWS($1:50)),),OFFSET(TH!L$1,SMALL(Dong11,ROWS($1:50)),)))</f>
        <v>154</v>
      </c>
      <c r="F63" s="194">
        <f ca="1">IF(ROWS($1:50)&gt;COUNT(Dong11),0,OFFSET(TH!J$1,SMALL(Dong11,ROWS($1:50)),))</f>
        <v>4449</v>
      </c>
      <c r="G63" s="194">
        <f ca="1">IF(ROWS($1:50)&gt;COUNT(Dong11),0,IF(MID(OFFSET(TH!D$1,SMALL(Dong11,ROWS($1:50)),),4,1)="N",OFFSET(TH!I$1,SMALL(Dong11,ROWS($1:50)),),0))</f>
        <v>0</v>
      </c>
      <c r="H63" s="195">
        <f t="shared" ref="H63:H72" ca="1" si="16">ROUND(F63*G63,0)</f>
        <v>0</v>
      </c>
      <c r="I63" s="194">
        <f ca="1">IF(ROWS($1:50)&gt;COUNT(Dong11),0,IF(MID(OFFSET(TH!D$1,SMALL(Dong11,ROWS($1:50)),),4,1)="X",OFFSET(TH!I$1,SMALL(Dong11,ROWS($1:50)),),0))</f>
        <v>5</v>
      </c>
      <c r="J63" s="195">
        <f t="shared" ref="J63:J72" ca="1" si="17">ROUND(F63*I63,0)</f>
        <v>22245</v>
      </c>
      <c r="K63" s="195">
        <f t="shared" ref="K63:K72" ca="1" si="18">IF(D63&lt;&gt;"",K62+G63-I63,0)</f>
        <v>147</v>
      </c>
      <c r="L63" s="195">
        <f t="shared" ref="L63:L72" ca="1" si="19">IF(D63&lt;&gt;"",L62+H63-J63,0)</f>
        <v>654003</v>
      </c>
      <c r="M63" s="195"/>
      <c r="N63" s="185"/>
    </row>
    <row r="64" spans="1:14" s="167" customFormat="1" ht="15">
      <c r="A64" s="577">
        <f t="shared" ca="1" si="15"/>
        <v>51</v>
      </c>
      <c r="B64" s="191" t="str">
        <f ca="1">IF(ROWS($1:51)&gt;COUNT(Dong11),"",OFFSET(TH!D$1,SMALL(Dong11,ROWS($1:51)),))</f>
        <v>NL/X11</v>
      </c>
      <c r="C64" s="192">
        <f ca="1">IF(ROWS($1:51)&gt;COUNT(Dong11),"",OFFSET(TH!E$1,SMALL(Dong11,ROWS($1:51)),))</f>
        <v>40856</v>
      </c>
      <c r="D64" s="193" t="str">
        <f ca="1">IF(ROWS($1:51)&gt;COUNT(Dong11),"",OFFSET(TH!H$1,SMALL(Dong11,ROWS($1:51)),))</f>
        <v>Bộ phận SX</v>
      </c>
      <c r="E64" s="191" t="str">
        <f ca="1">IF(ROWS($1:51)&gt;COUNT(Dong11),"",IF(OFFSET(TH!L$1,SMALL(Dong11,ROWS($1:51)),)=$G$7,OFFSET(TH!M$1,SMALL(Dong11,ROWS($1:51)),),OFFSET(TH!L$1,SMALL(Dong11,ROWS($1:51)),)))</f>
        <v>154</v>
      </c>
      <c r="F64" s="194">
        <f ca="1">IF(ROWS($1:51)&gt;COUNT(Dong11),0,OFFSET(TH!J$1,SMALL(Dong11,ROWS($1:51)),))</f>
        <v>4449</v>
      </c>
      <c r="G64" s="194">
        <f ca="1">IF(ROWS($1:51)&gt;COUNT(Dong11),0,IF(MID(OFFSET(TH!D$1,SMALL(Dong11,ROWS($1:51)),),4,1)="N",OFFSET(TH!I$1,SMALL(Dong11,ROWS($1:51)),),0))</f>
        <v>0</v>
      </c>
      <c r="H64" s="195">
        <f t="shared" ca="1" si="16"/>
        <v>0</v>
      </c>
      <c r="I64" s="194">
        <f ca="1">IF(ROWS($1:51)&gt;COUNT(Dong11),0,IF(MID(OFFSET(TH!D$1,SMALL(Dong11,ROWS($1:51)),),4,1)="X",OFFSET(TH!I$1,SMALL(Dong11,ROWS($1:51)),),0))</f>
        <v>1</v>
      </c>
      <c r="J64" s="195">
        <f t="shared" ca="1" si="17"/>
        <v>4449</v>
      </c>
      <c r="K64" s="195">
        <f t="shared" ca="1" si="18"/>
        <v>146</v>
      </c>
      <c r="L64" s="195">
        <f t="shared" ca="1" si="19"/>
        <v>649554</v>
      </c>
      <c r="M64" s="195"/>
      <c r="N64" s="185"/>
    </row>
    <row r="65" spans="1:14" s="167" customFormat="1" ht="15">
      <c r="A65" s="577">
        <f t="shared" ca="1" si="15"/>
        <v>52</v>
      </c>
      <c r="B65" s="191" t="str">
        <f ca="1">IF(ROWS($1:52)&gt;COUNT(Dong11),"",OFFSET(TH!D$1,SMALL(Dong11,ROWS($1:52)),))</f>
        <v>NL/X13</v>
      </c>
      <c r="C65" s="192">
        <f ca="1">IF(ROWS($1:52)&gt;COUNT(Dong11),"",OFFSET(TH!E$1,SMALL(Dong11,ROWS($1:52)),))</f>
        <v>40860</v>
      </c>
      <c r="D65" s="193" t="str">
        <f ca="1">IF(ROWS($1:52)&gt;COUNT(Dong11),"",OFFSET(TH!H$1,SMALL(Dong11,ROWS($1:52)),))</f>
        <v>Bộ phận SX</v>
      </c>
      <c r="E65" s="191" t="str">
        <f ca="1">IF(ROWS($1:52)&gt;COUNT(Dong11),"",IF(OFFSET(TH!L$1,SMALL(Dong11,ROWS($1:52)),)=$G$7,OFFSET(TH!M$1,SMALL(Dong11,ROWS($1:52)),),OFFSET(TH!L$1,SMALL(Dong11,ROWS($1:52)),)))</f>
        <v>154</v>
      </c>
      <c r="F65" s="194">
        <f ca="1">IF(ROWS($1:52)&gt;COUNT(Dong11),0,OFFSET(TH!J$1,SMALL(Dong11,ROWS($1:52)),))</f>
        <v>4449</v>
      </c>
      <c r="G65" s="194">
        <f ca="1">IF(ROWS($1:52)&gt;COUNT(Dong11),0,IF(MID(OFFSET(TH!D$1,SMALL(Dong11,ROWS($1:52)),),4,1)="N",OFFSET(TH!I$1,SMALL(Dong11,ROWS($1:52)),),0))</f>
        <v>0</v>
      </c>
      <c r="H65" s="195">
        <f t="shared" ca="1" si="16"/>
        <v>0</v>
      </c>
      <c r="I65" s="194">
        <f ca="1">IF(ROWS($1:52)&gt;COUNT(Dong11),0,IF(MID(OFFSET(TH!D$1,SMALL(Dong11,ROWS($1:52)),),4,1)="X",OFFSET(TH!I$1,SMALL(Dong11,ROWS($1:52)),),0))</f>
        <v>1</v>
      </c>
      <c r="J65" s="195">
        <f t="shared" ca="1" si="17"/>
        <v>4449</v>
      </c>
      <c r="K65" s="195">
        <f t="shared" ca="1" si="18"/>
        <v>145</v>
      </c>
      <c r="L65" s="195">
        <f t="shared" ca="1" si="19"/>
        <v>645105</v>
      </c>
      <c r="M65" s="195"/>
      <c r="N65" s="185"/>
    </row>
    <row r="66" spans="1:14" s="167" customFormat="1" ht="15">
      <c r="A66" s="577">
        <f t="shared" ca="1" si="15"/>
        <v>53</v>
      </c>
      <c r="B66" s="191" t="str">
        <f ca="1">IF(ROWS($1:53)&gt;COUNT(Dong11),"",OFFSET(TH!D$1,SMALL(Dong11,ROWS($1:53)),))</f>
        <v>NL/X13</v>
      </c>
      <c r="C66" s="192">
        <f ca="1">IF(ROWS($1:53)&gt;COUNT(Dong11),"",OFFSET(TH!E$1,SMALL(Dong11,ROWS($1:53)),))</f>
        <v>40860</v>
      </c>
      <c r="D66" s="193" t="str">
        <f ca="1">IF(ROWS($1:53)&gt;COUNT(Dong11),"",OFFSET(TH!H$1,SMALL(Dong11,ROWS($1:53)),))</f>
        <v>Bộ phận SX</v>
      </c>
      <c r="E66" s="191" t="str">
        <f ca="1">IF(ROWS($1:53)&gt;COUNT(Dong11),"",IF(OFFSET(TH!L$1,SMALL(Dong11,ROWS($1:53)),)=$G$7,OFFSET(TH!M$1,SMALL(Dong11,ROWS($1:53)),),OFFSET(TH!L$1,SMALL(Dong11,ROWS($1:53)),)))</f>
        <v>154</v>
      </c>
      <c r="F66" s="194">
        <f ca="1">IF(ROWS($1:53)&gt;COUNT(Dong11),0,OFFSET(TH!J$1,SMALL(Dong11,ROWS($1:53)),))</f>
        <v>4449</v>
      </c>
      <c r="G66" s="194">
        <f ca="1">IF(ROWS($1:53)&gt;COUNT(Dong11),0,IF(MID(OFFSET(TH!D$1,SMALL(Dong11,ROWS($1:53)),),4,1)="N",OFFSET(TH!I$1,SMALL(Dong11,ROWS($1:53)),),0))</f>
        <v>0</v>
      </c>
      <c r="H66" s="195">
        <f t="shared" ca="1" si="16"/>
        <v>0</v>
      </c>
      <c r="I66" s="194">
        <f ca="1">IF(ROWS($1:53)&gt;COUNT(Dong11),0,IF(MID(OFFSET(TH!D$1,SMALL(Dong11,ROWS($1:53)),),4,1)="X",OFFSET(TH!I$1,SMALL(Dong11,ROWS($1:53)),),0))</f>
        <v>4</v>
      </c>
      <c r="J66" s="195">
        <f t="shared" ca="1" si="17"/>
        <v>17796</v>
      </c>
      <c r="K66" s="195">
        <f t="shared" ca="1" si="18"/>
        <v>141</v>
      </c>
      <c r="L66" s="195">
        <f t="shared" ca="1" si="19"/>
        <v>627309</v>
      </c>
      <c r="M66" s="195"/>
      <c r="N66" s="185"/>
    </row>
    <row r="67" spans="1:14" s="167" customFormat="1" ht="15">
      <c r="A67" s="577">
        <f t="shared" ca="1" si="15"/>
        <v>54</v>
      </c>
      <c r="B67" s="191" t="str">
        <f ca="1">IF(ROWS($1:54)&gt;COUNT(Dong11),"",OFFSET(TH!D$1,SMALL(Dong11,ROWS($1:54)),))</f>
        <v>NL/X13</v>
      </c>
      <c r="C67" s="192">
        <f ca="1">IF(ROWS($1:54)&gt;COUNT(Dong11),"",OFFSET(TH!E$1,SMALL(Dong11,ROWS($1:54)),))</f>
        <v>40860</v>
      </c>
      <c r="D67" s="193" t="str">
        <f ca="1">IF(ROWS($1:54)&gt;COUNT(Dong11),"",OFFSET(TH!H$1,SMALL(Dong11,ROWS($1:54)),))</f>
        <v>Bộ phận SX</v>
      </c>
      <c r="E67" s="191" t="str">
        <f ca="1">IF(ROWS($1:54)&gt;COUNT(Dong11),"",IF(OFFSET(TH!L$1,SMALL(Dong11,ROWS($1:54)),)=$G$7,OFFSET(TH!M$1,SMALL(Dong11,ROWS($1:54)),),OFFSET(TH!L$1,SMALL(Dong11,ROWS($1:54)),)))</f>
        <v>154</v>
      </c>
      <c r="F67" s="194">
        <f ca="1">IF(ROWS($1:54)&gt;COUNT(Dong11),0,OFFSET(TH!J$1,SMALL(Dong11,ROWS($1:54)),))</f>
        <v>4449</v>
      </c>
      <c r="G67" s="194">
        <f ca="1">IF(ROWS($1:54)&gt;COUNT(Dong11),0,IF(MID(OFFSET(TH!D$1,SMALL(Dong11,ROWS($1:54)),),4,1)="N",OFFSET(TH!I$1,SMALL(Dong11,ROWS($1:54)),),0))</f>
        <v>0</v>
      </c>
      <c r="H67" s="195">
        <f t="shared" ca="1" si="16"/>
        <v>0</v>
      </c>
      <c r="I67" s="194">
        <f ca="1">IF(ROWS($1:54)&gt;COUNT(Dong11),0,IF(MID(OFFSET(TH!D$1,SMALL(Dong11,ROWS($1:54)),),4,1)="X",OFFSET(TH!I$1,SMALL(Dong11,ROWS($1:54)),),0))</f>
        <v>2</v>
      </c>
      <c r="J67" s="195">
        <f t="shared" ca="1" si="17"/>
        <v>8898</v>
      </c>
      <c r="K67" s="195">
        <f t="shared" ca="1" si="18"/>
        <v>139</v>
      </c>
      <c r="L67" s="195">
        <f t="shared" ca="1" si="19"/>
        <v>618411</v>
      </c>
      <c r="M67" s="195"/>
      <c r="N67" s="185"/>
    </row>
    <row r="68" spans="1:14" s="167" customFormat="1" ht="15">
      <c r="A68" s="577">
        <f t="shared" ca="1" si="15"/>
        <v>55</v>
      </c>
      <c r="B68" s="191" t="str">
        <f ca="1">IF(ROWS($1:55)&gt;COUNT(Dong11),"",OFFSET(TH!D$1,SMALL(Dong11,ROWS($1:55)),))</f>
        <v>NL/X15</v>
      </c>
      <c r="C68" s="192">
        <f ca="1">IF(ROWS($1:55)&gt;COUNT(Dong11),"",OFFSET(TH!E$1,SMALL(Dong11,ROWS($1:55)),))</f>
        <v>40862</v>
      </c>
      <c r="D68" s="193" t="str">
        <f ca="1">IF(ROWS($1:55)&gt;COUNT(Dong11),"",OFFSET(TH!H$1,SMALL(Dong11,ROWS($1:55)),))</f>
        <v>Bộ phận SX</v>
      </c>
      <c r="E68" s="191" t="str">
        <f ca="1">IF(ROWS($1:55)&gt;COUNT(Dong11),"",IF(OFFSET(TH!L$1,SMALL(Dong11,ROWS($1:55)),)=$G$7,OFFSET(TH!M$1,SMALL(Dong11,ROWS($1:55)),),OFFSET(TH!L$1,SMALL(Dong11,ROWS($1:55)),)))</f>
        <v>154</v>
      </c>
      <c r="F68" s="194">
        <f ca="1">IF(ROWS($1:55)&gt;COUNT(Dong11),0,OFFSET(TH!J$1,SMALL(Dong11,ROWS($1:55)),))</f>
        <v>4449</v>
      </c>
      <c r="G68" s="194">
        <f ca="1">IF(ROWS($1:55)&gt;COUNT(Dong11),0,IF(MID(OFFSET(TH!D$1,SMALL(Dong11,ROWS($1:55)),),4,1)="N",OFFSET(TH!I$1,SMALL(Dong11,ROWS($1:55)),),0))</f>
        <v>0</v>
      </c>
      <c r="H68" s="195">
        <f t="shared" ca="1" si="16"/>
        <v>0</v>
      </c>
      <c r="I68" s="194">
        <f ca="1">IF(ROWS($1:55)&gt;COUNT(Dong11),0,IF(MID(OFFSET(TH!D$1,SMALL(Dong11,ROWS($1:55)),),4,1)="X",OFFSET(TH!I$1,SMALL(Dong11,ROWS($1:55)),),0))</f>
        <v>4</v>
      </c>
      <c r="J68" s="195">
        <f t="shared" ca="1" si="17"/>
        <v>17796</v>
      </c>
      <c r="K68" s="195">
        <f t="shared" ca="1" si="18"/>
        <v>135</v>
      </c>
      <c r="L68" s="195">
        <f t="shared" ca="1" si="19"/>
        <v>600615</v>
      </c>
      <c r="M68" s="195"/>
      <c r="N68" s="185"/>
    </row>
    <row r="69" spans="1:14" s="167" customFormat="1" ht="15">
      <c r="A69" s="577">
        <f t="shared" ca="1" si="15"/>
        <v>56</v>
      </c>
      <c r="B69" s="191" t="str">
        <f ca="1">IF(ROWS($1:56)&gt;COUNT(Dong11),"",OFFSET(TH!D$1,SMALL(Dong11,ROWS($1:56)),))</f>
        <v>NL/X16</v>
      </c>
      <c r="C69" s="192">
        <f ca="1">IF(ROWS($1:56)&gt;COUNT(Dong11),"",OFFSET(TH!E$1,SMALL(Dong11,ROWS($1:56)),))</f>
        <v>40863</v>
      </c>
      <c r="D69" s="193" t="str">
        <f ca="1">IF(ROWS($1:56)&gt;COUNT(Dong11),"",OFFSET(TH!H$1,SMALL(Dong11,ROWS($1:56)),))</f>
        <v>Bộ phận SX</v>
      </c>
      <c r="E69" s="191" t="str">
        <f ca="1">IF(ROWS($1:56)&gt;COUNT(Dong11),"",IF(OFFSET(TH!L$1,SMALL(Dong11,ROWS($1:56)),)=$G$7,OFFSET(TH!M$1,SMALL(Dong11,ROWS($1:56)),),OFFSET(TH!L$1,SMALL(Dong11,ROWS($1:56)),)))</f>
        <v>154</v>
      </c>
      <c r="F69" s="194">
        <f ca="1">IF(ROWS($1:56)&gt;COUNT(Dong11),0,OFFSET(TH!J$1,SMALL(Dong11,ROWS($1:56)),))</f>
        <v>4449</v>
      </c>
      <c r="G69" s="194">
        <f ca="1">IF(ROWS($1:56)&gt;COUNT(Dong11),0,IF(MID(OFFSET(TH!D$1,SMALL(Dong11,ROWS($1:56)),),4,1)="N",OFFSET(TH!I$1,SMALL(Dong11,ROWS($1:56)),),0))</f>
        <v>0</v>
      </c>
      <c r="H69" s="195">
        <f t="shared" ca="1" si="16"/>
        <v>0</v>
      </c>
      <c r="I69" s="194">
        <f ca="1">IF(ROWS($1:56)&gt;COUNT(Dong11),0,IF(MID(OFFSET(TH!D$1,SMALL(Dong11,ROWS($1:56)),),4,1)="X",OFFSET(TH!I$1,SMALL(Dong11,ROWS($1:56)),),0))</f>
        <v>8</v>
      </c>
      <c r="J69" s="195">
        <f t="shared" ca="1" si="17"/>
        <v>35592</v>
      </c>
      <c r="K69" s="195">
        <f t="shared" ca="1" si="18"/>
        <v>127</v>
      </c>
      <c r="L69" s="195">
        <f t="shared" ca="1" si="19"/>
        <v>565023</v>
      </c>
      <c r="M69" s="195"/>
      <c r="N69" s="185"/>
    </row>
    <row r="70" spans="1:14" s="167" customFormat="1" ht="15">
      <c r="A70" s="577">
        <f t="shared" ca="1" si="15"/>
        <v>57</v>
      </c>
      <c r="B70" s="191" t="str">
        <f ca="1">IF(ROWS($1:57)&gt;COUNT(Dong11),"",OFFSET(TH!D$1,SMALL(Dong11,ROWS($1:57)),))</f>
        <v>NL/X16</v>
      </c>
      <c r="C70" s="192">
        <f ca="1">IF(ROWS($1:57)&gt;COUNT(Dong11),"",OFFSET(TH!E$1,SMALL(Dong11,ROWS($1:57)),))</f>
        <v>40863</v>
      </c>
      <c r="D70" s="193" t="str">
        <f ca="1">IF(ROWS($1:57)&gt;COUNT(Dong11),"",OFFSET(TH!H$1,SMALL(Dong11,ROWS($1:57)),))</f>
        <v>Bộ phận SX</v>
      </c>
      <c r="E70" s="191" t="str">
        <f ca="1">IF(ROWS($1:57)&gt;COUNT(Dong11),"",IF(OFFSET(TH!L$1,SMALL(Dong11,ROWS($1:57)),)=$G$7,OFFSET(TH!M$1,SMALL(Dong11,ROWS($1:57)),),OFFSET(TH!L$1,SMALL(Dong11,ROWS($1:57)),)))</f>
        <v>154</v>
      </c>
      <c r="F70" s="194">
        <f ca="1">IF(ROWS($1:57)&gt;COUNT(Dong11),0,OFFSET(TH!J$1,SMALL(Dong11,ROWS($1:57)),))</f>
        <v>4449</v>
      </c>
      <c r="G70" s="194">
        <f ca="1">IF(ROWS($1:57)&gt;COUNT(Dong11),0,IF(MID(OFFSET(TH!D$1,SMALL(Dong11,ROWS($1:57)),),4,1)="N",OFFSET(TH!I$1,SMALL(Dong11,ROWS($1:57)),),0))</f>
        <v>0</v>
      </c>
      <c r="H70" s="195">
        <f t="shared" ca="1" si="16"/>
        <v>0</v>
      </c>
      <c r="I70" s="194">
        <f ca="1">IF(ROWS($1:57)&gt;COUNT(Dong11),0,IF(MID(OFFSET(TH!D$1,SMALL(Dong11,ROWS($1:57)),),4,1)="X",OFFSET(TH!I$1,SMALL(Dong11,ROWS($1:57)),),0))</f>
        <v>3</v>
      </c>
      <c r="J70" s="195">
        <f t="shared" ca="1" si="17"/>
        <v>13347</v>
      </c>
      <c r="K70" s="195">
        <f t="shared" ca="1" si="18"/>
        <v>124</v>
      </c>
      <c r="L70" s="195">
        <f t="shared" ca="1" si="19"/>
        <v>551676</v>
      </c>
      <c r="M70" s="195"/>
      <c r="N70" s="185"/>
    </row>
    <row r="71" spans="1:14" s="167" customFormat="1" ht="15">
      <c r="A71" s="577">
        <f t="shared" ca="1" si="15"/>
        <v>58</v>
      </c>
      <c r="B71" s="191" t="str">
        <f ca="1">IF(ROWS($1:58)&gt;COUNT(Dong11),"",OFFSET(TH!D$1,SMALL(Dong11,ROWS($1:58)),))</f>
        <v>NL/X16</v>
      </c>
      <c r="C71" s="192">
        <f ca="1">IF(ROWS($1:58)&gt;COUNT(Dong11),"",OFFSET(TH!E$1,SMALL(Dong11,ROWS($1:58)),))</f>
        <v>40863</v>
      </c>
      <c r="D71" s="193" t="str">
        <f ca="1">IF(ROWS($1:58)&gt;COUNT(Dong11),"",OFFSET(TH!H$1,SMALL(Dong11,ROWS($1:58)),))</f>
        <v>Bộ phận SX</v>
      </c>
      <c r="E71" s="191" t="str">
        <f ca="1">IF(ROWS($1:58)&gt;COUNT(Dong11),"",IF(OFFSET(TH!L$1,SMALL(Dong11,ROWS($1:58)),)=$G$7,OFFSET(TH!M$1,SMALL(Dong11,ROWS($1:58)),),OFFSET(TH!L$1,SMALL(Dong11,ROWS($1:58)),)))</f>
        <v>154</v>
      </c>
      <c r="F71" s="194">
        <f ca="1">IF(ROWS($1:58)&gt;COUNT(Dong11),0,OFFSET(TH!J$1,SMALL(Dong11,ROWS($1:58)),))</f>
        <v>4449</v>
      </c>
      <c r="G71" s="194">
        <f ca="1">IF(ROWS($1:58)&gt;COUNT(Dong11),0,IF(MID(OFFSET(TH!D$1,SMALL(Dong11,ROWS($1:58)),),4,1)="N",OFFSET(TH!I$1,SMALL(Dong11,ROWS($1:58)),),0))</f>
        <v>0</v>
      </c>
      <c r="H71" s="195">
        <f t="shared" ca="1" si="16"/>
        <v>0</v>
      </c>
      <c r="I71" s="194">
        <f ca="1">IF(ROWS($1:58)&gt;COUNT(Dong11),0,IF(MID(OFFSET(TH!D$1,SMALL(Dong11,ROWS($1:58)),),4,1)="X",OFFSET(TH!I$1,SMALL(Dong11,ROWS($1:58)),),0))</f>
        <v>6</v>
      </c>
      <c r="J71" s="195">
        <f t="shared" ca="1" si="17"/>
        <v>26694</v>
      </c>
      <c r="K71" s="195">
        <f t="shared" ca="1" si="18"/>
        <v>118</v>
      </c>
      <c r="L71" s="195">
        <f t="shared" ca="1" si="19"/>
        <v>524982</v>
      </c>
      <c r="M71" s="195"/>
      <c r="N71" s="185"/>
    </row>
    <row r="72" spans="1:14" s="167" customFormat="1" ht="15">
      <c r="A72" s="577">
        <f t="shared" ca="1" si="15"/>
        <v>59</v>
      </c>
      <c r="B72" s="191" t="str">
        <f ca="1">IF(ROWS($1:59)&gt;COUNT(Dong11),"",OFFSET(TH!D$1,SMALL(Dong11,ROWS($1:59)),))</f>
        <v>NL/X16</v>
      </c>
      <c r="C72" s="192">
        <f ca="1">IF(ROWS($1:59)&gt;COUNT(Dong11),"",OFFSET(TH!E$1,SMALL(Dong11,ROWS($1:59)),))</f>
        <v>40863</v>
      </c>
      <c r="D72" s="193" t="str">
        <f ca="1">IF(ROWS($1:59)&gt;COUNT(Dong11),"",OFFSET(TH!H$1,SMALL(Dong11,ROWS($1:59)),))</f>
        <v>Bộ phận SX</v>
      </c>
      <c r="E72" s="191" t="str">
        <f ca="1">IF(ROWS($1:59)&gt;COUNT(Dong11),"",IF(OFFSET(TH!L$1,SMALL(Dong11,ROWS($1:59)),)=$G$7,OFFSET(TH!M$1,SMALL(Dong11,ROWS($1:59)),),OFFSET(TH!L$1,SMALL(Dong11,ROWS($1:59)),)))</f>
        <v>154</v>
      </c>
      <c r="F72" s="194">
        <f ca="1">IF(ROWS($1:59)&gt;COUNT(Dong11),0,OFFSET(TH!J$1,SMALL(Dong11,ROWS($1:59)),))</f>
        <v>4449</v>
      </c>
      <c r="G72" s="194">
        <f ca="1">IF(ROWS($1:59)&gt;COUNT(Dong11),0,IF(MID(OFFSET(TH!D$1,SMALL(Dong11,ROWS($1:59)),),4,1)="N",OFFSET(TH!I$1,SMALL(Dong11,ROWS($1:59)),),0))</f>
        <v>0</v>
      </c>
      <c r="H72" s="195">
        <f t="shared" ca="1" si="16"/>
        <v>0</v>
      </c>
      <c r="I72" s="194">
        <f ca="1">IF(ROWS($1:59)&gt;COUNT(Dong11),0,IF(MID(OFFSET(TH!D$1,SMALL(Dong11,ROWS($1:59)),),4,1)="X",OFFSET(TH!I$1,SMALL(Dong11,ROWS($1:59)),),0))</f>
        <v>7</v>
      </c>
      <c r="J72" s="195">
        <f t="shared" ca="1" si="17"/>
        <v>31143</v>
      </c>
      <c r="K72" s="195">
        <f t="shared" ca="1" si="18"/>
        <v>111</v>
      </c>
      <c r="L72" s="195">
        <f t="shared" ca="1" si="19"/>
        <v>493839</v>
      </c>
      <c r="M72" s="195"/>
      <c r="N72" s="185"/>
    </row>
    <row r="73" spans="1:14" s="167" customFormat="1" ht="15">
      <c r="A73" s="577" t="str">
        <f>IF(B73="","",#REF!+1)</f>
        <v/>
      </c>
      <c r="B73" s="198"/>
      <c r="C73" s="199"/>
      <c r="D73" s="193"/>
      <c r="E73" s="200"/>
      <c r="F73" s="578"/>
      <c r="G73" s="187"/>
      <c r="H73" s="187"/>
      <c r="I73" s="187"/>
      <c r="J73" s="187"/>
      <c r="K73" s="187"/>
      <c r="L73" s="187"/>
      <c r="M73" s="201"/>
      <c r="N73" s="185"/>
    </row>
    <row r="74" spans="1:14" s="167" customFormat="1" ht="15">
      <c r="A74" s="202"/>
      <c r="B74" s="202"/>
      <c r="C74" s="202"/>
      <c r="D74" s="202" t="s">
        <v>210</v>
      </c>
      <c r="E74" s="387" t="s">
        <v>18</v>
      </c>
      <c r="F74" s="387" t="s">
        <v>18</v>
      </c>
      <c r="G74" s="203">
        <f ca="1">SUM(G14:G73)</f>
        <v>2500</v>
      </c>
      <c r="H74" s="203">
        <f ca="1">SUM(H14:H73)</f>
        <v>11122500</v>
      </c>
      <c r="I74" s="203">
        <f ca="1">SUM(I14:I73)</f>
        <v>2389</v>
      </c>
      <c r="J74" s="203">
        <f ca="1">SUM(J14:J73)</f>
        <v>10628661</v>
      </c>
      <c r="K74" s="203">
        <f ca="1">K13+G74-I74</f>
        <v>111</v>
      </c>
      <c r="L74" s="203">
        <f ca="1">L13+H74-J74</f>
        <v>493839</v>
      </c>
      <c r="M74" s="202"/>
      <c r="N74" s="185"/>
    </row>
    <row r="75" spans="1:14" s="167" customFormat="1" ht="15">
      <c r="B75" s="204" t="s">
        <v>211</v>
      </c>
      <c r="E75" s="388"/>
      <c r="G75" s="197"/>
      <c r="N75" s="185"/>
    </row>
    <row r="76" spans="1:14" s="167" customFormat="1" ht="15">
      <c r="B76" s="39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88"/>
      <c r="G76" s="197"/>
      <c r="I76" s="197"/>
      <c r="N76" s="185"/>
    </row>
    <row r="77" spans="1:14" s="167" customFormat="1" ht="15">
      <c r="B77" s="175"/>
      <c r="C77" s="175"/>
      <c r="D77" s="175"/>
      <c r="E77" s="388"/>
      <c r="F77" s="175"/>
      <c r="G77" s="205"/>
      <c r="H77" s="388"/>
      <c r="I77" s="206"/>
      <c r="J77" s="898" t="str">
        <f ca="1">"Ngày 31 tháng  12  năm  "&amp;YEAR($C$14)</f>
        <v>Ngày 31 tháng  12  năm  2011</v>
      </c>
      <c r="K77" s="898"/>
      <c r="L77" s="898"/>
      <c r="M77" s="898"/>
      <c r="N77" s="185"/>
    </row>
    <row r="78" spans="1:14" s="167" customFormat="1" ht="15">
      <c r="C78" s="175"/>
      <c r="D78" s="388" t="s">
        <v>11</v>
      </c>
      <c r="E78" s="898" t="s">
        <v>12</v>
      </c>
      <c r="F78" s="898"/>
      <c r="G78" s="898"/>
      <c r="H78" s="898"/>
      <c r="I78" s="898"/>
      <c r="J78" s="898" t="s">
        <v>98</v>
      </c>
      <c r="K78" s="898"/>
      <c r="L78" s="898"/>
      <c r="M78" s="898"/>
      <c r="N78" s="185"/>
    </row>
    <row r="79" spans="1:14" s="167" customFormat="1" ht="15">
      <c r="C79" s="175"/>
      <c r="D79" s="388" t="s">
        <v>13</v>
      </c>
      <c r="E79" s="898" t="s">
        <v>13</v>
      </c>
      <c r="F79" s="898"/>
      <c r="G79" s="898"/>
      <c r="H79" s="898" t="s">
        <v>125</v>
      </c>
      <c r="I79" s="898"/>
      <c r="J79" s="898" t="s">
        <v>125</v>
      </c>
      <c r="K79" s="898"/>
      <c r="L79" s="898"/>
      <c r="M79" s="898"/>
      <c r="N79" s="185"/>
    </row>
    <row r="80" spans="1:14" s="167" customFormat="1" ht="15">
      <c r="E80" s="388"/>
    </row>
  </sheetData>
  <mergeCells count="19"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82" customWidth="1"/>
    <col min="2" max="2" width="9.42578125" style="582" customWidth="1"/>
    <col min="3" max="3" width="9.140625" style="631" customWidth="1"/>
    <col min="4" max="4" width="10.85546875" style="631" customWidth="1"/>
    <col min="5" max="5" width="41" style="632" customWidth="1"/>
    <col min="6" max="6" width="10.85546875" style="633" customWidth="1"/>
    <col min="7" max="9" width="10.28515625" style="621" customWidth="1"/>
    <col min="10" max="10" width="10.28515625" style="582" customWidth="1"/>
    <col min="11" max="11" width="2.42578125" style="582" customWidth="1"/>
    <col min="12" max="12" width="6.5703125" style="582" customWidth="1"/>
    <col min="13" max="16384" width="9.140625" style="582"/>
  </cols>
  <sheetData>
    <row r="1" spans="1:12" ht="15" customHeight="1">
      <c r="A1" s="207" t="str">
        <f>TH!A1</f>
        <v>Đơn vị: CÔNG TY TNHH SX TM KIM DUNG PHÁT</v>
      </c>
      <c r="B1" s="208"/>
      <c r="C1" s="208"/>
      <c r="D1" s="208"/>
      <c r="E1" s="209"/>
      <c r="F1" s="916" t="s">
        <v>212</v>
      </c>
      <c r="G1" s="916"/>
      <c r="H1" s="916"/>
      <c r="I1" s="916"/>
      <c r="J1" s="916"/>
      <c r="K1" s="580"/>
      <c r="L1" s="581"/>
    </row>
    <row r="2" spans="1:12" ht="15" customHeight="1">
      <c r="A2" s="583" t="str">
        <f>TH!A2</f>
        <v>Địa chỉ: 1A227/1 Ấp 1, Phạm Văn Hai, Bình Chánh, TPHCM</v>
      </c>
      <c r="B2" s="208"/>
      <c r="C2" s="208"/>
      <c r="D2" s="208"/>
      <c r="E2" s="209"/>
      <c r="F2" s="91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5"/>
      <c r="H2" s="915"/>
      <c r="I2" s="915"/>
      <c r="J2" s="915"/>
      <c r="K2" s="580"/>
    </row>
    <row r="3" spans="1:12" ht="15">
      <c r="A3" s="208"/>
      <c r="B3" s="208"/>
      <c r="C3" s="208"/>
      <c r="D3" s="208"/>
      <c r="E3" s="209"/>
      <c r="F3" s="915"/>
      <c r="G3" s="915"/>
      <c r="H3" s="915"/>
      <c r="I3" s="915"/>
      <c r="J3" s="915"/>
      <c r="K3" s="580"/>
    </row>
    <row r="4" spans="1:12" ht="25.5" customHeight="1">
      <c r="A4" s="584"/>
      <c r="B4" s="584"/>
      <c r="C4" s="584"/>
      <c r="D4" s="584"/>
      <c r="E4" s="579" t="s">
        <v>213</v>
      </c>
      <c r="F4" s="584"/>
      <c r="G4" s="584"/>
      <c r="H4" s="584"/>
      <c r="I4" s="584"/>
      <c r="J4" s="580"/>
      <c r="K4" s="580"/>
    </row>
    <row r="5" spans="1:12" ht="15">
      <c r="A5" s="580"/>
      <c r="B5" s="580"/>
      <c r="C5" s="580"/>
      <c r="D5" s="580"/>
      <c r="E5" s="5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80"/>
      <c r="G5" s="580"/>
      <c r="H5" s="580"/>
      <c r="I5" s="580"/>
      <c r="J5" s="580"/>
      <c r="K5" s="580"/>
    </row>
    <row r="6" spans="1:12" ht="15">
      <c r="A6" s="580"/>
      <c r="B6" s="580"/>
      <c r="C6" s="580"/>
      <c r="D6" s="580"/>
      <c r="E6" s="585" t="s">
        <v>214</v>
      </c>
      <c r="F6" s="580"/>
      <c r="G6" s="580"/>
      <c r="H6" s="580"/>
      <c r="I6" s="580"/>
      <c r="J6" s="580"/>
      <c r="K6" s="580"/>
    </row>
    <row r="7" spans="1:12" ht="15">
      <c r="A7" s="586" t="s">
        <v>215</v>
      </c>
      <c r="B7" s="586"/>
      <c r="C7" s="587"/>
      <c r="D7" s="587"/>
      <c r="E7" s="588" t="s">
        <v>365</v>
      </c>
      <c r="F7" s="589"/>
      <c r="G7" s="590"/>
      <c r="H7" s="590"/>
      <c r="I7" s="590"/>
      <c r="J7" s="580"/>
      <c r="K7" s="580"/>
    </row>
    <row r="8" spans="1:12" ht="15">
      <c r="A8" s="586" t="s">
        <v>216</v>
      </c>
      <c r="B8" s="586"/>
      <c r="C8" s="580" t="str">
        <f>VLOOKUP($E$7,NXT!$C$10:$L$483,2,0)</f>
        <v>kg</v>
      </c>
      <c r="D8" s="586"/>
      <c r="E8" s="588"/>
      <c r="F8" s="589"/>
      <c r="G8" s="590"/>
      <c r="H8" s="590"/>
      <c r="I8" s="590"/>
      <c r="J8" s="580"/>
      <c r="K8" s="580"/>
    </row>
    <row r="9" spans="1:12" ht="15">
      <c r="A9" s="917" t="s">
        <v>217</v>
      </c>
      <c r="B9" s="918"/>
      <c r="C9" s="918"/>
      <c r="D9" s="918"/>
      <c r="E9" s="588"/>
      <c r="F9" s="589"/>
      <c r="G9" s="590"/>
      <c r="H9" s="590"/>
      <c r="I9" s="590"/>
      <c r="J9" s="591"/>
      <c r="K9" s="591"/>
    </row>
    <row r="10" spans="1:12" ht="19.5" customHeight="1">
      <c r="A10" s="919" t="s">
        <v>218</v>
      </c>
      <c r="B10" s="920" t="s">
        <v>219</v>
      </c>
      <c r="C10" s="922" t="s">
        <v>15</v>
      </c>
      <c r="D10" s="907"/>
      <c r="E10" s="923" t="s">
        <v>0</v>
      </c>
      <c r="F10" s="913" t="s">
        <v>220</v>
      </c>
      <c r="G10" s="906" t="s">
        <v>190</v>
      </c>
      <c r="H10" s="906"/>
      <c r="I10" s="907"/>
      <c r="J10" s="908" t="s">
        <v>221</v>
      </c>
      <c r="K10" s="210"/>
      <c r="L10" s="211" t="s">
        <v>206</v>
      </c>
    </row>
    <row r="11" spans="1:12" ht="19.5" customHeight="1">
      <c r="A11" s="919"/>
      <c r="B11" s="921"/>
      <c r="C11" s="212" t="s">
        <v>203</v>
      </c>
      <c r="D11" s="212" t="s">
        <v>204</v>
      </c>
      <c r="E11" s="924"/>
      <c r="F11" s="914"/>
      <c r="G11" s="213" t="s">
        <v>203</v>
      </c>
      <c r="H11" s="213" t="s">
        <v>204</v>
      </c>
      <c r="I11" s="213" t="s">
        <v>205</v>
      </c>
      <c r="J11" s="909"/>
      <c r="K11" s="210"/>
    </row>
    <row r="12" spans="1:12" ht="15">
      <c r="A12" s="592" t="s">
        <v>2</v>
      </c>
      <c r="B12" s="392" t="s">
        <v>3</v>
      </c>
      <c r="C12" s="390" t="s">
        <v>4</v>
      </c>
      <c r="D12" s="390" t="s">
        <v>5</v>
      </c>
      <c r="E12" s="393" t="s">
        <v>6</v>
      </c>
      <c r="F12" s="392" t="s">
        <v>119</v>
      </c>
      <c r="G12" s="593">
        <v>1</v>
      </c>
      <c r="H12" s="593">
        <v>2</v>
      </c>
      <c r="I12" s="593">
        <v>3</v>
      </c>
      <c r="J12" s="390" t="s">
        <v>120</v>
      </c>
      <c r="K12" s="210"/>
    </row>
    <row r="13" spans="1:12" ht="16.5" customHeight="1">
      <c r="A13" s="594"/>
      <c r="B13" s="595"/>
      <c r="C13" s="596"/>
      <c r="D13" s="596"/>
      <c r="E13" s="597" t="s">
        <v>181</v>
      </c>
      <c r="F13" s="595"/>
      <c r="G13" s="598"/>
      <c r="H13" s="598"/>
      <c r="I13" s="599">
        <f>VLOOKUP($E$7,NXT!$C$10:$L$483,3,0)</f>
        <v>0</v>
      </c>
      <c r="J13" s="594"/>
      <c r="K13" s="600"/>
    </row>
    <row r="14" spans="1:12" ht="16.5" customHeight="1">
      <c r="A14" s="634">
        <f ca="1">IF(B14&lt;&gt;"",ROW()-(ROW()-1),"")</f>
        <v>1</v>
      </c>
      <c r="B14" s="601">
        <f ca="1">IF(ROWS($1:1)&gt;COUNT(Dong12),"",OFFSET(TH!E$1,SMALL(Dong12,ROWS($1:1)),))</f>
        <v>40644</v>
      </c>
      <c r="C14" s="602" t="str">
        <f ca="1">IF(ROWS($1:1)&gt;COUNT(Dong12),"",IF(MID(OFFSET(TH!D$1,SMALL(Dong12,ROWS($1:1)),),4,1)="N",OFFSET(TH!D$1,SMALL(Dong12,ROWS($1:1)),),""))</f>
        <v>VL/N01</v>
      </c>
      <c r="D14" s="601" t="str">
        <f ca="1">IF(ROWS($1:1)&gt;COUNT(Dong12),"",IF(MID(OFFSET(TH!D$1,SMALL(Dong12,ROWS($1:1)),),4,1)="X",OFFSET(TH!D$1,SMALL(Dong12,ROWS($1:1)),),""))</f>
        <v/>
      </c>
      <c r="E14" s="603" t="str">
        <f ca="1">IF(ROWS($1:1)&gt;COUNT(Dong12),"",OFFSET(TH!H$1,SMALL(Dong12,ROWS($1:1)),))</f>
        <v>Cơ Sở Kéo Kẽm Thành Dũng</v>
      </c>
      <c r="F14" s="601">
        <f ca="1">B14</f>
        <v>40644</v>
      </c>
      <c r="G14" s="604">
        <f ca="1">IF(ROWS($1:1)&gt;COUNT(Dong12),0,IF(MID(OFFSET(TH!D$1,SMALL(Dong12,ROWS($1:1)),),4,1)="N",OFFSET(TH!I$1,SMALL(Dong12,ROWS($1:1)),),0))</f>
        <v>50</v>
      </c>
      <c r="H14" s="604">
        <f ca="1">IF(ROWS($1:1)&gt;COUNT(Dong12),0,IF(MID(OFFSET(TH!D$1,SMALL(Dong12,ROWS($1:1)),),4,1)="X",OFFSET(TH!I$1,SMALL(Dong12,ROWS($1:1)),),0))</f>
        <v>0</v>
      </c>
      <c r="I14" s="605">
        <f ca="1">IF(E14&lt;&gt;"",I13+G14-H14,0)</f>
        <v>50</v>
      </c>
      <c r="J14" s="606"/>
      <c r="K14" s="607"/>
    </row>
    <row r="15" spans="1:12" ht="16.5" customHeight="1">
      <c r="A15" s="635">
        <f ca="1">IF(B15&lt;&gt;"",A14+1,"")</f>
        <v>2</v>
      </c>
      <c r="B15" s="601">
        <f ca="1">IF(ROWS($1:2)&gt;COUNT(Dong12),"",OFFSET(TH!E$1,SMALL(Dong12,ROWS($1:2)),))</f>
        <v>40644</v>
      </c>
      <c r="C15" s="602" t="str">
        <f ca="1">IF(ROWS($1:2)&gt;COUNT(Dong12),"",IF(MID(OFFSET(TH!D$1,SMALL(Dong12,ROWS($1:2)),),4,1)="N",OFFSET(TH!D$1,SMALL(Dong12,ROWS($1:2)),),""))</f>
        <v/>
      </c>
      <c r="D15" s="601" t="str">
        <f ca="1">IF(ROWS($1:2)&gt;COUNT(Dong12),"",IF(MID(OFFSET(TH!D$1,SMALL(Dong12,ROWS($1:2)),),4,1)="X",OFFSET(TH!D$1,SMALL(Dong12,ROWS($1:2)),),""))</f>
        <v>VL/X01</v>
      </c>
      <c r="E15" s="603" t="str">
        <f ca="1">IF(ROWS($1:2)&gt;COUNT(Dong12),"",OFFSET(TH!H$1,SMALL(Dong12,ROWS($1:2)),))</f>
        <v>Bộ phận SX</v>
      </c>
      <c r="F15" s="601">
        <f t="shared" ref="F15:F30" ca="1" si="0">B15</f>
        <v>40644</v>
      </c>
      <c r="G15" s="604">
        <f ca="1">IF(ROWS($1:2)&gt;COUNT(Dong12),0,IF(MID(OFFSET(TH!D$1,SMALL(Dong12,ROWS($1:2)),),4,1)="N",OFFSET(TH!I$1,SMALL(Dong12,ROWS($1:2)),),0))</f>
        <v>0</v>
      </c>
      <c r="H15" s="604">
        <f ca="1">IF(ROWS($1:2)&gt;COUNT(Dong12),0,IF(MID(OFFSET(TH!D$1,SMALL(Dong12,ROWS($1:2)),),4,1)="X",OFFSET(TH!I$1,SMALL(Dong12,ROWS($1:2)),),0))</f>
        <v>50</v>
      </c>
      <c r="I15" s="605">
        <f t="shared" ref="I15:I30" ca="1" si="1">IF(E15&lt;&gt;"",I14+G15-H15,0)</f>
        <v>0</v>
      </c>
      <c r="J15" s="606"/>
      <c r="K15" s="607"/>
    </row>
    <row r="16" spans="1:12" ht="16.5" customHeight="1">
      <c r="A16" s="635">
        <f t="shared" ref="A16:A30" ca="1" si="2">IF(B16&lt;&gt;"",A15+1,"")</f>
        <v>3</v>
      </c>
      <c r="B16" s="601">
        <f ca="1">IF(ROWS($1:3)&gt;COUNT(Dong12),"",OFFSET(TH!E$1,SMALL(Dong12,ROWS($1:3)),))</f>
        <v>40709</v>
      </c>
      <c r="C16" s="602" t="str">
        <f ca="1">IF(ROWS($1:3)&gt;COUNT(Dong12),"",IF(MID(OFFSET(TH!D$1,SMALL(Dong12,ROWS($1:3)),),4,1)="N",OFFSET(TH!D$1,SMALL(Dong12,ROWS($1:3)),),""))</f>
        <v>VL/N04</v>
      </c>
      <c r="D16" s="601" t="str">
        <f ca="1">IF(ROWS($1:3)&gt;COUNT(Dong12),"",IF(MID(OFFSET(TH!D$1,SMALL(Dong12,ROWS($1:3)),),4,1)="X",OFFSET(TH!D$1,SMALL(Dong12,ROWS($1:3)),),""))</f>
        <v/>
      </c>
      <c r="E16" s="603" t="str">
        <f ca="1">IF(ROWS($1:3)&gt;COUNT(Dong12),"",OFFSET(TH!H$1,SMALL(Dong12,ROWS($1:3)),))</f>
        <v>Cơ Sở Kéo Kẽm Thành Dũng</v>
      </c>
      <c r="F16" s="601">
        <f t="shared" ca="1" si="0"/>
        <v>40709</v>
      </c>
      <c r="G16" s="604">
        <f ca="1">IF(ROWS($1:3)&gt;COUNT(Dong12),0,IF(MID(OFFSET(TH!D$1,SMALL(Dong12,ROWS($1:3)),),4,1)="N",OFFSET(TH!I$1,SMALL(Dong12,ROWS($1:3)),),0))</f>
        <v>50</v>
      </c>
      <c r="H16" s="604">
        <f ca="1">IF(ROWS($1:3)&gt;COUNT(Dong12),0,IF(MID(OFFSET(TH!D$1,SMALL(Dong12,ROWS($1:3)),),4,1)="X",OFFSET(TH!I$1,SMALL(Dong12,ROWS($1:3)),),0))</f>
        <v>0</v>
      </c>
      <c r="I16" s="605">
        <f t="shared" ca="1" si="1"/>
        <v>50</v>
      </c>
      <c r="J16" s="606"/>
      <c r="K16" s="607"/>
    </row>
    <row r="17" spans="1:11" ht="16.5" customHeight="1">
      <c r="A17" s="635">
        <f t="shared" ca="1" si="2"/>
        <v>4</v>
      </c>
      <c r="B17" s="601">
        <f ca="1">IF(ROWS($1:4)&gt;COUNT(Dong12),"",OFFSET(TH!E$1,SMALL(Dong12,ROWS($1:4)),))</f>
        <v>40725</v>
      </c>
      <c r="C17" s="602" t="str">
        <f ca="1">IF(ROWS($1:4)&gt;COUNT(Dong12),"",IF(MID(OFFSET(TH!D$1,SMALL(Dong12,ROWS($1:4)),),4,1)="N",OFFSET(TH!D$1,SMALL(Dong12,ROWS($1:4)),),""))</f>
        <v/>
      </c>
      <c r="D17" s="601" t="str">
        <f ca="1">IF(ROWS($1:4)&gt;COUNT(Dong12),"",IF(MID(OFFSET(TH!D$1,SMALL(Dong12,ROWS($1:4)),),4,1)="X",OFFSET(TH!D$1,SMALL(Dong12,ROWS($1:4)),),""))</f>
        <v>VL/X01</v>
      </c>
      <c r="E17" s="603" t="str">
        <f ca="1">IF(ROWS($1:4)&gt;COUNT(Dong12),"",OFFSET(TH!H$1,SMALL(Dong12,ROWS($1:4)),))</f>
        <v>Bộ phận SX</v>
      </c>
      <c r="F17" s="601">
        <f t="shared" ca="1" si="0"/>
        <v>40725</v>
      </c>
      <c r="G17" s="604">
        <f ca="1">IF(ROWS($1:4)&gt;COUNT(Dong12),0,IF(MID(OFFSET(TH!D$1,SMALL(Dong12,ROWS($1:4)),),4,1)="N",OFFSET(TH!I$1,SMALL(Dong12,ROWS($1:4)),),0))</f>
        <v>0</v>
      </c>
      <c r="H17" s="604">
        <f ca="1">IF(ROWS($1:4)&gt;COUNT(Dong12),0,IF(MID(OFFSET(TH!D$1,SMALL(Dong12,ROWS($1:4)),),4,1)="X",OFFSET(TH!I$1,SMALL(Dong12,ROWS($1:4)),),0))</f>
        <v>50</v>
      </c>
      <c r="I17" s="605">
        <f t="shared" ca="1" si="1"/>
        <v>0</v>
      </c>
      <c r="J17" s="606"/>
      <c r="K17" s="607"/>
    </row>
    <row r="18" spans="1:11" ht="16.5" customHeight="1">
      <c r="A18" s="635">
        <f t="shared" ca="1" si="2"/>
        <v>5</v>
      </c>
      <c r="B18" s="601">
        <f ca="1">IF(ROWS($1:5)&gt;COUNT(Dong12),"",OFFSET(TH!E$1,SMALL(Dong12,ROWS($1:5)),))</f>
        <v>40745</v>
      </c>
      <c r="C18" s="602" t="str">
        <f ca="1">IF(ROWS($1:5)&gt;COUNT(Dong12),"",IF(MID(OFFSET(TH!D$1,SMALL(Dong12,ROWS($1:5)),),4,1)="N",OFFSET(TH!D$1,SMALL(Dong12,ROWS($1:5)),),""))</f>
        <v>VL/N01</v>
      </c>
      <c r="D18" s="601" t="str">
        <f ca="1">IF(ROWS($1:5)&gt;COUNT(Dong12),"",IF(MID(OFFSET(TH!D$1,SMALL(Dong12,ROWS($1:5)),),4,1)="X",OFFSET(TH!D$1,SMALL(Dong12,ROWS($1:5)),),""))</f>
        <v/>
      </c>
      <c r="E18" s="603" t="str">
        <f ca="1">IF(ROWS($1:5)&gt;COUNT(Dong12),"",OFFSET(TH!H$1,SMALL(Dong12,ROWS($1:5)),))</f>
        <v>Cơ Sở Kéo Kẽm Thành Dũng</v>
      </c>
      <c r="F18" s="601">
        <f t="shared" ca="1" si="0"/>
        <v>40745</v>
      </c>
      <c r="G18" s="604">
        <f ca="1">IF(ROWS($1:5)&gt;COUNT(Dong12),0,IF(MID(OFFSET(TH!D$1,SMALL(Dong12,ROWS($1:5)),),4,1)="N",OFFSET(TH!I$1,SMALL(Dong12,ROWS($1:5)),),0))</f>
        <v>50</v>
      </c>
      <c r="H18" s="604">
        <f ca="1">IF(ROWS($1:5)&gt;COUNT(Dong12),0,IF(MID(OFFSET(TH!D$1,SMALL(Dong12,ROWS($1:5)),),4,1)="X",OFFSET(TH!I$1,SMALL(Dong12,ROWS($1:5)),),0))</f>
        <v>0</v>
      </c>
      <c r="I18" s="605">
        <f t="shared" ca="1" si="1"/>
        <v>50</v>
      </c>
      <c r="J18" s="606"/>
      <c r="K18" s="607"/>
    </row>
    <row r="19" spans="1:11" ht="16.5" customHeight="1">
      <c r="A19" s="635">
        <f t="shared" ca="1" si="2"/>
        <v>6</v>
      </c>
      <c r="B19" s="601">
        <f ca="1">IF(ROWS($1:6)&gt;COUNT(Dong12),"",OFFSET(TH!E$1,SMALL(Dong12,ROWS($1:6)),))</f>
        <v>40745</v>
      </c>
      <c r="C19" s="602" t="str">
        <f ca="1">IF(ROWS($1:6)&gt;COUNT(Dong12),"",IF(MID(OFFSET(TH!D$1,SMALL(Dong12,ROWS($1:6)),),4,1)="N",OFFSET(TH!D$1,SMALL(Dong12,ROWS($1:6)),),""))</f>
        <v/>
      </c>
      <c r="D19" s="601" t="str">
        <f ca="1">IF(ROWS($1:6)&gt;COUNT(Dong12),"",IF(MID(OFFSET(TH!D$1,SMALL(Dong12,ROWS($1:6)),),4,1)="X",OFFSET(TH!D$1,SMALL(Dong12,ROWS($1:6)),),""))</f>
        <v>VL/X02</v>
      </c>
      <c r="E19" s="603" t="str">
        <f ca="1">IF(ROWS($1:6)&gt;COUNT(Dong12),"",OFFSET(TH!H$1,SMALL(Dong12,ROWS($1:6)),))</f>
        <v>Bộ phận SX</v>
      </c>
      <c r="F19" s="601">
        <f t="shared" ca="1" si="0"/>
        <v>40745</v>
      </c>
      <c r="G19" s="604">
        <f ca="1">IF(ROWS($1:6)&gt;COUNT(Dong12),0,IF(MID(OFFSET(TH!D$1,SMALL(Dong12,ROWS($1:6)),),4,1)="N",OFFSET(TH!I$1,SMALL(Dong12,ROWS($1:6)),),0))</f>
        <v>0</v>
      </c>
      <c r="H19" s="604">
        <f ca="1">IF(ROWS($1:6)&gt;COUNT(Dong12),0,IF(MID(OFFSET(TH!D$1,SMALL(Dong12,ROWS($1:6)),),4,1)="X",OFFSET(TH!I$1,SMALL(Dong12,ROWS($1:6)),),0))</f>
        <v>50</v>
      </c>
      <c r="I19" s="605">
        <f t="shared" ca="1" si="1"/>
        <v>0</v>
      </c>
      <c r="J19" s="606"/>
      <c r="K19" s="607"/>
    </row>
    <row r="20" spans="1:11" ht="16.5" customHeight="1">
      <c r="A20" s="635">
        <f t="shared" ca="1" si="2"/>
        <v>7</v>
      </c>
      <c r="B20" s="601">
        <f ca="1">IF(ROWS($1:7)&gt;COUNT(Dong12),"",OFFSET(TH!E$1,SMALL(Dong12,ROWS($1:7)),))</f>
        <v>40808</v>
      </c>
      <c r="C20" s="602" t="str">
        <f ca="1">IF(ROWS($1:7)&gt;COUNT(Dong12),"",IF(MID(OFFSET(TH!D$1,SMALL(Dong12,ROWS($1:7)),),4,1)="N",OFFSET(TH!D$1,SMALL(Dong12,ROWS($1:7)),),""))</f>
        <v>VL/N02</v>
      </c>
      <c r="D20" s="601" t="str">
        <f ca="1">IF(ROWS($1:7)&gt;COUNT(Dong12),"",IF(MID(OFFSET(TH!D$1,SMALL(Dong12,ROWS($1:7)),),4,1)="X",OFFSET(TH!D$1,SMALL(Dong12,ROWS($1:7)),),""))</f>
        <v/>
      </c>
      <c r="E20" s="603" t="str">
        <f ca="1">IF(ROWS($1:7)&gt;COUNT(Dong12),"",OFFSET(TH!H$1,SMALL(Dong12,ROWS($1:7)),))</f>
        <v>Cơ Sở Kéo Kẽm Thành Dũng</v>
      </c>
      <c r="F20" s="601">
        <f t="shared" ca="1" si="0"/>
        <v>40808</v>
      </c>
      <c r="G20" s="604">
        <f ca="1">IF(ROWS($1:7)&gt;COUNT(Dong12),0,IF(MID(OFFSET(TH!D$1,SMALL(Dong12,ROWS($1:7)),),4,1)="N",OFFSET(TH!I$1,SMALL(Dong12,ROWS($1:7)),),0))</f>
        <v>50</v>
      </c>
      <c r="H20" s="604">
        <f ca="1">IF(ROWS($1:7)&gt;COUNT(Dong12),0,IF(MID(OFFSET(TH!D$1,SMALL(Dong12,ROWS($1:7)),),4,1)="X",OFFSET(TH!I$1,SMALL(Dong12,ROWS($1:7)),),0))</f>
        <v>0</v>
      </c>
      <c r="I20" s="605">
        <f t="shared" ca="1" si="1"/>
        <v>50</v>
      </c>
      <c r="J20" s="606"/>
      <c r="K20" s="607"/>
    </row>
    <row r="21" spans="1:11" ht="16.5" customHeight="1">
      <c r="A21" s="635">
        <f t="shared" ca="1" si="2"/>
        <v>8</v>
      </c>
      <c r="B21" s="601">
        <f ca="1">IF(ROWS($1:8)&gt;COUNT(Dong12),"",OFFSET(TH!E$1,SMALL(Dong12,ROWS($1:8)),))</f>
        <v>40817</v>
      </c>
      <c r="C21" s="602" t="str">
        <f ca="1">IF(ROWS($1:8)&gt;COUNT(Dong12),"",IF(MID(OFFSET(TH!D$1,SMALL(Dong12,ROWS($1:8)),),4,1)="N",OFFSET(TH!D$1,SMALL(Dong12,ROWS($1:8)),),""))</f>
        <v/>
      </c>
      <c r="D21" s="601" t="str">
        <f ca="1">IF(ROWS($1:8)&gt;COUNT(Dong12),"",IF(MID(OFFSET(TH!D$1,SMALL(Dong12,ROWS($1:8)),),4,1)="X",OFFSET(TH!D$1,SMALL(Dong12,ROWS($1:8)),),""))</f>
        <v>VL/X01</v>
      </c>
      <c r="E21" s="603" t="str">
        <f ca="1">IF(ROWS($1:8)&gt;COUNT(Dong12),"",OFFSET(TH!H$1,SMALL(Dong12,ROWS($1:8)),))</f>
        <v>Bộ phận SX</v>
      </c>
      <c r="F21" s="601">
        <f t="shared" ca="1" si="0"/>
        <v>40817</v>
      </c>
      <c r="G21" s="604">
        <f ca="1">IF(ROWS($1:8)&gt;COUNT(Dong12),0,IF(MID(OFFSET(TH!D$1,SMALL(Dong12,ROWS($1:8)),),4,1)="N",OFFSET(TH!I$1,SMALL(Dong12,ROWS($1:8)),),0))</f>
        <v>0</v>
      </c>
      <c r="H21" s="604">
        <f ca="1">IF(ROWS($1:8)&gt;COUNT(Dong12),0,IF(MID(OFFSET(TH!D$1,SMALL(Dong12,ROWS($1:8)),),4,1)="X",OFFSET(TH!I$1,SMALL(Dong12,ROWS($1:8)),),0))</f>
        <v>50</v>
      </c>
      <c r="I21" s="605">
        <f t="shared" ca="1" si="1"/>
        <v>0</v>
      </c>
      <c r="J21" s="606"/>
      <c r="K21" s="607"/>
    </row>
    <row r="22" spans="1:11" ht="16.5" customHeight="1">
      <c r="A22" s="635">
        <f t="shared" ca="1" si="2"/>
        <v>9</v>
      </c>
      <c r="B22" s="601">
        <f ca="1">IF(ROWS($1:9)&gt;COUNT(Dong12),"",OFFSET(TH!E$1,SMALL(Dong12,ROWS($1:9)),))</f>
        <v>40847</v>
      </c>
      <c r="C22" s="602" t="str">
        <f ca="1">IF(ROWS($1:9)&gt;COUNT(Dong12),"",IF(MID(OFFSET(TH!D$1,SMALL(Dong12,ROWS($1:9)),),4,1)="N",OFFSET(TH!D$1,SMALL(Dong12,ROWS($1:9)),),""))</f>
        <v>VL/N02</v>
      </c>
      <c r="D22" s="601" t="str">
        <f ca="1">IF(ROWS($1:9)&gt;COUNT(Dong12),"",IF(MID(OFFSET(TH!D$1,SMALL(Dong12,ROWS($1:9)),),4,1)="X",OFFSET(TH!D$1,SMALL(Dong12,ROWS($1:9)),),""))</f>
        <v/>
      </c>
      <c r="E22" s="603" t="str">
        <f ca="1">IF(ROWS($1:9)&gt;COUNT(Dong12),"",OFFSET(TH!H$1,SMALL(Dong12,ROWS($1:9)),))</f>
        <v>Cơ Sở Kéo Kẽm Thành Dũng</v>
      </c>
      <c r="F22" s="601">
        <f t="shared" ca="1" si="0"/>
        <v>40847</v>
      </c>
      <c r="G22" s="604">
        <f ca="1">IF(ROWS($1:9)&gt;COUNT(Dong12),0,IF(MID(OFFSET(TH!D$1,SMALL(Dong12,ROWS($1:9)),),4,1)="N",OFFSET(TH!I$1,SMALL(Dong12,ROWS($1:9)),),0))</f>
        <v>100</v>
      </c>
      <c r="H22" s="604">
        <f ca="1">IF(ROWS($1:9)&gt;COUNT(Dong12),0,IF(MID(OFFSET(TH!D$1,SMALL(Dong12,ROWS($1:9)),),4,1)="X",OFFSET(TH!I$1,SMALL(Dong12,ROWS($1:9)),),0))</f>
        <v>0</v>
      </c>
      <c r="I22" s="605">
        <f t="shared" ca="1" si="1"/>
        <v>100</v>
      </c>
      <c r="J22" s="606"/>
      <c r="K22" s="607"/>
    </row>
    <row r="23" spans="1:11" ht="16.5" customHeight="1">
      <c r="A23" s="635">
        <f t="shared" ca="1" si="2"/>
        <v>10</v>
      </c>
      <c r="B23" s="601">
        <f ca="1">IF(ROWS($1:10)&gt;COUNT(Dong12),"",OFFSET(TH!E$1,SMALL(Dong12,ROWS($1:10)),))</f>
        <v>40847</v>
      </c>
      <c r="C23" s="602" t="str">
        <f ca="1">IF(ROWS($1:10)&gt;COUNT(Dong12),"",IF(MID(OFFSET(TH!D$1,SMALL(Dong12,ROWS($1:10)),),4,1)="N",OFFSET(TH!D$1,SMALL(Dong12,ROWS($1:10)),),""))</f>
        <v/>
      </c>
      <c r="D23" s="601" t="str">
        <f ca="1">IF(ROWS($1:10)&gt;COUNT(Dong12),"",IF(MID(OFFSET(TH!D$1,SMALL(Dong12,ROWS($1:10)),),4,1)="X",OFFSET(TH!D$1,SMALL(Dong12,ROWS($1:10)),),""))</f>
        <v>VL/X03</v>
      </c>
      <c r="E23" s="603" t="str">
        <f ca="1">IF(ROWS($1:10)&gt;COUNT(Dong12),"",OFFSET(TH!H$1,SMALL(Dong12,ROWS($1:10)),))</f>
        <v>Bộ phận SX</v>
      </c>
      <c r="F23" s="601">
        <f t="shared" ca="1" si="0"/>
        <v>40847</v>
      </c>
      <c r="G23" s="604">
        <f ca="1">IF(ROWS($1:10)&gt;COUNT(Dong12),0,IF(MID(OFFSET(TH!D$1,SMALL(Dong12,ROWS($1:10)),),4,1)="N",OFFSET(TH!I$1,SMALL(Dong12,ROWS($1:10)),),0))</f>
        <v>0</v>
      </c>
      <c r="H23" s="604">
        <f ca="1">IF(ROWS($1:10)&gt;COUNT(Dong12),0,IF(MID(OFFSET(TH!D$1,SMALL(Dong12,ROWS($1:10)),),4,1)="X",OFFSET(TH!I$1,SMALL(Dong12,ROWS($1:10)),),0))</f>
        <v>50</v>
      </c>
      <c r="I23" s="605">
        <f t="shared" ca="1" si="1"/>
        <v>50</v>
      </c>
      <c r="J23" s="606"/>
      <c r="K23" s="607"/>
    </row>
    <row r="24" spans="1:11" ht="16.5" customHeight="1">
      <c r="A24" s="635" t="str">
        <f t="shared" ca="1" si="2"/>
        <v/>
      </c>
      <c r="B24" s="601" t="str">
        <f ca="1">IF(ROWS($1:11)&gt;COUNT(Dong12),"",OFFSET(TH!E$1,SMALL(Dong12,ROWS($1:11)),))</f>
        <v/>
      </c>
      <c r="C24" s="602" t="str">
        <f ca="1">IF(ROWS($1:11)&gt;COUNT(Dong12),"",IF(MID(OFFSET(TH!D$1,SMALL(Dong12,ROWS($1:11)),),4,1)="N",OFFSET(TH!D$1,SMALL(Dong12,ROWS($1:11)),),""))</f>
        <v/>
      </c>
      <c r="D24" s="601" t="str">
        <f ca="1">IF(ROWS($1:11)&gt;COUNT(Dong12),"",IF(MID(OFFSET(TH!D$1,SMALL(Dong12,ROWS($1:11)),),4,1)="X",OFFSET(TH!D$1,SMALL(Dong12,ROWS($1:11)),),""))</f>
        <v/>
      </c>
      <c r="E24" s="603" t="str">
        <f ca="1">IF(ROWS($1:11)&gt;COUNT(Dong12),"",OFFSET(TH!H$1,SMALL(Dong12,ROWS($1:11)),))</f>
        <v/>
      </c>
      <c r="F24" s="601" t="str">
        <f t="shared" ca="1" si="0"/>
        <v/>
      </c>
      <c r="G24" s="604">
        <f ca="1">IF(ROWS($1:11)&gt;COUNT(Dong12),0,IF(MID(OFFSET(TH!D$1,SMALL(Dong12,ROWS($1:11)),),4,1)="N",OFFSET(TH!I$1,SMALL(Dong12,ROWS($1:11)),),0))</f>
        <v>0</v>
      </c>
      <c r="H24" s="604">
        <f ca="1">IF(ROWS($1:11)&gt;COUNT(Dong12),0,IF(MID(OFFSET(TH!D$1,SMALL(Dong12,ROWS($1:11)),),4,1)="X",OFFSET(TH!I$1,SMALL(Dong12,ROWS($1:11)),),0))</f>
        <v>0</v>
      </c>
      <c r="I24" s="605">
        <f t="shared" ca="1" si="1"/>
        <v>0</v>
      </c>
      <c r="J24" s="606"/>
      <c r="K24" s="607"/>
    </row>
    <row r="25" spans="1:11" ht="16.5" customHeight="1">
      <c r="A25" s="635" t="str">
        <f t="shared" ca="1" si="2"/>
        <v/>
      </c>
      <c r="B25" s="601" t="str">
        <f ca="1">IF(ROWS($1:12)&gt;COUNT(Dong12),"",OFFSET(TH!E$1,SMALL(Dong12,ROWS($1:12)),))</f>
        <v/>
      </c>
      <c r="C25" s="602" t="str">
        <f ca="1">IF(ROWS($1:12)&gt;COUNT(Dong12),"",IF(MID(OFFSET(TH!D$1,SMALL(Dong12,ROWS($1:12)),),4,1)="N",OFFSET(TH!D$1,SMALL(Dong12,ROWS($1:12)),),""))</f>
        <v/>
      </c>
      <c r="D25" s="601" t="str">
        <f ca="1">IF(ROWS($1:12)&gt;COUNT(Dong12),"",IF(MID(OFFSET(TH!D$1,SMALL(Dong12,ROWS($1:12)),),4,1)="X",OFFSET(TH!D$1,SMALL(Dong12,ROWS($1:12)),),""))</f>
        <v/>
      </c>
      <c r="E25" s="603" t="str">
        <f ca="1">IF(ROWS($1:12)&gt;COUNT(Dong12),"",OFFSET(TH!H$1,SMALL(Dong12,ROWS($1:12)),))</f>
        <v/>
      </c>
      <c r="F25" s="601" t="str">
        <f t="shared" ca="1" si="0"/>
        <v/>
      </c>
      <c r="G25" s="604">
        <f ca="1">IF(ROWS($1:12)&gt;COUNT(Dong12),0,IF(MID(OFFSET(TH!D$1,SMALL(Dong12,ROWS($1:12)),),4,1)="N",OFFSET(TH!I$1,SMALL(Dong12,ROWS($1:12)),),0))</f>
        <v>0</v>
      </c>
      <c r="H25" s="604">
        <f ca="1">IF(ROWS($1:12)&gt;COUNT(Dong12),0,IF(MID(OFFSET(TH!D$1,SMALL(Dong12,ROWS($1:12)),),4,1)="X",OFFSET(TH!I$1,SMALL(Dong12,ROWS($1:12)),),0))</f>
        <v>0</v>
      </c>
      <c r="I25" s="605">
        <f t="shared" ca="1" si="1"/>
        <v>0</v>
      </c>
      <c r="J25" s="606"/>
      <c r="K25" s="607"/>
    </row>
    <row r="26" spans="1:11" ht="16.5" customHeight="1">
      <c r="A26" s="635" t="str">
        <f t="shared" ca="1" si="2"/>
        <v/>
      </c>
      <c r="B26" s="601" t="str">
        <f ca="1">IF(ROWS($1:13)&gt;COUNT(Dong12),"",OFFSET(TH!E$1,SMALL(Dong12,ROWS($1:13)),))</f>
        <v/>
      </c>
      <c r="C26" s="602" t="str">
        <f ca="1">IF(ROWS($1:13)&gt;COUNT(Dong12),"",IF(MID(OFFSET(TH!D$1,SMALL(Dong12,ROWS($1:13)),),4,1)="N",OFFSET(TH!D$1,SMALL(Dong12,ROWS($1:13)),),""))</f>
        <v/>
      </c>
      <c r="D26" s="601" t="str">
        <f ca="1">IF(ROWS($1:13)&gt;COUNT(Dong12),"",IF(MID(OFFSET(TH!D$1,SMALL(Dong12,ROWS($1:13)),),4,1)="X",OFFSET(TH!D$1,SMALL(Dong12,ROWS($1:13)),),""))</f>
        <v/>
      </c>
      <c r="E26" s="603" t="str">
        <f ca="1">IF(ROWS($1:13)&gt;COUNT(Dong12),"",OFFSET(TH!H$1,SMALL(Dong12,ROWS($1:13)),))</f>
        <v/>
      </c>
      <c r="F26" s="601" t="str">
        <f t="shared" ca="1" si="0"/>
        <v/>
      </c>
      <c r="G26" s="604">
        <f ca="1">IF(ROWS($1:13)&gt;COUNT(Dong12),0,IF(MID(OFFSET(TH!D$1,SMALL(Dong12,ROWS($1:13)),),4,1)="N",OFFSET(TH!I$1,SMALL(Dong12,ROWS($1:13)),),0))</f>
        <v>0</v>
      </c>
      <c r="H26" s="604">
        <f ca="1">IF(ROWS($1:13)&gt;COUNT(Dong12),0,IF(MID(OFFSET(TH!D$1,SMALL(Dong12,ROWS($1:13)),),4,1)="X",OFFSET(TH!I$1,SMALL(Dong12,ROWS($1:13)),),0))</f>
        <v>0</v>
      </c>
      <c r="I26" s="605">
        <f t="shared" ca="1" si="1"/>
        <v>0</v>
      </c>
      <c r="J26" s="606"/>
      <c r="K26" s="607"/>
    </row>
    <row r="27" spans="1:11" ht="16.5" customHeight="1">
      <c r="A27" s="635" t="str">
        <f t="shared" ca="1" si="2"/>
        <v/>
      </c>
      <c r="B27" s="601" t="str">
        <f ca="1">IF(ROWS($1:14)&gt;COUNT(Dong12),"",OFFSET(TH!E$1,SMALL(Dong12,ROWS($1:14)),))</f>
        <v/>
      </c>
      <c r="C27" s="602" t="str">
        <f ca="1">IF(ROWS($1:14)&gt;COUNT(Dong12),"",IF(MID(OFFSET(TH!D$1,SMALL(Dong12,ROWS($1:14)),),4,1)="N",OFFSET(TH!D$1,SMALL(Dong12,ROWS($1:14)),),""))</f>
        <v/>
      </c>
      <c r="D27" s="601" t="str">
        <f ca="1">IF(ROWS($1:14)&gt;COUNT(Dong12),"",IF(MID(OFFSET(TH!D$1,SMALL(Dong12,ROWS($1:14)),),4,1)="X",OFFSET(TH!D$1,SMALL(Dong12,ROWS($1:14)),),""))</f>
        <v/>
      </c>
      <c r="E27" s="603" t="str">
        <f ca="1">IF(ROWS($1:14)&gt;COUNT(Dong12),"",OFFSET(TH!H$1,SMALL(Dong12,ROWS($1:14)),))</f>
        <v/>
      </c>
      <c r="F27" s="601" t="str">
        <f t="shared" ca="1" si="0"/>
        <v/>
      </c>
      <c r="G27" s="604">
        <f ca="1">IF(ROWS($1:14)&gt;COUNT(Dong12),0,IF(MID(OFFSET(TH!D$1,SMALL(Dong12,ROWS($1:14)),),4,1)="N",OFFSET(TH!I$1,SMALL(Dong12,ROWS($1:14)),),0))</f>
        <v>0</v>
      </c>
      <c r="H27" s="604">
        <f ca="1">IF(ROWS($1:14)&gt;COUNT(Dong12),0,IF(MID(OFFSET(TH!D$1,SMALL(Dong12,ROWS($1:14)),),4,1)="X",OFFSET(TH!I$1,SMALL(Dong12,ROWS($1:14)),),0))</f>
        <v>0</v>
      </c>
      <c r="I27" s="605">
        <f t="shared" ca="1" si="1"/>
        <v>0</v>
      </c>
      <c r="J27" s="606"/>
      <c r="K27" s="607"/>
    </row>
    <row r="28" spans="1:11" ht="16.5" customHeight="1">
      <c r="A28" s="635" t="str">
        <f t="shared" ca="1" si="2"/>
        <v/>
      </c>
      <c r="B28" s="601" t="str">
        <f ca="1">IF(ROWS($1:15)&gt;COUNT(Dong12),"",OFFSET(TH!E$1,SMALL(Dong12,ROWS($1:15)),))</f>
        <v/>
      </c>
      <c r="C28" s="602" t="str">
        <f ca="1">IF(ROWS($1:15)&gt;COUNT(Dong12),"",IF(MID(OFFSET(TH!D$1,SMALL(Dong12,ROWS($1:15)),),4,1)="N",OFFSET(TH!D$1,SMALL(Dong12,ROWS($1:15)),),""))</f>
        <v/>
      </c>
      <c r="D28" s="601" t="str">
        <f ca="1">IF(ROWS($1:15)&gt;COUNT(Dong12),"",IF(MID(OFFSET(TH!D$1,SMALL(Dong12,ROWS($1:15)),),4,1)="X",OFFSET(TH!D$1,SMALL(Dong12,ROWS($1:15)),),""))</f>
        <v/>
      </c>
      <c r="E28" s="603" t="str">
        <f ca="1">IF(ROWS($1:15)&gt;COUNT(Dong12),"",OFFSET(TH!H$1,SMALL(Dong12,ROWS($1:15)),))</f>
        <v/>
      </c>
      <c r="F28" s="601" t="str">
        <f t="shared" ca="1" si="0"/>
        <v/>
      </c>
      <c r="G28" s="604">
        <f ca="1">IF(ROWS($1:15)&gt;COUNT(Dong12),0,IF(MID(OFFSET(TH!D$1,SMALL(Dong12,ROWS($1:15)),),4,1)="N",OFFSET(TH!I$1,SMALL(Dong12,ROWS($1:15)),),0))</f>
        <v>0</v>
      </c>
      <c r="H28" s="604">
        <f ca="1">IF(ROWS($1:15)&gt;COUNT(Dong12),0,IF(MID(OFFSET(TH!D$1,SMALL(Dong12,ROWS($1:15)),),4,1)="X",OFFSET(TH!I$1,SMALL(Dong12,ROWS($1:15)),),0))</f>
        <v>0</v>
      </c>
      <c r="I28" s="605">
        <f t="shared" ca="1" si="1"/>
        <v>0</v>
      </c>
      <c r="J28" s="606"/>
      <c r="K28" s="607"/>
    </row>
    <row r="29" spans="1:11" ht="16.5" customHeight="1">
      <c r="A29" s="635" t="str">
        <f t="shared" ca="1" si="2"/>
        <v/>
      </c>
      <c r="B29" s="601" t="str">
        <f ca="1">IF(ROWS($1:16)&gt;COUNT(Dong12),"",OFFSET(TH!E$1,SMALL(Dong12,ROWS($1:16)),))</f>
        <v/>
      </c>
      <c r="C29" s="602" t="str">
        <f ca="1">IF(ROWS($1:16)&gt;COUNT(Dong12),"",IF(MID(OFFSET(TH!D$1,SMALL(Dong12,ROWS($1:16)),),4,1)="N",OFFSET(TH!D$1,SMALL(Dong12,ROWS($1:16)),),""))</f>
        <v/>
      </c>
      <c r="D29" s="601" t="str">
        <f ca="1">IF(ROWS($1:16)&gt;COUNT(Dong12),"",IF(MID(OFFSET(TH!D$1,SMALL(Dong12,ROWS($1:16)),),4,1)="X",OFFSET(TH!D$1,SMALL(Dong12,ROWS($1:16)),),""))</f>
        <v/>
      </c>
      <c r="E29" s="603" t="str">
        <f ca="1">IF(ROWS($1:16)&gt;COUNT(Dong12),"",OFFSET(TH!H$1,SMALL(Dong12,ROWS($1:16)),))</f>
        <v/>
      </c>
      <c r="F29" s="601" t="str">
        <f t="shared" ca="1" si="0"/>
        <v/>
      </c>
      <c r="G29" s="604">
        <f ca="1">IF(ROWS($1:16)&gt;COUNT(Dong12),0,IF(MID(OFFSET(TH!D$1,SMALL(Dong12,ROWS($1:16)),),4,1)="N",OFFSET(TH!I$1,SMALL(Dong12,ROWS($1:16)),),0))</f>
        <v>0</v>
      </c>
      <c r="H29" s="604">
        <f ca="1">IF(ROWS($1:16)&gt;COUNT(Dong12),0,IF(MID(OFFSET(TH!D$1,SMALL(Dong12,ROWS($1:16)),),4,1)="X",OFFSET(TH!I$1,SMALL(Dong12,ROWS($1:16)),),0))</f>
        <v>0</v>
      </c>
      <c r="I29" s="605">
        <f t="shared" ca="1" si="1"/>
        <v>0</v>
      </c>
      <c r="J29" s="606"/>
      <c r="K29" s="607"/>
    </row>
    <row r="30" spans="1:11" ht="16.5" customHeight="1">
      <c r="A30" s="635" t="str">
        <f t="shared" ca="1" si="2"/>
        <v/>
      </c>
      <c r="B30" s="601" t="str">
        <f ca="1">IF(ROWS($1:17)&gt;COUNT(Dong12),"",OFFSET(TH!E$1,SMALL(Dong12,ROWS($1:17)),))</f>
        <v/>
      </c>
      <c r="C30" s="602" t="str">
        <f ca="1">IF(ROWS($1:17)&gt;COUNT(Dong12),"",IF(MID(OFFSET(TH!D$1,SMALL(Dong12,ROWS($1:17)),),4,1)="N",OFFSET(TH!D$1,SMALL(Dong12,ROWS($1:17)),),""))</f>
        <v/>
      </c>
      <c r="D30" s="601" t="str">
        <f ca="1">IF(ROWS($1:17)&gt;COUNT(Dong12),"",IF(MID(OFFSET(TH!D$1,SMALL(Dong12,ROWS($1:17)),),4,1)="X",OFFSET(TH!D$1,SMALL(Dong12,ROWS($1:17)),),""))</f>
        <v/>
      </c>
      <c r="E30" s="603" t="str">
        <f ca="1">IF(ROWS($1:17)&gt;COUNT(Dong12),"",OFFSET(TH!H$1,SMALL(Dong12,ROWS($1:17)),))</f>
        <v/>
      </c>
      <c r="F30" s="601" t="str">
        <f t="shared" ca="1" si="0"/>
        <v/>
      </c>
      <c r="G30" s="604">
        <f ca="1">IF(ROWS($1:17)&gt;COUNT(Dong12),0,IF(MID(OFFSET(TH!D$1,SMALL(Dong12,ROWS($1:17)),),4,1)="N",OFFSET(TH!I$1,SMALL(Dong12,ROWS($1:17)),),0))</f>
        <v>0</v>
      </c>
      <c r="H30" s="604">
        <f ca="1">IF(ROWS($1:17)&gt;COUNT(Dong12),0,IF(MID(OFFSET(TH!D$1,SMALL(Dong12,ROWS($1:17)),),4,1)="X",OFFSET(TH!I$1,SMALL(Dong12,ROWS($1:17)),),0))</f>
        <v>0</v>
      </c>
      <c r="I30" s="605">
        <f t="shared" ca="1" si="1"/>
        <v>0</v>
      </c>
      <c r="J30" s="606"/>
      <c r="K30" s="607"/>
    </row>
    <row r="31" spans="1:11" ht="16.5" customHeight="1">
      <c r="A31" s="636" t="str">
        <f>IF(D31&lt;&gt;"",A21+1,"")</f>
        <v/>
      </c>
      <c r="B31" s="608"/>
      <c r="C31" s="609"/>
      <c r="D31" s="609"/>
      <c r="E31" s="610"/>
      <c r="F31" s="608"/>
      <c r="G31" s="611"/>
      <c r="H31" s="611"/>
      <c r="I31" s="611"/>
      <c r="J31" s="612"/>
      <c r="K31" s="607"/>
    </row>
    <row r="32" spans="1:11" ht="16.5" customHeight="1">
      <c r="A32" s="596"/>
      <c r="B32" s="613"/>
      <c r="C32" s="596"/>
      <c r="D32" s="596"/>
      <c r="E32" s="597" t="s">
        <v>222</v>
      </c>
      <c r="F32" s="614" t="s">
        <v>18</v>
      </c>
      <c r="G32" s="615">
        <f ca="1">SUM(G14:G31)</f>
        <v>300</v>
      </c>
      <c r="H32" s="615">
        <f ca="1">SUM(H14:H31)</f>
        <v>250</v>
      </c>
      <c r="I32" s="615">
        <f ca="1">I13+G32-H32</f>
        <v>50</v>
      </c>
      <c r="J32" s="596" t="s">
        <v>18</v>
      </c>
      <c r="K32" s="616"/>
    </row>
    <row r="33" spans="1:11" ht="12.75" customHeight="1">
      <c r="A33" s="617"/>
      <c r="B33" s="589"/>
      <c r="C33" s="617"/>
      <c r="D33" s="617"/>
      <c r="E33" s="588"/>
      <c r="F33" s="589"/>
      <c r="G33" s="590"/>
      <c r="H33" s="590"/>
      <c r="I33" s="590"/>
      <c r="J33" s="580"/>
      <c r="K33" s="580"/>
    </row>
    <row r="34" spans="1:11" ht="15">
      <c r="A34" s="214" t="s">
        <v>223</v>
      </c>
      <c r="B34" s="214"/>
      <c r="C34" s="215"/>
      <c r="D34" s="215"/>
      <c r="E34" s="588"/>
      <c r="F34" s="589"/>
      <c r="G34" s="590"/>
      <c r="H34" s="590"/>
      <c r="I34" s="590"/>
      <c r="J34" s="580"/>
      <c r="K34" s="580"/>
    </row>
    <row r="35" spans="1:11" ht="15">
      <c r="A35" s="91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11"/>
      <c r="C35" s="911"/>
      <c r="D35" s="911"/>
      <c r="E35" s="911"/>
      <c r="F35" s="589"/>
      <c r="G35" s="590"/>
      <c r="H35" s="590"/>
      <c r="I35" s="590"/>
      <c r="J35" s="580"/>
      <c r="K35" s="580"/>
    </row>
    <row r="36" spans="1:11" ht="15">
      <c r="A36" s="618"/>
      <c r="B36" s="619"/>
      <c r="C36" s="620"/>
      <c r="D36" s="617"/>
      <c r="E36" s="588"/>
      <c r="F36" s="589"/>
      <c r="H36" s="622"/>
      <c r="I36" s="623" t="str">
        <f ca="1">"Ngày 31 tháng  12  năm  "&amp;YEAR($B$14)</f>
        <v>Ngày 31 tháng  12  năm  2011</v>
      </c>
      <c r="J36" s="622"/>
      <c r="K36" s="623"/>
    </row>
    <row r="37" spans="1:11" ht="15" customHeight="1">
      <c r="A37" s="618"/>
      <c r="C37" s="624" t="s">
        <v>224</v>
      </c>
      <c r="D37" s="617"/>
      <c r="E37" s="912" t="s">
        <v>12</v>
      </c>
      <c r="F37" s="912"/>
      <c r="G37" s="590"/>
      <c r="I37" s="625" t="s">
        <v>98</v>
      </c>
      <c r="J37" s="208"/>
      <c r="K37" s="618"/>
    </row>
    <row r="38" spans="1:11" ht="15" customHeight="1">
      <c r="A38" s="626"/>
      <c r="C38" s="627" t="s">
        <v>13</v>
      </c>
      <c r="D38" s="628"/>
      <c r="E38" s="905" t="s">
        <v>13</v>
      </c>
      <c r="F38" s="905"/>
      <c r="G38" s="590"/>
      <c r="I38" s="629" t="s">
        <v>125</v>
      </c>
      <c r="J38" s="630"/>
      <c r="K38" s="62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86"/>
  <sheetViews>
    <sheetView topLeftCell="A555" zoomScale="90" zoomScaleNormal="90" workbookViewId="0">
      <selection activeCell="H172" sqref="H172"/>
    </sheetView>
  </sheetViews>
  <sheetFormatPr defaultColWidth="10.28515625" defaultRowHeight="15"/>
  <cols>
    <col min="1" max="1" width="4.7109375" style="637" customWidth="1"/>
    <col min="2" max="2" width="30.28515625" style="637" customWidth="1"/>
    <col min="3" max="3" width="13.140625" style="637" customWidth="1"/>
    <col min="4" max="4" width="11.85546875" style="637" customWidth="1"/>
    <col min="5" max="5" width="10.85546875" style="637" customWidth="1"/>
    <col min="6" max="6" width="11.85546875" style="637" customWidth="1"/>
    <col min="7" max="7" width="11" style="637" customWidth="1"/>
    <col min="8" max="8" width="9.7109375" style="637" customWidth="1"/>
    <col min="9" max="9" width="11" style="637" customWidth="1"/>
    <col min="10" max="10" width="13" style="637" customWidth="1"/>
    <col min="11" max="11" width="8.140625" style="637" customWidth="1"/>
    <col min="12" max="12" width="8.5703125" style="637" customWidth="1"/>
    <col min="13" max="13" width="8.28515625" style="642" hidden="1" customWidth="1"/>
    <col min="14" max="14" width="2" style="642" customWidth="1"/>
    <col min="15" max="15" width="23" style="637" customWidth="1"/>
    <col min="16" max="16" width="10.140625" style="711" customWidth="1"/>
    <col min="17" max="17" width="6.42578125" style="706" customWidth="1"/>
    <col min="18" max="18" width="7" style="707" customWidth="1"/>
    <col min="19" max="19" width="7.5703125" style="300" customWidth="1"/>
    <col min="20" max="20" width="12.42578125" style="637" customWidth="1"/>
    <col min="21" max="21" width="15.85546875" style="637" customWidth="1"/>
    <col min="22" max="22" width="8.28515625" style="711" customWidth="1"/>
    <col min="23" max="23" width="7.5703125" style="300" customWidth="1"/>
    <col min="24" max="24" width="9" style="300" customWidth="1"/>
    <col min="25" max="25" width="9.7109375" style="637" customWidth="1"/>
    <col min="26" max="26" width="10.28515625" style="637" customWidth="1"/>
    <col min="27" max="16384" width="10.28515625" style="637"/>
  </cols>
  <sheetData>
    <row r="1" spans="1:26">
      <c r="C1" s="638"/>
      <c r="D1" s="638"/>
      <c r="E1" s="639"/>
      <c r="F1" s="639"/>
      <c r="J1" s="640"/>
      <c r="K1" s="641"/>
      <c r="O1" s="643"/>
      <c r="P1" s="644"/>
      <c r="Q1" s="645"/>
      <c r="R1" s="646"/>
      <c r="S1" s="647"/>
      <c r="T1" s="648"/>
      <c r="U1" s="643"/>
      <c r="V1" s="644"/>
      <c r="W1" s="647"/>
      <c r="X1" s="647"/>
    </row>
    <row r="2" spans="1:26" ht="18" customHeight="1">
      <c r="A2" s="232" t="str">
        <f>TH!$A$1</f>
        <v>Đơn vị: CÔNG TY TNHH SX TM KIM DUNG PHÁT</v>
      </c>
      <c r="B2" s="649"/>
      <c r="C2" s="300"/>
      <c r="D2" s="300"/>
      <c r="E2" s="300"/>
      <c r="F2" s="300"/>
      <c r="G2" s="300"/>
      <c r="H2" s="300"/>
      <c r="I2" s="300"/>
      <c r="J2" s="300"/>
      <c r="K2" s="236"/>
      <c r="L2" s="300"/>
      <c r="M2" s="650"/>
      <c r="N2" s="650"/>
      <c r="O2" s="643"/>
      <c r="P2" s="644"/>
      <c r="Q2" s="645"/>
      <c r="R2" s="646"/>
      <c r="S2" s="647"/>
      <c r="T2" s="648"/>
      <c r="U2" s="643"/>
      <c r="V2" s="644"/>
      <c r="W2" s="647"/>
      <c r="X2" s="647"/>
      <c r="Z2" s="638"/>
    </row>
    <row r="3" spans="1:26" ht="18.75" customHeight="1">
      <c r="A3" s="641" t="s">
        <v>748</v>
      </c>
      <c r="B3" s="641"/>
      <c r="C3" s="641"/>
      <c r="D3" s="641"/>
      <c r="E3" s="641"/>
      <c r="F3" s="641"/>
      <c r="G3" s="641"/>
      <c r="H3" s="641"/>
      <c r="I3" s="641"/>
      <c r="J3" s="641"/>
      <c r="K3" s="641"/>
      <c r="L3" s="641"/>
      <c r="M3" s="650"/>
      <c r="N3" s="650"/>
      <c r="O3" s="643"/>
      <c r="P3" s="644"/>
      <c r="Q3" s="645"/>
      <c r="R3" s="646"/>
      <c r="S3" s="647"/>
      <c r="T3" s="648"/>
      <c r="U3" s="643"/>
      <c r="V3" s="644"/>
      <c r="W3" s="647"/>
      <c r="X3" s="647"/>
    </row>
    <row r="4" spans="1:26" ht="12.75" customHeight="1">
      <c r="A4" s="653"/>
      <c r="B4" s="654"/>
      <c r="C4" s="654"/>
      <c r="D4" s="654"/>
      <c r="E4" s="654"/>
      <c r="F4" s="654"/>
      <c r="G4" s="654"/>
      <c r="H4" s="654"/>
      <c r="I4" s="654"/>
      <c r="J4" s="654"/>
      <c r="K4" s="655"/>
      <c r="L4" s="654"/>
      <c r="M4" s="650"/>
      <c r="N4" s="650"/>
      <c r="O4" s="643"/>
      <c r="P4" s="644"/>
      <c r="Q4" s="645"/>
      <c r="R4" s="646"/>
      <c r="S4" s="647"/>
      <c r="T4" s="648"/>
      <c r="U4" s="643"/>
      <c r="V4" s="644"/>
      <c r="W4" s="647"/>
      <c r="X4" s="647"/>
    </row>
    <row r="5" spans="1:26" s="664" customFormat="1" ht="30.75" customHeight="1">
      <c r="A5" s="656" t="s">
        <v>32</v>
      </c>
      <c r="B5" s="657" t="s">
        <v>225</v>
      </c>
      <c r="C5" s="658" t="s">
        <v>228</v>
      </c>
      <c r="D5" s="658" t="s">
        <v>756</v>
      </c>
      <c r="E5" s="658" t="s">
        <v>229</v>
      </c>
      <c r="F5" s="658" t="s">
        <v>747</v>
      </c>
      <c r="G5" s="658" t="s">
        <v>230</v>
      </c>
      <c r="H5" s="659" t="s">
        <v>231</v>
      </c>
      <c r="I5" s="658" t="s">
        <v>746</v>
      </c>
      <c r="J5" s="658" t="s">
        <v>232</v>
      </c>
      <c r="K5" s="660" t="s">
        <v>226</v>
      </c>
      <c r="L5" s="658" t="s">
        <v>233</v>
      </c>
      <c r="M5" s="661"/>
      <c r="N5" s="661"/>
      <c r="O5" s="657" t="s">
        <v>225</v>
      </c>
      <c r="P5" s="658" t="s">
        <v>219</v>
      </c>
      <c r="Q5" s="662"/>
      <c r="R5" s="663" t="s">
        <v>185</v>
      </c>
      <c r="S5" s="658" t="s">
        <v>227</v>
      </c>
      <c r="T5" s="658" t="s">
        <v>234</v>
      </c>
      <c r="U5" s="657" t="s">
        <v>225</v>
      </c>
      <c r="V5" s="658" t="s">
        <v>219</v>
      </c>
      <c r="W5" s="658" t="s">
        <v>185</v>
      </c>
      <c r="X5" s="658" t="s">
        <v>227</v>
      </c>
      <c r="Y5" s="657" t="s">
        <v>234</v>
      </c>
    </row>
    <row r="6" spans="1:26">
      <c r="A6" s="712">
        <f>IF(B6&lt;&gt;"",ROW()-5,"")</f>
        <v>1</v>
      </c>
      <c r="B6" s="665" t="s">
        <v>767</v>
      </c>
      <c r="C6" s="666">
        <f>T6</f>
        <v>1613276</v>
      </c>
      <c r="D6" s="666">
        <f t="shared" ref="D6:I15" si="0">IF($K$170&lt;&gt;0,D$170/$K$170*$K6,0)</f>
        <v>46699.591930132337</v>
      </c>
      <c r="E6" s="666">
        <f t="shared" si="0"/>
        <v>11642.195187063804</v>
      </c>
      <c r="F6" s="667">
        <f t="shared" si="0"/>
        <v>54043.705426947869</v>
      </c>
      <c r="G6" s="667">
        <f t="shared" si="0"/>
        <v>6215.1756225925783</v>
      </c>
      <c r="H6" s="667">
        <f t="shared" si="0"/>
        <v>2803.0967545097442</v>
      </c>
      <c r="I6" s="666">
        <f t="shared" si="0"/>
        <v>11828.48899736852</v>
      </c>
      <c r="J6" s="666">
        <f t="shared" ref="J6:J15" si="1">ROUND(SUM(C6:I6),0)-1</f>
        <v>1746507</v>
      </c>
      <c r="K6" s="666">
        <v>98</v>
      </c>
      <c r="L6" s="667">
        <f>IF(K6&lt;&gt;"",J6/K6,"")</f>
        <v>17821.5</v>
      </c>
      <c r="M6" s="668">
        <v>18940</v>
      </c>
      <c r="N6" s="668"/>
      <c r="O6" s="556" t="s">
        <v>473</v>
      </c>
      <c r="P6" s="669">
        <v>40690</v>
      </c>
      <c r="Q6" s="670"/>
      <c r="R6" s="572">
        <v>98</v>
      </c>
      <c r="S6" s="496">
        <v>16462</v>
      </c>
      <c r="T6" s="513">
        <f>R6*S6</f>
        <v>1613276</v>
      </c>
      <c r="U6" s="671" t="s">
        <v>365</v>
      </c>
      <c r="V6" s="672">
        <v>40644</v>
      </c>
      <c r="W6" s="496">
        <v>50</v>
      </c>
      <c r="X6" s="496">
        <v>23500</v>
      </c>
      <c r="Y6" s="513">
        <f>W6*X6</f>
        <v>1175000</v>
      </c>
    </row>
    <row r="7" spans="1:26">
      <c r="A7" s="713">
        <f>IF(B7&lt;&gt;"",A6+1,"")</f>
        <v>2</v>
      </c>
      <c r="B7" s="558" t="s">
        <v>768</v>
      </c>
      <c r="C7" s="673">
        <f t="shared" ref="C7:C70" si="2">T7</f>
        <v>2189250</v>
      </c>
      <c r="D7" s="674">
        <f t="shared" si="0"/>
        <v>84345.181343198201</v>
      </c>
      <c r="E7" s="674">
        <f t="shared" si="0"/>
        <v>21027.230082758095</v>
      </c>
      <c r="F7" s="674">
        <f t="shared" si="0"/>
        <v>97609.549597650752</v>
      </c>
      <c r="G7" s="674">
        <f t="shared" si="0"/>
        <v>11225.368216315168</v>
      </c>
      <c r="H7" s="674">
        <f t="shared" si="0"/>
        <v>5062.7359749818852</v>
      </c>
      <c r="I7" s="674">
        <f t="shared" si="0"/>
        <v>21363.699515655389</v>
      </c>
      <c r="J7" s="666">
        <f t="shared" si="1"/>
        <v>2429883</v>
      </c>
      <c r="K7" s="674">
        <v>177</v>
      </c>
      <c r="L7" s="674">
        <f t="shared" ref="L7:L8" si="3">IF(K7&lt;&gt;"",J7/K7,"")</f>
        <v>13728.152542372882</v>
      </c>
      <c r="M7" s="668">
        <v>15550</v>
      </c>
      <c r="N7" s="668"/>
      <c r="O7" s="556" t="s">
        <v>379</v>
      </c>
      <c r="P7" s="669">
        <v>40690</v>
      </c>
      <c r="Q7" s="670"/>
      <c r="R7" s="572">
        <v>90</v>
      </c>
      <c r="S7" s="496">
        <v>24325</v>
      </c>
      <c r="T7" s="513">
        <f t="shared" ref="T7" si="4">R7*S7</f>
        <v>2189250</v>
      </c>
      <c r="U7" s="537" t="s">
        <v>317</v>
      </c>
      <c r="V7" s="669">
        <v>40644</v>
      </c>
      <c r="W7" s="296">
        <v>20</v>
      </c>
      <c r="X7" s="296">
        <v>42000</v>
      </c>
      <c r="Y7" s="495">
        <f t="shared" ref="Y7" si="5">W7*X7</f>
        <v>840000</v>
      </c>
    </row>
    <row r="8" spans="1:26">
      <c r="A8" s="555">
        <f>IF(B8&lt;&gt;"",A7+1,"")</f>
        <v>3</v>
      </c>
      <c r="B8" s="566" t="s">
        <v>769</v>
      </c>
      <c r="C8" s="673">
        <f t="shared" si="2"/>
        <v>3370125</v>
      </c>
      <c r="D8" s="675">
        <f t="shared" si="0"/>
        <v>97687.921894664571</v>
      </c>
      <c r="E8" s="675">
        <f t="shared" si="0"/>
        <v>24353.571564776325</v>
      </c>
      <c r="F8" s="675">
        <f t="shared" si="0"/>
        <v>113050.60829106442</v>
      </c>
      <c r="G8" s="675">
        <f t="shared" si="0"/>
        <v>13001.132679913047</v>
      </c>
      <c r="H8" s="675">
        <f t="shared" si="0"/>
        <v>5863.6207619846691</v>
      </c>
      <c r="I8" s="675">
        <f t="shared" si="0"/>
        <v>24743.267800617825</v>
      </c>
      <c r="J8" s="666">
        <f t="shared" si="1"/>
        <v>3648824</v>
      </c>
      <c r="K8" s="675">
        <v>205</v>
      </c>
      <c r="L8" s="675">
        <f t="shared" si="3"/>
        <v>17799.141463414635</v>
      </c>
      <c r="M8" s="668">
        <v>19690</v>
      </c>
      <c r="N8" s="668"/>
      <c r="O8" s="566" t="s">
        <v>457</v>
      </c>
      <c r="P8" s="669">
        <v>40690</v>
      </c>
      <c r="Q8" s="670"/>
      <c r="R8" s="676">
        <v>209</v>
      </c>
      <c r="S8" s="677">
        <v>16125</v>
      </c>
      <c r="T8" s="495">
        <f t="shared" ref="T8" si="6">R8*S8</f>
        <v>3370125</v>
      </c>
      <c r="U8" s="537" t="s">
        <v>452</v>
      </c>
      <c r="V8" s="669">
        <v>40660</v>
      </c>
      <c r="W8" s="296">
        <v>5000</v>
      </c>
      <c r="X8" s="296">
        <v>220</v>
      </c>
      <c r="Y8" s="495">
        <f t="shared" ref="Y8:Y9" si="7">W8*X8</f>
        <v>1100000</v>
      </c>
    </row>
    <row r="9" spans="1:26">
      <c r="A9" s="555">
        <f t="shared" ref="A9:A10" si="8">IF(B9&lt;&gt;"",A8+1,"")</f>
        <v>4</v>
      </c>
      <c r="B9" s="566" t="s">
        <v>777</v>
      </c>
      <c r="C9" s="673">
        <f t="shared" si="2"/>
        <v>2056844</v>
      </c>
      <c r="D9" s="675">
        <f t="shared" si="0"/>
        <v>134856.98485946379</v>
      </c>
      <c r="E9" s="675">
        <f t="shared" si="0"/>
        <v>33619.808550398535</v>
      </c>
      <c r="F9" s="675">
        <f t="shared" si="0"/>
        <v>156064.98607985966</v>
      </c>
      <c r="G9" s="675">
        <f t="shared" si="0"/>
        <v>17947.905114221427</v>
      </c>
      <c r="H9" s="675">
        <f t="shared" si="0"/>
        <v>8094.656954349568</v>
      </c>
      <c r="I9" s="675">
        <f t="shared" si="0"/>
        <v>34157.779451584604</v>
      </c>
      <c r="J9" s="666">
        <f t="shared" si="1"/>
        <v>2441585</v>
      </c>
      <c r="K9" s="675">
        <v>283</v>
      </c>
      <c r="L9" s="675">
        <f t="shared" ref="L9:L10" si="9">IF(K9&lt;&gt;"",J9/K9,"")</f>
        <v>8627.5088339222621</v>
      </c>
      <c r="M9" s="668">
        <v>9760</v>
      </c>
      <c r="N9" s="668"/>
      <c r="O9" s="556" t="s">
        <v>500</v>
      </c>
      <c r="P9" s="669">
        <v>40690</v>
      </c>
      <c r="Q9" s="670"/>
      <c r="R9" s="572">
        <f>K9</f>
        <v>283</v>
      </c>
      <c r="S9" s="678">
        <v>7268</v>
      </c>
      <c r="T9" s="495">
        <f t="shared" ref="T9:T10" si="10">R9*S9</f>
        <v>2056844</v>
      </c>
      <c r="U9" s="537"/>
      <c r="V9" s="669"/>
      <c r="W9" s="296"/>
      <c r="X9" s="296"/>
      <c r="Y9" s="495">
        <f t="shared" si="7"/>
        <v>0</v>
      </c>
    </row>
    <row r="10" spans="1:26">
      <c r="A10" s="555">
        <f t="shared" si="8"/>
        <v>5</v>
      </c>
      <c r="B10" s="566" t="s">
        <v>770</v>
      </c>
      <c r="C10" s="673">
        <f t="shared" si="2"/>
        <v>2772328</v>
      </c>
      <c r="D10" s="675">
        <f t="shared" si="0"/>
        <v>234927.53899546165</v>
      </c>
      <c r="E10" s="675">
        <f t="shared" si="0"/>
        <v>58567.369665535261</v>
      </c>
      <c r="F10" s="675">
        <f t="shared" si="0"/>
        <v>271872.92628046224</v>
      </c>
      <c r="G10" s="675">
        <f t="shared" si="0"/>
        <v>31266.138591205523</v>
      </c>
      <c r="H10" s="675">
        <f t="shared" si="0"/>
        <v>14101.292856870448</v>
      </c>
      <c r="I10" s="675">
        <f t="shared" si="0"/>
        <v>59504.541588802866</v>
      </c>
      <c r="J10" s="666">
        <f t="shared" si="1"/>
        <v>3442567</v>
      </c>
      <c r="K10" s="675">
        <v>493</v>
      </c>
      <c r="L10" s="675">
        <f t="shared" si="9"/>
        <v>6982.8945233265722</v>
      </c>
      <c r="M10" s="668">
        <v>7160</v>
      </c>
      <c r="N10" s="668"/>
      <c r="O10" s="556" t="s">
        <v>479</v>
      </c>
      <c r="P10" s="669">
        <v>40690</v>
      </c>
      <c r="Q10" s="670"/>
      <c r="R10" s="676">
        <v>494</v>
      </c>
      <c r="S10" s="678">
        <v>5612</v>
      </c>
      <c r="T10" s="495">
        <f t="shared" si="10"/>
        <v>2772328</v>
      </c>
      <c r="U10" s="537"/>
      <c r="V10" s="669"/>
      <c r="W10" s="296"/>
      <c r="X10" s="296"/>
      <c r="Y10" s="495">
        <f t="shared" ref="Y10" si="11">W10*X10</f>
        <v>0</v>
      </c>
    </row>
    <row r="11" spans="1:26">
      <c r="A11" s="564">
        <f t="shared" ref="A11:A40" si="12">IF(B11&lt;&gt;"",A10+1,"")</f>
        <v>6</v>
      </c>
      <c r="B11" s="566" t="s">
        <v>771</v>
      </c>
      <c r="C11" s="673">
        <f t="shared" si="2"/>
        <v>2320738</v>
      </c>
      <c r="D11" s="680">
        <f t="shared" si="0"/>
        <v>189657.52641012927</v>
      </c>
      <c r="E11" s="680">
        <f t="shared" si="0"/>
        <v>47281.568208687691</v>
      </c>
      <c r="F11" s="680">
        <f t="shared" si="0"/>
        <v>219483.61999923727</v>
      </c>
      <c r="G11" s="680">
        <f t="shared" si="0"/>
        <v>25241.223446855573</v>
      </c>
      <c r="H11" s="680">
        <f t="shared" si="0"/>
        <v>11384.005186682431</v>
      </c>
      <c r="I11" s="680">
        <f t="shared" si="0"/>
        <v>48038.149193394602</v>
      </c>
      <c r="J11" s="666">
        <f t="shared" si="1"/>
        <v>2861823</v>
      </c>
      <c r="K11" s="680">
        <v>398</v>
      </c>
      <c r="L11" s="680">
        <f t="shared" ref="L11:L42" si="13">IF(K11&lt;&gt;"",J11/K11,"")</f>
        <v>7190.510050251256</v>
      </c>
      <c r="M11" s="668">
        <v>7360</v>
      </c>
      <c r="N11" s="668"/>
      <c r="O11" s="556" t="s">
        <v>480</v>
      </c>
      <c r="P11" s="669">
        <v>40690</v>
      </c>
      <c r="Q11" s="670"/>
      <c r="R11" s="676">
        <f>K11</f>
        <v>398</v>
      </c>
      <c r="S11" s="678">
        <v>5831</v>
      </c>
      <c r="T11" s="495">
        <f t="shared" ref="T11:T49" si="14">R11*S11</f>
        <v>2320738</v>
      </c>
      <c r="U11" s="537"/>
      <c r="V11" s="669"/>
      <c r="W11" s="296"/>
      <c r="X11" s="296"/>
      <c r="Y11" s="495">
        <f t="shared" ref="Y11:Y42" si="15">W11*X11</f>
        <v>0</v>
      </c>
    </row>
    <row r="12" spans="1:26">
      <c r="A12" s="564">
        <f t="shared" si="12"/>
        <v>7</v>
      </c>
      <c r="B12" s="566" t="s">
        <v>772</v>
      </c>
      <c r="C12" s="673">
        <f t="shared" si="2"/>
        <v>1212200</v>
      </c>
      <c r="D12" s="680">
        <f t="shared" si="0"/>
        <v>46699.591930132337</v>
      </c>
      <c r="E12" s="680">
        <f t="shared" si="0"/>
        <v>11642.195187063804</v>
      </c>
      <c r="F12" s="680">
        <f t="shared" si="0"/>
        <v>54043.705426947869</v>
      </c>
      <c r="G12" s="680">
        <f t="shared" si="0"/>
        <v>6215.1756225925783</v>
      </c>
      <c r="H12" s="680">
        <f t="shared" si="0"/>
        <v>2803.0967545097442</v>
      </c>
      <c r="I12" s="680">
        <f t="shared" si="0"/>
        <v>11828.48899736852</v>
      </c>
      <c r="J12" s="666">
        <f t="shared" si="1"/>
        <v>1345431</v>
      </c>
      <c r="K12" s="680">
        <v>98</v>
      </c>
      <c r="L12" s="680">
        <f t="shared" si="13"/>
        <v>13728.887755102041</v>
      </c>
      <c r="M12" s="668">
        <v>15400</v>
      </c>
      <c r="N12" s="668"/>
      <c r="O12" s="556" t="s">
        <v>485</v>
      </c>
      <c r="P12" s="669">
        <v>40690</v>
      </c>
      <c r="Q12" s="670"/>
      <c r="R12" s="572">
        <v>100</v>
      </c>
      <c r="S12" s="678">
        <v>12122</v>
      </c>
      <c r="T12" s="495">
        <f t="shared" si="14"/>
        <v>1212200</v>
      </c>
      <c r="U12" s="537"/>
      <c r="V12" s="669"/>
      <c r="W12" s="296"/>
      <c r="X12" s="296"/>
      <c r="Y12" s="495">
        <f t="shared" si="15"/>
        <v>0</v>
      </c>
    </row>
    <row r="13" spans="1:26">
      <c r="A13" s="564">
        <f t="shared" si="12"/>
        <v>8</v>
      </c>
      <c r="B13" s="566" t="s">
        <v>775</v>
      </c>
      <c r="C13" s="673">
        <f t="shared" si="2"/>
        <v>3042375</v>
      </c>
      <c r="D13" s="680">
        <f t="shared" si="0"/>
        <v>91016.551618931393</v>
      </c>
      <c r="E13" s="680">
        <f t="shared" si="0"/>
        <v>22690.40082376721</v>
      </c>
      <c r="F13" s="680">
        <f t="shared" si="0"/>
        <v>105330.07894435758</v>
      </c>
      <c r="G13" s="680">
        <f t="shared" si="0"/>
        <v>12113.250448114108</v>
      </c>
      <c r="H13" s="680">
        <f t="shared" si="0"/>
        <v>5463.1783684832772</v>
      </c>
      <c r="I13" s="680">
        <f t="shared" si="0"/>
        <v>23053.483658136607</v>
      </c>
      <c r="J13" s="666">
        <f t="shared" si="1"/>
        <v>3302041</v>
      </c>
      <c r="K13" s="680">
        <v>191</v>
      </c>
      <c r="L13" s="680">
        <f t="shared" si="13"/>
        <v>17288.172774869108</v>
      </c>
      <c r="M13" s="668">
        <v>18480</v>
      </c>
      <c r="N13" s="668"/>
      <c r="O13" s="556" t="s">
        <v>462</v>
      </c>
      <c r="P13" s="669">
        <v>40690</v>
      </c>
      <c r="Q13" s="670"/>
      <c r="R13" s="676">
        <v>95</v>
      </c>
      <c r="S13" s="678">
        <v>32025</v>
      </c>
      <c r="T13" s="495">
        <f t="shared" si="14"/>
        <v>3042375</v>
      </c>
      <c r="U13" s="537"/>
      <c r="V13" s="669"/>
      <c r="W13" s="296"/>
      <c r="X13" s="296"/>
      <c r="Y13" s="495">
        <f t="shared" si="15"/>
        <v>0</v>
      </c>
    </row>
    <row r="14" spans="1:26">
      <c r="A14" s="564">
        <f t="shared" si="12"/>
        <v>9</v>
      </c>
      <c r="B14" s="566" t="s">
        <v>776</v>
      </c>
      <c r="C14" s="673">
        <f t="shared" si="2"/>
        <v>2780588</v>
      </c>
      <c r="D14" s="680">
        <f t="shared" si="0"/>
        <v>98164.448342931239</v>
      </c>
      <c r="E14" s="680">
        <f t="shared" si="0"/>
        <v>24472.369474848405</v>
      </c>
      <c r="F14" s="680">
        <f t="shared" si="0"/>
        <v>113602.07467297206</v>
      </c>
      <c r="G14" s="680">
        <f t="shared" si="0"/>
        <v>13064.552839327256</v>
      </c>
      <c r="H14" s="680">
        <f t="shared" si="0"/>
        <v>5892.2237900919117</v>
      </c>
      <c r="I14" s="680">
        <f t="shared" si="0"/>
        <v>24863.966667937912</v>
      </c>
      <c r="J14" s="666">
        <f t="shared" si="1"/>
        <v>3060647</v>
      </c>
      <c r="K14" s="680">
        <v>206</v>
      </c>
      <c r="L14" s="680">
        <f t="shared" si="13"/>
        <v>14857.509708737864</v>
      </c>
      <c r="M14" s="668">
        <v>15230</v>
      </c>
      <c r="N14" s="668"/>
      <c r="O14" s="556" t="s">
        <v>478</v>
      </c>
      <c r="P14" s="669">
        <v>40690</v>
      </c>
      <c r="Q14" s="670"/>
      <c r="R14" s="572">
        <f>K14</f>
        <v>206</v>
      </c>
      <c r="S14" s="678">
        <v>13498</v>
      </c>
      <c r="T14" s="495">
        <f t="shared" si="14"/>
        <v>2780588</v>
      </c>
      <c r="U14" s="537"/>
      <c r="V14" s="669"/>
      <c r="W14" s="296"/>
      <c r="X14" s="296"/>
      <c r="Y14" s="495">
        <f t="shared" si="15"/>
        <v>0</v>
      </c>
    </row>
    <row r="15" spans="1:26">
      <c r="A15" s="564">
        <f t="shared" si="12"/>
        <v>10</v>
      </c>
      <c r="B15" s="566" t="s">
        <v>778</v>
      </c>
      <c r="C15" s="673">
        <f t="shared" si="2"/>
        <v>541500</v>
      </c>
      <c r="D15" s="680">
        <f t="shared" si="0"/>
        <v>23826.322413332822</v>
      </c>
      <c r="E15" s="680">
        <f t="shared" si="0"/>
        <v>5939.8955036039815</v>
      </c>
      <c r="F15" s="680">
        <f t="shared" si="0"/>
        <v>27573.319095381565</v>
      </c>
      <c r="G15" s="680">
        <f t="shared" si="0"/>
        <v>3171.0079707104992</v>
      </c>
      <c r="H15" s="680">
        <f t="shared" si="0"/>
        <v>1430.1514053621145</v>
      </c>
      <c r="I15" s="680">
        <f t="shared" si="0"/>
        <v>6034.9433660043469</v>
      </c>
      <c r="J15" s="666">
        <f t="shared" si="1"/>
        <v>609475</v>
      </c>
      <c r="K15" s="680">
        <v>50</v>
      </c>
      <c r="L15" s="680">
        <f t="shared" si="13"/>
        <v>12189.5</v>
      </c>
      <c r="M15" s="668">
        <v>13832</v>
      </c>
      <c r="N15" s="668"/>
      <c r="O15" s="556" t="s">
        <v>377</v>
      </c>
      <c r="P15" s="669">
        <v>40690</v>
      </c>
      <c r="Q15" s="670"/>
      <c r="R15" s="572">
        <v>50</v>
      </c>
      <c r="S15" s="677">
        <v>10830</v>
      </c>
      <c r="T15" s="495">
        <f t="shared" si="14"/>
        <v>541500</v>
      </c>
      <c r="U15" s="537"/>
      <c r="V15" s="669"/>
      <c r="W15" s="296"/>
      <c r="X15" s="296"/>
      <c r="Y15" s="495">
        <f t="shared" si="15"/>
        <v>0</v>
      </c>
    </row>
    <row r="16" spans="1:26">
      <c r="A16" s="564">
        <f t="shared" si="12"/>
        <v>11</v>
      </c>
      <c r="B16" s="566" t="s">
        <v>732</v>
      </c>
      <c r="C16" s="673">
        <f t="shared" si="2"/>
        <v>333675</v>
      </c>
      <c r="D16" s="680">
        <f t="shared" ref="D16:I25" si="16">IF($K$170&lt;&gt;0,D$170/$K$170*$K16,0)</f>
        <v>142957.93447999694</v>
      </c>
      <c r="E16" s="680">
        <f t="shared" si="16"/>
        <v>35639.373021623891</v>
      </c>
      <c r="F16" s="680">
        <f t="shared" si="16"/>
        <v>165439.91457228939</v>
      </c>
      <c r="G16" s="680">
        <f t="shared" si="16"/>
        <v>19026.047824262994</v>
      </c>
      <c r="H16" s="680">
        <f t="shared" si="16"/>
        <v>8580.9084321726859</v>
      </c>
      <c r="I16" s="680">
        <f t="shared" si="16"/>
        <v>36209.660196026081</v>
      </c>
      <c r="J16" s="666">
        <f t="shared" ref="J16:J47" si="17">ROUND(SUM(C16:I16),0)</f>
        <v>741529</v>
      </c>
      <c r="K16" s="680">
        <v>300</v>
      </c>
      <c r="L16" s="680">
        <f t="shared" si="13"/>
        <v>2471.7633333333333</v>
      </c>
      <c r="M16" s="668">
        <v>3500</v>
      </c>
      <c r="N16" s="668"/>
      <c r="O16" s="556" t="s">
        <v>364</v>
      </c>
      <c r="P16" s="669">
        <v>40690</v>
      </c>
      <c r="Q16" s="670"/>
      <c r="R16" s="572">
        <f>K16/4</f>
        <v>75</v>
      </c>
      <c r="S16" s="678">
        <v>4449</v>
      </c>
      <c r="T16" s="495">
        <f t="shared" si="14"/>
        <v>333675</v>
      </c>
      <c r="U16" s="537"/>
      <c r="V16" s="669"/>
      <c r="W16" s="296"/>
      <c r="X16" s="296"/>
      <c r="Y16" s="495">
        <f t="shared" si="15"/>
        <v>0</v>
      </c>
    </row>
    <row r="17" spans="1:25">
      <c r="A17" s="564">
        <f t="shared" si="12"/>
        <v>12</v>
      </c>
      <c r="B17" s="566" t="s">
        <v>779</v>
      </c>
      <c r="C17" s="673">
        <f t="shared" si="2"/>
        <v>112875</v>
      </c>
      <c r="D17" s="680">
        <f t="shared" si="16"/>
        <v>3335.6851378665951</v>
      </c>
      <c r="E17" s="680">
        <f t="shared" si="16"/>
        <v>831.58537050455743</v>
      </c>
      <c r="F17" s="680">
        <f t="shared" si="16"/>
        <v>3860.2646733534193</v>
      </c>
      <c r="G17" s="680">
        <f t="shared" si="16"/>
        <v>443.94111589946988</v>
      </c>
      <c r="H17" s="680">
        <f t="shared" si="16"/>
        <v>200.22119675069601</v>
      </c>
      <c r="I17" s="680">
        <f t="shared" si="16"/>
        <v>844.89207124060863</v>
      </c>
      <c r="J17" s="666">
        <f t="shared" si="17"/>
        <v>122392</v>
      </c>
      <c r="K17" s="680">
        <v>7</v>
      </c>
      <c r="L17" s="680">
        <f t="shared" si="13"/>
        <v>17484.571428571428</v>
      </c>
      <c r="M17" s="668">
        <v>19908</v>
      </c>
      <c r="N17" s="668"/>
      <c r="O17" s="566" t="s">
        <v>457</v>
      </c>
      <c r="P17" s="669">
        <v>40690</v>
      </c>
      <c r="Q17" s="670"/>
      <c r="R17" s="676">
        <f t="shared" ref="R17:R18" si="18">K17</f>
        <v>7</v>
      </c>
      <c r="S17" s="677">
        <v>16125</v>
      </c>
      <c r="T17" s="495">
        <f t="shared" si="14"/>
        <v>112875</v>
      </c>
      <c r="U17" s="537"/>
      <c r="V17" s="669"/>
      <c r="W17" s="296"/>
      <c r="X17" s="296"/>
      <c r="Y17" s="495">
        <f t="shared" si="15"/>
        <v>0</v>
      </c>
    </row>
    <row r="18" spans="1:25">
      <c r="A18" s="564">
        <f t="shared" si="12"/>
        <v>13</v>
      </c>
      <c r="B18" s="566" t="s">
        <v>780</v>
      </c>
      <c r="C18" s="673">
        <f t="shared" si="2"/>
        <v>112875</v>
      </c>
      <c r="D18" s="680">
        <f t="shared" si="16"/>
        <v>3335.6851378665951</v>
      </c>
      <c r="E18" s="680">
        <f t="shared" si="16"/>
        <v>831.58537050455743</v>
      </c>
      <c r="F18" s="680">
        <f t="shared" si="16"/>
        <v>3860.2646733534193</v>
      </c>
      <c r="G18" s="680">
        <f t="shared" si="16"/>
        <v>443.94111589946988</v>
      </c>
      <c r="H18" s="680">
        <f t="shared" si="16"/>
        <v>200.22119675069601</v>
      </c>
      <c r="I18" s="680">
        <f t="shared" si="16"/>
        <v>844.89207124060863</v>
      </c>
      <c r="J18" s="666">
        <f t="shared" si="17"/>
        <v>122392</v>
      </c>
      <c r="K18" s="680">
        <v>7</v>
      </c>
      <c r="L18" s="680">
        <f t="shared" si="13"/>
        <v>17484.571428571428</v>
      </c>
      <c r="M18" s="668">
        <v>19285</v>
      </c>
      <c r="N18" s="668"/>
      <c r="O18" s="566" t="s">
        <v>457</v>
      </c>
      <c r="P18" s="669">
        <v>40690</v>
      </c>
      <c r="Q18" s="670"/>
      <c r="R18" s="676">
        <f t="shared" si="18"/>
        <v>7</v>
      </c>
      <c r="S18" s="677">
        <v>16125</v>
      </c>
      <c r="T18" s="495">
        <f t="shared" si="14"/>
        <v>112875</v>
      </c>
      <c r="U18" s="537"/>
      <c r="V18" s="669"/>
      <c r="W18" s="296"/>
      <c r="X18" s="296"/>
      <c r="Y18" s="495">
        <f t="shared" si="15"/>
        <v>0</v>
      </c>
    </row>
    <row r="19" spans="1:25">
      <c r="A19" s="564">
        <f t="shared" si="12"/>
        <v>14</v>
      </c>
      <c r="B19" s="566" t="s">
        <v>778</v>
      </c>
      <c r="C19" s="673">
        <f t="shared" si="2"/>
        <v>2896750</v>
      </c>
      <c r="D19" s="680">
        <f t="shared" si="16"/>
        <v>119131.61206666412</v>
      </c>
      <c r="E19" s="680">
        <f t="shared" si="16"/>
        <v>29699.477518019907</v>
      </c>
      <c r="F19" s="680">
        <f t="shared" si="16"/>
        <v>137866.59547690782</v>
      </c>
      <c r="G19" s="680">
        <f t="shared" si="16"/>
        <v>15855.039853552496</v>
      </c>
      <c r="H19" s="680">
        <f t="shared" si="16"/>
        <v>7150.7570268105719</v>
      </c>
      <c r="I19" s="680">
        <f t="shared" si="16"/>
        <v>30174.716830021738</v>
      </c>
      <c r="J19" s="666">
        <f t="shared" si="17"/>
        <v>3236628</v>
      </c>
      <c r="K19" s="680">
        <v>250</v>
      </c>
      <c r="L19" s="680">
        <f t="shared" si="13"/>
        <v>12946.512000000001</v>
      </c>
      <c r="M19" s="668">
        <v>13832</v>
      </c>
      <c r="N19" s="668"/>
      <c r="O19" s="556" t="s">
        <v>474</v>
      </c>
      <c r="P19" s="669">
        <v>40690</v>
      </c>
      <c r="Q19" s="670"/>
      <c r="R19" s="572">
        <f>K19</f>
        <v>250</v>
      </c>
      <c r="S19" s="677">
        <v>11587</v>
      </c>
      <c r="T19" s="495">
        <f t="shared" si="14"/>
        <v>2896750</v>
      </c>
      <c r="U19" s="537"/>
      <c r="V19" s="669"/>
      <c r="W19" s="296"/>
      <c r="X19" s="296"/>
      <c r="Y19" s="495">
        <f t="shared" si="15"/>
        <v>0</v>
      </c>
    </row>
    <row r="20" spans="1:25">
      <c r="A20" s="564">
        <f t="shared" si="12"/>
        <v>15</v>
      </c>
      <c r="B20" s="566" t="s">
        <v>781</v>
      </c>
      <c r="C20" s="673">
        <f t="shared" si="2"/>
        <v>1255545</v>
      </c>
      <c r="D20" s="680">
        <f t="shared" si="16"/>
        <v>42887.380343999081</v>
      </c>
      <c r="E20" s="680">
        <f t="shared" si="16"/>
        <v>10691.811906487166</v>
      </c>
      <c r="F20" s="680">
        <f t="shared" si="16"/>
        <v>49631.974371686818</v>
      </c>
      <c r="G20" s="680">
        <f t="shared" si="16"/>
        <v>5707.8143472788988</v>
      </c>
      <c r="H20" s="680">
        <f t="shared" si="16"/>
        <v>2574.2725296518061</v>
      </c>
      <c r="I20" s="680">
        <f t="shared" si="16"/>
        <v>10862.898058807825</v>
      </c>
      <c r="J20" s="666">
        <f t="shared" si="17"/>
        <v>1377901</v>
      </c>
      <c r="K20" s="680">
        <v>90</v>
      </c>
      <c r="L20" s="680">
        <f t="shared" si="13"/>
        <v>15310.011111111111</v>
      </c>
      <c r="M20" s="668">
        <v>15724</v>
      </c>
      <c r="N20" s="668"/>
      <c r="O20" s="566" t="s">
        <v>359</v>
      </c>
      <c r="P20" s="669">
        <v>40690</v>
      </c>
      <c r="Q20" s="670"/>
      <c r="R20" s="572">
        <f>K20/2</f>
        <v>45</v>
      </c>
      <c r="S20" s="496">
        <v>27901</v>
      </c>
      <c r="T20" s="495">
        <f t="shared" si="14"/>
        <v>1255545</v>
      </c>
      <c r="U20" s="537"/>
      <c r="V20" s="669"/>
      <c r="W20" s="296"/>
      <c r="X20" s="296"/>
      <c r="Y20" s="495">
        <f t="shared" si="15"/>
        <v>0</v>
      </c>
    </row>
    <row r="21" spans="1:25">
      <c r="A21" s="713">
        <f t="shared" si="12"/>
        <v>16</v>
      </c>
      <c r="B21" s="558" t="s">
        <v>732</v>
      </c>
      <c r="C21" s="673">
        <f t="shared" si="2"/>
        <v>200205</v>
      </c>
      <c r="D21" s="541">
        <f t="shared" si="16"/>
        <v>42887.380343999081</v>
      </c>
      <c r="E21" s="541">
        <f t="shared" si="16"/>
        <v>10691.811906487166</v>
      </c>
      <c r="F21" s="541">
        <f t="shared" si="16"/>
        <v>49631.974371686818</v>
      </c>
      <c r="G21" s="541">
        <f t="shared" si="16"/>
        <v>5707.8143472788988</v>
      </c>
      <c r="H21" s="541">
        <f t="shared" si="16"/>
        <v>2574.2725296518061</v>
      </c>
      <c r="I21" s="541">
        <f t="shared" si="16"/>
        <v>10862.898058807825</v>
      </c>
      <c r="J21" s="666">
        <f t="shared" si="17"/>
        <v>322561</v>
      </c>
      <c r="K21" s="674">
        <v>90</v>
      </c>
      <c r="L21" s="681">
        <f t="shared" si="13"/>
        <v>3584.0111111111109</v>
      </c>
      <c r="M21" s="668">
        <v>4265</v>
      </c>
      <c r="N21" s="668"/>
      <c r="O21" s="556" t="s">
        <v>364</v>
      </c>
      <c r="P21" s="669">
        <v>40690</v>
      </c>
      <c r="Q21" s="670"/>
      <c r="R21" s="572">
        <f>K21/2</f>
        <v>45</v>
      </c>
      <c r="S21" s="678">
        <v>4449</v>
      </c>
      <c r="T21" s="495">
        <f t="shared" si="14"/>
        <v>200205</v>
      </c>
      <c r="U21" s="537"/>
      <c r="V21" s="669"/>
      <c r="W21" s="296"/>
      <c r="X21" s="296"/>
      <c r="Y21" s="495">
        <f t="shared" si="15"/>
        <v>0</v>
      </c>
    </row>
    <row r="22" spans="1:25">
      <c r="A22" s="564">
        <f>IF(B22&lt;&gt;"",A21+1,"")</f>
        <v>17</v>
      </c>
      <c r="B22" s="566" t="s">
        <v>784</v>
      </c>
      <c r="C22" s="673">
        <f t="shared" si="2"/>
        <v>12800</v>
      </c>
      <c r="D22" s="680">
        <f t="shared" si="16"/>
        <v>953.05289653331295</v>
      </c>
      <c r="E22" s="680">
        <f t="shared" si="16"/>
        <v>237.59582014415926</v>
      </c>
      <c r="F22" s="680">
        <f t="shared" si="16"/>
        <v>1102.9327638152627</v>
      </c>
      <c r="G22" s="680">
        <f t="shared" si="16"/>
        <v>126.84031882841997</v>
      </c>
      <c r="H22" s="680">
        <f t="shared" si="16"/>
        <v>57.206056214484576</v>
      </c>
      <c r="I22" s="680">
        <f t="shared" si="16"/>
        <v>241.39773464017389</v>
      </c>
      <c r="J22" s="666">
        <f t="shared" si="17"/>
        <v>15519</v>
      </c>
      <c r="K22" s="680">
        <v>2</v>
      </c>
      <c r="L22" s="680">
        <f t="shared" si="13"/>
        <v>7759.5</v>
      </c>
      <c r="M22" s="668">
        <v>8839</v>
      </c>
      <c r="N22" s="668"/>
      <c r="O22" s="556" t="s">
        <v>497</v>
      </c>
      <c r="P22" s="669">
        <v>40690</v>
      </c>
      <c r="Q22" s="670"/>
      <c r="R22" s="572">
        <f>K22</f>
        <v>2</v>
      </c>
      <c r="S22" s="678">
        <v>6400</v>
      </c>
      <c r="T22" s="495">
        <f t="shared" si="14"/>
        <v>12800</v>
      </c>
      <c r="U22" s="537"/>
      <c r="V22" s="669"/>
      <c r="W22" s="296"/>
      <c r="X22" s="296"/>
      <c r="Y22" s="495">
        <f t="shared" si="15"/>
        <v>0</v>
      </c>
    </row>
    <row r="23" spans="1:25">
      <c r="A23" s="564">
        <f t="shared" si="12"/>
        <v>18</v>
      </c>
      <c r="B23" s="566" t="s">
        <v>785</v>
      </c>
      <c r="C23" s="673">
        <f t="shared" si="2"/>
        <v>4592</v>
      </c>
      <c r="D23" s="680">
        <f t="shared" si="16"/>
        <v>953.05289653331295</v>
      </c>
      <c r="E23" s="680">
        <f t="shared" si="16"/>
        <v>237.59582014415926</v>
      </c>
      <c r="F23" s="680">
        <f t="shared" si="16"/>
        <v>1102.9327638152627</v>
      </c>
      <c r="G23" s="680">
        <f t="shared" si="16"/>
        <v>126.84031882841997</v>
      </c>
      <c r="H23" s="680">
        <f t="shared" si="16"/>
        <v>57.206056214484576</v>
      </c>
      <c r="I23" s="680">
        <f t="shared" si="16"/>
        <v>241.39773464017389</v>
      </c>
      <c r="J23" s="666">
        <f t="shared" si="17"/>
        <v>7311</v>
      </c>
      <c r="K23" s="680">
        <v>2</v>
      </c>
      <c r="L23" s="680">
        <f t="shared" si="13"/>
        <v>3655.5</v>
      </c>
      <c r="M23" s="668">
        <v>5857</v>
      </c>
      <c r="N23" s="668"/>
      <c r="O23" s="556" t="s">
        <v>455</v>
      </c>
      <c r="P23" s="669">
        <v>40690</v>
      </c>
      <c r="Q23" s="670"/>
      <c r="R23" s="572">
        <f>K23/2</f>
        <v>1</v>
      </c>
      <c r="S23" s="678">
        <v>4592</v>
      </c>
      <c r="T23" s="495">
        <f t="shared" si="14"/>
        <v>4592</v>
      </c>
      <c r="U23" s="537"/>
      <c r="V23" s="669"/>
      <c r="W23" s="296"/>
      <c r="X23" s="296"/>
      <c r="Y23" s="495">
        <f t="shared" si="15"/>
        <v>0</v>
      </c>
    </row>
    <row r="24" spans="1:25">
      <c r="A24" s="564">
        <f t="shared" si="12"/>
        <v>19</v>
      </c>
      <c r="B24" s="566" t="s">
        <v>786</v>
      </c>
      <c r="C24" s="673">
        <f t="shared" si="2"/>
        <v>1273600</v>
      </c>
      <c r="D24" s="680">
        <f t="shared" si="16"/>
        <v>92922.657411998007</v>
      </c>
      <c r="E24" s="680">
        <f t="shared" si="16"/>
        <v>23165.592464055528</v>
      </c>
      <c r="F24" s="680">
        <f t="shared" si="16"/>
        <v>107535.94447198811</v>
      </c>
      <c r="G24" s="680">
        <f t="shared" si="16"/>
        <v>12366.931085770946</v>
      </c>
      <c r="H24" s="680">
        <f t="shared" si="16"/>
        <v>5577.5904809122458</v>
      </c>
      <c r="I24" s="680">
        <f t="shared" si="16"/>
        <v>23536.279127416954</v>
      </c>
      <c r="J24" s="666">
        <f t="shared" si="17"/>
        <v>1538705</v>
      </c>
      <c r="K24" s="680">
        <v>195</v>
      </c>
      <c r="L24" s="680">
        <f t="shared" si="13"/>
        <v>7890.7948717948721</v>
      </c>
      <c r="M24" s="668">
        <v>8824</v>
      </c>
      <c r="N24" s="668"/>
      <c r="O24" s="556" t="s">
        <v>497</v>
      </c>
      <c r="P24" s="669">
        <v>40690</v>
      </c>
      <c r="Q24" s="670"/>
      <c r="R24" s="572">
        <v>199</v>
      </c>
      <c r="S24" s="678">
        <v>6400</v>
      </c>
      <c r="T24" s="495">
        <f t="shared" si="14"/>
        <v>1273600</v>
      </c>
      <c r="U24" s="537"/>
      <c r="V24" s="669"/>
      <c r="W24" s="296"/>
      <c r="X24" s="296"/>
      <c r="Y24" s="495">
        <f t="shared" si="15"/>
        <v>0</v>
      </c>
    </row>
    <row r="25" spans="1:25">
      <c r="A25" s="564">
        <f t="shared" si="12"/>
        <v>20</v>
      </c>
      <c r="B25" s="566" t="s">
        <v>787</v>
      </c>
      <c r="C25" s="673">
        <f t="shared" si="2"/>
        <v>295680</v>
      </c>
      <c r="D25" s="680">
        <f t="shared" si="16"/>
        <v>9530.5289653331292</v>
      </c>
      <c r="E25" s="680">
        <f t="shared" si="16"/>
        <v>2375.9582014415928</v>
      </c>
      <c r="F25" s="680">
        <f t="shared" si="16"/>
        <v>11029.327638152627</v>
      </c>
      <c r="G25" s="680">
        <f t="shared" si="16"/>
        <v>1268.4031882841996</v>
      </c>
      <c r="H25" s="680">
        <f t="shared" si="16"/>
        <v>572.06056214484579</v>
      </c>
      <c r="I25" s="680">
        <f t="shared" si="16"/>
        <v>2413.9773464017389</v>
      </c>
      <c r="J25" s="666">
        <f t="shared" si="17"/>
        <v>322870</v>
      </c>
      <c r="K25" s="680">
        <v>20</v>
      </c>
      <c r="L25" s="680">
        <f t="shared" si="13"/>
        <v>16143.5</v>
      </c>
      <c r="M25" s="668">
        <v>16023</v>
      </c>
      <c r="N25" s="668"/>
      <c r="O25" s="556" t="s">
        <v>486</v>
      </c>
      <c r="P25" s="669">
        <v>40690</v>
      </c>
      <c r="Q25" s="670"/>
      <c r="R25" s="572">
        <f>K25</f>
        <v>20</v>
      </c>
      <c r="S25" s="677">
        <v>14784</v>
      </c>
      <c r="T25" s="495">
        <f t="shared" si="14"/>
        <v>295680</v>
      </c>
      <c r="U25" s="537"/>
      <c r="V25" s="669"/>
      <c r="W25" s="296"/>
      <c r="X25" s="296"/>
      <c r="Y25" s="495">
        <f t="shared" si="15"/>
        <v>0</v>
      </c>
    </row>
    <row r="26" spans="1:25">
      <c r="A26" s="564">
        <f t="shared" si="12"/>
        <v>21</v>
      </c>
      <c r="B26" s="566" t="s">
        <v>788</v>
      </c>
      <c r="C26" s="673">
        <f t="shared" si="2"/>
        <v>5612</v>
      </c>
      <c r="D26" s="680">
        <f t="shared" ref="D26:I35" si="19">IF($K$170&lt;&gt;0,D$170/$K$170*$K26,0)</f>
        <v>476.52644826665647</v>
      </c>
      <c r="E26" s="680">
        <f t="shared" si="19"/>
        <v>118.79791007207963</v>
      </c>
      <c r="F26" s="680">
        <f t="shared" si="19"/>
        <v>551.46638190763133</v>
      </c>
      <c r="G26" s="680">
        <f t="shared" si="19"/>
        <v>63.420159414209984</v>
      </c>
      <c r="H26" s="680">
        <f t="shared" si="19"/>
        <v>28.603028107242288</v>
      </c>
      <c r="I26" s="680">
        <f t="shared" si="19"/>
        <v>120.69886732008695</v>
      </c>
      <c r="J26" s="666">
        <f t="shared" si="17"/>
        <v>6972</v>
      </c>
      <c r="K26" s="680">
        <v>1</v>
      </c>
      <c r="L26" s="680">
        <f t="shared" si="13"/>
        <v>6972</v>
      </c>
      <c r="M26" s="668">
        <v>7358</v>
      </c>
      <c r="N26" s="668"/>
      <c r="O26" s="556" t="s">
        <v>479</v>
      </c>
      <c r="P26" s="669">
        <v>40690</v>
      </c>
      <c r="Q26" s="670"/>
      <c r="R26" s="676">
        <f t="shared" ref="R26" si="20">K26</f>
        <v>1</v>
      </c>
      <c r="S26" s="678">
        <v>5612</v>
      </c>
      <c r="T26" s="495">
        <f t="shared" si="14"/>
        <v>5612</v>
      </c>
      <c r="U26" s="537"/>
      <c r="V26" s="669"/>
      <c r="W26" s="296"/>
      <c r="X26" s="296"/>
      <c r="Y26" s="495">
        <f t="shared" si="15"/>
        <v>0</v>
      </c>
    </row>
    <row r="27" spans="1:25">
      <c r="A27" s="564">
        <f t="shared" si="12"/>
        <v>22</v>
      </c>
      <c r="B27" s="566" t="s">
        <v>789</v>
      </c>
      <c r="C27" s="673">
        <f t="shared" si="2"/>
        <v>17796</v>
      </c>
      <c r="D27" s="680">
        <f t="shared" si="19"/>
        <v>1906.1057930666259</v>
      </c>
      <c r="E27" s="680">
        <f t="shared" si="19"/>
        <v>475.19164028831852</v>
      </c>
      <c r="F27" s="680">
        <f t="shared" si="19"/>
        <v>2205.8655276305253</v>
      </c>
      <c r="G27" s="680">
        <f t="shared" si="19"/>
        <v>253.68063765683993</v>
      </c>
      <c r="H27" s="680">
        <f t="shared" si="19"/>
        <v>114.41211242896915</v>
      </c>
      <c r="I27" s="680">
        <f t="shared" si="19"/>
        <v>482.79546928034779</v>
      </c>
      <c r="J27" s="666">
        <f t="shared" si="17"/>
        <v>23234</v>
      </c>
      <c r="K27" s="680">
        <v>4</v>
      </c>
      <c r="L27" s="680">
        <f t="shared" si="13"/>
        <v>5808.5</v>
      </c>
      <c r="M27" s="668">
        <v>7429</v>
      </c>
      <c r="N27" s="668"/>
      <c r="O27" s="566" t="s">
        <v>364</v>
      </c>
      <c r="P27" s="669">
        <v>40690</v>
      </c>
      <c r="Q27" s="670"/>
      <c r="R27" s="572">
        <f>K27</f>
        <v>4</v>
      </c>
      <c r="S27" s="678">
        <v>4449</v>
      </c>
      <c r="T27" s="495">
        <f t="shared" si="14"/>
        <v>17796</v>
      </c>
      <c r="U27" s="537"/>
      <c r="V27" s="669"/>
      <c r="W27" s="296"/>
      <c r="X27" s="296"/>
      <c r="Y27" s="495">
        <f t="shared" si="15"/>
        <v>0</v>
      </c>
    </row>
    <row r="28" spans="1:25">
      <c r="A28" s="564">
        <f t="shared" si="12"/>
        <v>23</v>
      </c>
      <c r="B28" s="566" t="s">
        <v>790</v>
      </c>
      <c r="C28" s="673">
        <f t="shared" si="2"/>
        <v>4449</v>
      </c>
      <c r="D28" s="680">
        <f t="shared" si="19"/>
        <v>953.05289653331295</v>
      </c>
      <c r="E28" s="680">
        <f t="shared" si="19"/>
        <v>237.59582014415926</v>
      </c>
      <c r="F28" s="680">
        <f t="shared" si="19"/>
        <v>1102.9327638152627</v>
      </c>
      <c r="G28" s="680">
        <f t="shared" si="19"/>
        <v>126.84031882841997</v>
      </c>
      <c r="H28" s="680">
        <f t="shared" si="19"/>
        <v>57.206056214484576</v>
      </c>
      <c r="I28" s="680">
        <f t="shared" si="19"/>
        <v>241.39773464017389</v>
      </c>
      <c r="J28" s="666">
        <f t="shared" si="17"/>
        <v>7168</v>
      </c>
      <c r="K28" s="680">
        <v>2</v>
      </c>
      <c r="L28" s="680">
        <f t="shared" si="13"/>
        <v>3584</v>
      </c>
      <c r="M28" s="668">
        <v>4823</v>
      </c>
      <c r="N28" s="668"/>
      <c r="O28" s="556" t="s">
        <v>364</v>
      </c>
      <c r="P28" s="669">
        <v>40690</v>
      </c>
      <c r="Q28" s="670"/>
      <c r="R28" s="572">
        <f>K28/2</f>
        <v>1</v>
      </c>
      <c r="S28" s="678">
        <v>4449</v>
      </c>
      <c r="T28" s="495">
        <f t="shared" si="14"/>
        <v>4449</v>
      </c>
      <c r="U28" s="537"/>
      <c r="V28" s="669"/>
      <c r="W28" s="296"/>
      <c r="X28" s="296"/>
      <c r="Y28" s="495">
        <f t="shared" si="15"/>
        <v>0</v>
      </c>
    </row>
    <row r="29" spans="1:25">
      <c r="A29" s="564">
        <f t="shared" si="12"/>
        <v>24</v>
      </c>
      <c r="B29" s="566" t="s">
        <v>791</v>
      </c>
      <c r="C29" s="673">
        <f t="shared" si="2"/>
        <v>14536</v>
      </c>
      <c r="D29" s="680">
        <f t="shared" si="19"/>
        <v>953.05289653331295</v>
      </c>
      <c r="E29" s="680">
        <f t="shared" si="19"/>
        <v>237.59582014415926</v>
      </c>
      <c r="F29" s="680">
        <f t="shared" si="19"/>
        <v>1102.9327638152627</v>
      </c>
      <c r="G29" s="680">
        <f t="shared" si="19"/>
        <v>126.84031882841997</v>
      </c>
      <c r="H29" s="680">
        <f t="shared" si="19"/>
        <v>57.206056214484576</v>
      </c>
      <c r="I29" s="680">
        <f t="shared" si="19"/>
        <v>241.39773464017389</v>
      </c>
      <c r="J29" s="666">
        <f t="shared" si="17"/>
        <v>17255</v>
      </c>
      <c r="K29" s="680">
        <v>2</v>
      </c>
      <c r="L29" s="680">
        <f t="shared" si="13"/>
        <v>8627.5</v>
      </c>
      <c r="M29" s="668">
        <v>9141</v>
      </c>
      <c r="N29" s="668"/>
      <c r="O29" s="556" t="s">
        <v>500</v>
      </c>
      <c r="P29" s="669">
        <v>40690</v>
      </c>
      <c r="Q29" s="670"/>
      <c r="R29" s="572">
        <f>K29</f>
        <v>2</v>
      </c>
      <c r="S29" s="678">
        <v>7268</v>
      </c>
      <c r="T29" s="495">
        <f t="shared" si="14"/>
        <v>14536</v>
      </c>
      <c r="U29" s="537"/>
      <c r="V29" s="669"/>
      <c r="W29" s="296"/>
      <c r="X29" s="296"/>
      <c r="Y29" s="495">
        <f t="shared" si="15"/>
        <v>0</v>
      </c>
    </row>
    <row r="30" spans="1:25">
      <c r="A30" s="564">
        <f t="shared" si="12"/>
        <v>25</v>
      </c>
      <c r="B30" s="566" t="s">
        <v>797</v>
      </c>
      <c r="C30" s="673">
        <f t="shared" si="2"/>
        <v>11662</v>
      </c>
      <c r="D30" s="680">
        <f t="shared" si="19"/>
        <v>953.05289653331295</v>
      </c>
      <c r="E30" s="680">
        <f t="shared" si="19"/>
        <v>237.59582014415926</v>
      </c>
      <c r="F30" s="680">
        <f t="shared" si="19"/>
        <v>1102.9327638152627</v>
      </c>
      <c r="G30" s="680">
        <f t="shared" si="19"/>
        <v>126.84031882841997</v>
      </c>
      <c r="H30" s="680">
        <f t="shared" si="19"/>
        <v>57.206056214484576</v>
      </c>
      <c r="I30" s="680">
        <f t="shared" si="19"/>
        <v>241.39773464017389</v>
      </c>
      <c r="J30" s="666">
        <f t="shared" si="17"/>
        <v>14381</v>
      </c>
      <c r="K30" s="680">
        <v>2</v>
      </c>
      <c r="L30" s="680">
        <f t="shared" si="13"/>
        <v>7190.5</v>
      </c>
      <c r="M30" s="668">
        <v>7441</v>
      </c>
      <c r="N30" s="668"/>
      <c r="O30" s="556" t="s">
        <v>480</v>
      </c>
      <c r="P30" s="669">
        <v>40690</v>
      </c>
      <c r="Q30" s="670"/>
      <c r="R30" s="676">
        <f t="shared" ref="R30:R31" si="21">K30</f>
        <v>2</v>
      </c>
      <c r="S30" s="678">
        <v>5831</v>
      </c>
      <c r="T30" s="495">
        <f t="shared" si="14"/>
        <v>11662</v>
      </c>
      <c r="U30" s="537"/>
      <c r="V30" s="669"/>
      <c r="W30" s="296"/>
      <c r="X30" s="296"/>
      <c r="Y30" s="495">
        <f t="shared" si="15"/>
        <v>0</v>
      </c>
    </row>
    <row r="31" spans="1:25">
      <c r="A31" s="564">
        <f t="shared" si="12"/>
        <v>26</v>
      </c>
      <c r="B31" s="566" t="s">
        <v>798</v>
      </c>
      <c r="C31" s="673">
        <f t="shared" si="2"/>
        <v>28060</v>
      </c>
      <c r="D31" s="680">
        <f t="shared" si="19"/>
        <v>2382.6322413332823</v>
      </c>
      <c r="E31" s="680">
        <f t="shared" si="19"/>
        <v>593.9895503603982</v>
      </c>
      <c r="F31" s="680">
        <f t="shared" si="19"/>
        <v>2757.3319095381567</v>
      </c>
      <c r="G31" s="680">
        <f t="shared" si="19"/>
        <v>317.1007970710499</v>
      </c>
      <c r="H31" s="680">
        <f t="shared" si="19"/>
        <v>143.01514053621145</v>
      </c>
      <c r="I31" s="680">
        <f t="shared" si="19"/>
        <v>603.49433660043474</v>
      </c>
      <c r="J31" s="666">
        <f t="shared" si="17"/>
        <v>34858</v>
      </c>
      <c r="K31" s="680">
        <v>5</v>
      </c>
      <c r="L31" s="680">
        <f t="shared" si="13"/>
        <v>6971.6</v>
      </c>
      <c r="M31" s="668">
        <v>7175</v>
      </c>
      <c r="N31" s="668"/>
      <c r="O31" s="556" t="s">
        <v>479</v>
      </c>
      <c r="P31" s="669">
        <v>40690</v>
      </c>
      <c r="Q31" s="670"/>
      <c r="R31" s="676">
        <f t="shared" si="21"/>
        <v>5</v>
      </c>
      <c r="S31" s="678">
        <v>5612</v>
      </c>
      <c r="T31" s="495">
        <f t="shared" si="14"/>
        <v>28060</v>
      </c>
      <c r="U31" s="537"/>
      <c r="V31" s="669"/>
      <c r="W31" s="296"/>
      <c r="X31" s="296"/>
      <c r="Y31" s="495">
        <f t="shared" si="15"/>
        <v>0</v>
      </c>
    </row>
    <row r="32" spans="1:25">
      <c r="A32" s="564">
        <f t="shared" si="12"/>
        <v>27</v>
      </c>
      <c r="B32" s="566" t="s">
        <v>799</v>
      </c>
      <c r="C32" s="673">
        <f t="shared" si="2"/>
        <v>1455550</v>
      </c>
      <c r="D32" s="680">
        <f t="shared" si="19"/>
        <v>40981.27455093246</v>
      </c>
      <c r="E32" s="680">
        <f t="shared" si="19"/>
        <v>10216.620266198848</v>
      </c>
      <c r="F32" s="680">
        <f t="shared" si="19"/>
        <v>47426.108844056296</v>
      </c>
      <c r="G32" s="680">
        <f t="shared" si="19"/>
        <v>5454.1337096220586</v>
      </c>
      <c r="H32" s="680">
        <f t="shared" si="19"/>
        <v>2459.860417222837</v>
      </c>
      <c r="I32" s="680">
        <f t="shared" si="19"/>
        <v>10380.102589527478</v>
      </c>
      <c r="J32" s="666">
        <f t="shared" si="17"/>
        <v>1572468</v>
      </c>
      <c r="K32" s="680">
        <v>86</v>
      </c>
      <c r="L32" s="680">
        <f t="shared" si="13"/>
        <v>18284.511627906977</v>
      </c>
      <c r="M32" s="668">
        <v>19591</v>
      </c>
      <c r="N32" s="668"/>
      <c r="O32" s="556" t="s">
        <v>466</v>
      </c>
      <c r="P32" s="669">
        <v>40690</v>
      </c>
      <c r="Q32" s="670"/>
      <c r="R32" s="676">
        <f>K32</f>
        <v>86</v>
      </c>
      <c r="S32" s="496">
        <v>16925</v>
      </c>
      <c r="T32" s="495">
        <f t="shared" si="14"/>
        <v>1455550</v>
      </c>
      <c r="U32" s="537"/>
      <c r="V32" s="669"/>
      <c r="W32" s="296"/>
      <c r="X32" s="296"/>
      <c r="Y32" s="495">
        <f t="shared" si="15"/>
        <v>0</v>
      </c>
    </row>
    <row r="33" spans="1:25">
      <c r="A33" s="564">
        <f t="shared" si="12"/>
        <v>28</v>
      </c>
      <c r="B33" s="566" t="s">
        <v>800</v>
      </c>
      <c r="C33" s="673">
        <f t="shared" si="2"/>
        <v>53992</v>
      </c>
      <c r="D33" s="680">
        <f t="shared" si="19"/>
        <v>1906.1057930666259</v>
      </c>
      <c r="E33" s="680">
        <f t="shared" si="19"/>
        <v>475.19164028831852</v>
      </c>
      <c r="F33" s="680">
        <f t="shared" si="19"/>
        <v>2205.8655276305253</v>
      </c>
      <c r="G33" s="680">
        <f t="shared" si="19"/>
        <v>253.68063765683993</v>
      </c>
      <c r="H33" s="680">
        <f t="shared" si="19"/>
        <v>114.41211242896915</v>
      </c>
      <c r="I33" s="680">
        <f t="shared" si="19"/>
        <v>482.79546928034779</v>
      </c>
      <c r="J33" s="666">
        <f t="shared" si="17"/>
        <v>59430</v>
      </c>
      <c r="K33" s="680">
        <v>4</v>
      </c>
      <c r="L33" s="680">
        <f t="shared" si="13"/>
        <v>14857.5</v>
      </c>
      <c r="M33" s="668">
        <v>16433</v>
      </c>
      <c r="N33" s="668"/>
      <c r="O33" s="556" t="s">
        <v>478</v>
      </c>
      <c r="P33" s="669">
        <v>40690</v>
      </c>
      <c r="Q33" s="670"/>
      <c r="R33" s="572">
        <f t="shared" ref="R33:R34" si="22">K33</f>
        <v>4</v>
      </c>
      <c r="S33" s="678">
        <v>13498</v>
      </c>
      <c r="T33" s="495">
        <f t="shared" si="14"/>
        <v>53992</v>
      </c>
      <c r="U33" s="537"/>
      <c r="V33" s="669"/>
      <c r="W33" s="296"/>
      <c r="X33" s="296"/>
      <c r="Y33" s="495">
        <f t="shared" si="15"/>
        <v>0</v>
      </c>
    </row>
    <row r="34" spans="1:25">
      <c r="A34" s="564">
        <f t="shared" si="12"/>
        <v>29</v>
      </c>
      <c r="B34" s="566" t="s">
        <v>801</v>
      </c>
      <c r="C34" s="673">
        <f t="shared" si="2"/>
        <v>323952</v>
      </c>
      <c r="D34" s="680">
        <f t="shared" si="19"/>
        <v>11436.634758399756</v>
      </c>
      <c r="E34" s="680">
        <f t="shared" si="19"/>
        <v>2851.1498417299113</v>
      </c>
      <c r="F34" s="680">
        <f t="shared" si="19"/>
        <v>13235.193165783152</v>
      </c>
      <c r="G34" s="680">
        <f t="shared" si="19"/>
        <v>1522.0838259410395</v>
      </c>
      <c r="H34" s="680">
        <f t="shared" si="19"/>
        <v>686.47267457381486</v>
      </c>
      <c r="I34" s="680">
        <f t="shared" si="19"/>
        <v>2896.7728156820867</v>
      </c>
      <c r="J34" s="666">
        <f t="shared" si="17"/>
        <v>356580</v>
      </c>
      <c r="K34" s="680">
        <v>24</v>
      </c>
      <c r="L34" s="680">
        <f t="shared" si="13"/>
        <v>14857.5</v>
      </c>
      <c r="M34" s="668">
        <v>15538</v>
      </c>
      <c r="N34" s="668"/>
      <c r="O34" s="556" t="s">
        <v>478</v>
      </c>
      <c r="P34" s="669">
        <v>40690</v>
      </c>
      <c r="Q34" s="670"/>
      <c r="R34" s="572">
        <f t="shared" si="22"/>
        <v>24</v>
      </c>
      <c r="S34" s="678">
        <v>13498</v>
      </c>
      <c r="T34" s="495">
        <f t="shared" si="14"/>
        <v>323952</v>
      </c>
      <c r="U34" s="537"/>
      <c r="V34" s="669"/>
      <c r="W34" s="296"/>
      <c r="X34" s="296"/>
      <c r="Y34" s="495">
        <f t="shared" si="15"/>
        <v>0</v>
      </c>
    </row>
    <row r="35" spans="1:25">
      <c r="A35" s="564">
        <f t="shared" si="12"/>
        <v>30</v>
      </c>
      <c r="B35" s="566" t="s">
        <v>802</v>
      </c>
      <c r="C35" s="673">
        <f t="shared" si="2"/>
        <v>5128200</v>
      </c>
      <c r="D35" s="680">
        <f t="shared" si="19"/>
        <v>173455.62716906297</v>
      </c>
      <c r="E35" s="680">
        <f t="shared" si="19"/>
        <v>43242.439266236986</v>
      </c>
      <c r="F35" s="680">
        <f t="shared" si="19"/>
        <v>200733.76301437779</v>
      </c>
      <c r="G35" s="680">
        <f t="shared" si="19"/>
        <v>23084.938026772434</v>
      </c>
      <c r="H35" s="680">
        <f t="shared" si="19"/>
        <v>10411.502231036193</v>
      </c>
      <c r="I35" s="680">
        <f t="shared" si="19"/>
        <v>43934.387704511646</v>
      </c>
      <c r="J35" s="666">
        <f t="shared" si="17"/>
        <v>5623063</v>
      </c>
      <c r="K35" s="680">
        <v>364</v>
      </c>
      <c r="L35" s="680">
        <f t="shared" si="13"/>
        <v>15447.975274725275</v>
      </c>
      <c r="M35" s="668">
        <v>17124</v>
      </c>
      <c r="N35" s="668"/>
      <c r="O35" s="566" t="s">
        <v>459</v>
      </c>
      <c r="P35" s="669">
        <v>40690</v>
      </c>
      <c r="Q35" s="670"/>
      <c r="R35" s="572">
        <v>185</v>
      </c>
      <c r="S35" s="677">
        <v>27720</v>
      </c>
      <c r="T35" s="495">
        <f t="shared" si="14"/>
        <v>5128200</v>
      </c>
      <c r="U35" s="537"/>
      <c r="V35" s="669"/>
      <c r="W35" s="296"/>
      <c r="X35" s="296"/>
      <c r="Y35" s="495">
        <f t="shared" si="15"/>
        <v>0</v>
      </c>
    </row>
    <row r="36" spans="1:25">
      <c r="A36" s="564">
        <f t="shared" si="12"/>
        <v>31</v>
      </c>
      <c r="B36" s="566" t="s">
        <v>803</v>
      </c>
      <c r="C36" s="673">
        <f t="shared" si="2"/>
        <v>17240</v>
      </c>
      <c r="D36" s="680">
        <f t="shared" ref="D36:I45" si="23">IF($K$170&lt;&gt;0,D$170/$K$170*$K36,0)</f>
        <v>953.05289653331295</v>
      </c>
      <c r="E36" s="680">
        <f t="shared" si="23"/>
        <v>237.59582014415926</v>
      </c>
      <c r="F36" s="680">
        <f t="shared" si="23"/>
        <v>1102.9327638152627</v>
      </c>
      <c r="G36" s="680">
        <f t="shared" si="23"/>
        <v>126.84031882841997</v>
      </c>
      <c r="H36" s="680">
        <f t="shared" si="23"/>
        <v>57.206056214484576</v>
      </c>
      <c r="I36" s="680">
        <f t="shared" si="23"/>
        <v>241.39773464017389</v>
      </c>
      <c r="J36" s="666">
        <f t="shared" si="17"/>
        <v>19959</v>
      </c>
      <c r="K36" s="680">
        <v>2</v>
      </c>
      <c r="L36" s="680">
        <f t="shared" si="13"/>
        <v>9979.5</v>
      </c>
      <c r="M36" s="668">
        <v>12738</v>
      </c>
      <c r="N36" s="668"/>
      <c r="O36" s="556" t="s">
        <v>484</v>
      </c>
      <c r="P36" s="669">
        <v>40690</v>
      </c>
      <c r="Q36" s="670"/>
      <c r="R36" s="572">
        <f>K36</f>
        <v>2</v>
      </c>
      <c r="S36" s="677">
        <v>8620</v>
      </c>
      <c r="T36" s="495">
        <f t="shared" si="14"/>
        <v>17240</v>
      </c>
      <c r="U36" s="537"/>
      <c r="V36" s="669"/>
      <c r="W36" s="296"/>
      <c r="X36" s="296"/>
      <c r="Y36" s="495">
        <f t="shared" si="15"/>
        <v>0</v>
      </c>
    </row>
    <row r="37" spans="1:25">
      <c r="A37" s="713">
        <f t="shared" si="12"/>
        <v>32</v>
      </c>
      <c r="B37" s="558" t="s">
        <v>804</v>
      </c>
      <c r="C37" s="673">
        <f t="shared" si="2"/>
        <v>118580</v>
      </c>
      <c r="D37" s="541">
        <f t="shared" si="23"/>
        <v>4765.2644826665646</v>
      </c>
      <c r="E37" s="541">
        <f t="shared" si="23"/>
        <v>1187.9791007207964</v>
      </c>
      <c r="F37" s="541">
        <f t="shared" si="23"/>
        <v>5514.6638190763133</v>
      </c>
      <c r="G37" s="541">
        <f t="shared" si="23"/>
        <v>634.20159414209979</v>
      </c>
      <c r="H37" s="541">
        <f t="shared" si="23"/>
        <v>286.03028107242289</v>
      </c>
      <c r="I37" s="541">
        <f t="shared" si="23"/>
        <v>1206.9886732008695</v>
      </c>
      <c r="J37" s="666">
        <f t="shared" si="17"/>
        <v>132175</v>
      </c>
      <c r="K37" s="674">
        <v>10</v>
      </c>
      <c r="L37" s="674">
        <f t="shared" si="13"/>
        <v>13217.5</v>
      </c>
      <c r="M37" s="682">
        <v>14997</v>
      </c>
      <c r="N37" s="668"/>
      <c r="O37" s="556" t="s">
        <v>469</v>
      </c>
      <c r="P37" s="669">
        <v>40690</v>
      </c>
      <c r="Q37" s="670"/>
      <c r="R37" s="676">
        <v>5</v>
      </c>
      <c r="S37" s="678">
        <v>23716</v>
      </c>
      <c r="T37" s="495">
        <f t="shared" si="14"/>
        <v>118580</v>
      </c>
      <c r="U37" s="537"/>
      <c r="V37" s="669"/>
      <c r="W37" s="296"/>
      <c r="X37" s="296"/>
      <c r="Y37" s="495">
        <f t="shared" si="15"/>
        <v>0</v>
      </c>
    </row>
    <row r="38" spans="1:25">
      <c r="A38" s="564">
        <f>IF(B38&lt;&gt;"",A37+1,"")</f>
        <v>33</v>
      </c>
      <c r="B38" s="566" t="s">
        <v>805</v>
      </c>
      <c r="C38" s="673">
        <f t="shared" si="2"/>
        <v>5821200</v>
      </c>
      <c r="D38" s="680">
        <f t="shared" si="23"/>
        <v>197281.94958239578</v>
      </c>
      <c r="E38" s="680">
        <f t="shared" si="23"/>
        <v>49182.334769840971</v>
      </c>
      <c r="F38" s="680">
        <f t="shared" si="23"/>
        <v>228307.08210975936</v>
      </c>
      <c r="G38" s="680">
        <f t="shared" si="23"/>
        <v>26255.945997482933</v>
      </c>
      <c r="H38" s="675">
        <f t="shared" si="23"/>
        <v>11841.653636398307</v>
      </c>
      <c r="I38" s="675">
        <f t="shared" si="23"/>
        <v>49969.331070515997</v>
      </c>
      <c r="J38" s="666">
        <f t="shared" si="17"/>
        <v>6384038</v>
      </c>
      <c r="K38" s="675">
        <v>414</v>
      </c>
      <c r="L38" s="675">
        <f t="shared" si="13"/>
        <v>15420.381642512077</v>
      </c>
      <c r="M38" s="668">
        <v>16852</v>
      </c>
      <c r="N38" s="668"/>
      <c r="O38" s="566" t="s">
        <v>459</v>
      </c>
      <c r="P38" s="669">
        <v>40690</v>
      </c>
      <c r="Q38" s="670"/>
      <c r="R38" s="572">
        <v>210</v>
      </c>
      <c r="S38" s="677">
        <v>27720</v>
      </c>
      <c r="T38" s="495">
        <f t="shared" si="14"/>
        <v>5821200</v>
      </c>
      <c r="U38" s="537"/>
      <c r="V38" s="669"/>
      <c r="W38" s="296"/>
      <c r="X38" s="296"/>
      <c r="Y38" s="495">
        <f t="shared" si="15"/>
        <v>0</v>
      </c>
    </row>
    <row r="39" spans="1:25">
      <c r="A39" s="564">
        <f t="shared" si="12"/>
        <v>34</v>
      </c>
      <c r="B39" s="566" t="s">
        <v>806</v>
      </c>
      <c r="C39" s="673">
        <f t="shared" si="2"/>
        <v>17388000</v>
      </c>
      <c r="D39" s="680">
        <f t="shared" si="23"/>
        <v>657606.49860798591</v>
      </c>
      <c r="E39" s="680">
        <f t="shared" si="23"/>
        <v>163941.11589946988</v>
      </c>
      <c r="F39" s="680">
        <f t="shared" si="23"/>
        <v>761023.60703253129</v>
      </c>
      <c r="G39" s="680">
        <f t="shared" si="23"/>
        <v>87519.81999160978</v>
      </c>
      <c r="H39" s="675">
        <f t="shared" si="23"/>
        <v>39472.178787994359</v>
      </c>
      <c r="I39" s="675">
        <f t="shared" si="23"/>
        <v>166564.43690171998</v>
      </c>
      <c r="J39" s="666">
        <f t="shared" si="17"/>
        <v>19264128</v>
      </c>
      <c r="K39" s="675">
        <v>1380</v>
      </c>
      <c r="L39" s="675">
        <f t="shared" si="13"/>
        <v>13959.51304347826</v>
      </c>
      <c r="M39" s="668">
        <v>14135</v>
      </c>
      <c r="N39" s="668"/>
      <c r="O39" s="566" t="s">
        <v>458</v>
      </c>
      <c r="P39" s="669">
        <v>40690</v>
      </c>
      <c r="Q39" s="670"/>
      <c r="R39" s="676">
        <f>K39/2</f>
        <v>690</v>
      </c>
      <c r="S39" s="678">
        <v>25200</v>
      </c>
      <c r="T39" s="495">
        <f t="shared" si="14"/>
        <v>17388000</v>
      </c>
      <c r="U39" s="537"/>
      <c r="V39" s="669"/>
      <c r="W39" s="296"/>
      <c r="X39" s="296"/>
      <c r="Y39" s="495">
        <f t="shared" si="15"/>
        <v>0</v>
      </c>
    </row>
    <row r="40" spans="1:25">
      <c r="A40" s="713">
        <f t="shared" si="12"/>
        <v>35</v>
      </c>
      <c r="B40" s="558" t="s">
        <v>807</v>
      </c>
      <c r="C40" s="673">
        <f t="shared" si="2"/>
        <v>14212800</v>
      </c>
      <c r="D40" s="541">
        <f t="shared" si="23"/>
        <v>537045.3071965219</v>
      </c>
      <c r="E40" s="541">
        <f t="shared" si="23"/>
        <v>133885.24465123375</v>
      </c>
      <c r="F40" s="541">
        <f t="shared" si="23"/>
        <v>621502.61240990052</v>
      </c>
      <c r="G40" s="541">
        <f t="shared" si="23"/>
        <v>71474.519659814658</v>
      </c>
      <c r="H40" s="541">
        <f t="shared" si="23"/>
        <v>32235.61267686206</v>
      </c>
      <c r="I40" s="541">
        <f t="shared" si="23"/>
        <v>136027.623469738</v>
      </c>
      <c r="J40" s="666">
        <f t="shared" si="17"/>
        <v>15744971</v>
      </c>
      <c r="K40" s="674">
        <v>1127</v>
      </c>
      <c r="L40" s="674">
        <f t="shared" si="13"/>
        <v>13970.692990239573</v>
      </c>
      <c r="M40" s="682">
        <v>14920</v>
      </c>
      <c r="N40" s="668"/>
      <c r="O40" s="566" t="s">
        <v>458</v>
      </c>
      <c r="P40" s="669">
        <v>40690</v>
      </c>
      <c r="Q40" s="670"/>
      <c r="R40" s="676">
        <v>564</v>
      </c>
      <c r="S40" s="678">
        <v>25200</v>
      </c>
      <c r="T40" s="495">
        <f t="shared" si="14"/>
        <v>14212800</v>
      </c>
      <c r="U40" s="537"/>
      <c r="V40" s="669"/>
      <c r="W40" s="296"/>
      <c r="X40" s="296"/>
      <c r="Y40" s="495">
        <f t="shared" si="15"/>
        <v>0</v>
      </c>
    </row>
    <row r="41" spans="1:25">
      <c r="A41" s="713">
        <f>IF(B41&lt;&gt;"",A40+1,"")</f>
        <v>36</v>
      </c>
      <c r="B41" s="558" t="s">
        <v>718</v>
      </c>
      <c r="C41" s="673">
        <f t="shared" si="2"/>
        <v>3063425</v>
      </c>
      <c r="D41" s="541">
        <f t="shared" si="23"/>
        <v>86251.287136264815</v>
      </c>
      <c r="E41" s="541">
        <f t="shared" si="23"/>
        <v>21502.421723046413</v>
      </c>
      <c r="F41" s="541">
        <f t="shared" si="23"/>
        <v>99815.415125281274</v>
      </c>
      <c r="G41" s="541">
        <f t="shared" si="23"/>
        <v>11479.048853972006</v>
      </c>
      <c r="H41" s="541">
        <f t="shared" si="23"/>
        <v>5177.1480874108538</v>
      </c>
      <c r="I41" s="541">
        <f t="shared" si="23"/>
        <v>21846.494984935736</v>
      </c>
      <c r="J41" s="666">
        <f t="shared" si="17"/>
        <v>3309497</v>
      </c>
      <c r="K41" s="674">
        <v>181</v>
      </c>
      <c r="L41" s="674">
        <f t="shared" si="13"/>
        <v>18284.513812154695</v>
      </c>
      <c r="M41" s="682">
        <v>19720</v>
      </c>
      <c r="N41" s="668"/>
      <c r="O41" s="556" t="s">
        <v>466</v>
      </c>
      <c r="P41" s="669">
        <v>40691</v>
      </c>
      <c r="Q41" s="670"/>
      <c r="R41" s="676">
        <f>K41</f>
        <v>181</v>
      </c>
      <c r="S41" s="496">
        <v>16925</v>
      </c>
      <c r="T41" s="495">
        <f t="shared" si="14"/>
        <v>3063425</v>
      </c>
      <c r="U41" s="537"/>
      <c r="V41" s="669"/>
      <c r="W41" s="296"/>
      <c r="X41" s="296"/>
      <c r="Y41" s="495">
        <f t="shared" si="15"/>
        <v>0</v>
      </c>
    </row>
    <row r="42" spans="1:25">
      <c r="A42" s="713">
        <f>IF(B42&lt;&gt;"",A41+1,"")</f>
        <v>37</v>
      </c>
      <c r="B42" s="558" t="s">
        <v>814</v>
      </c>
      <c r="C42" s="673">
        <f t="shared" si="2"/>
        <v>284736</v>
      </c>
      <c r="D42" s="541">
        <f t="shared" si="23"/>
        <v>121037.71785973075</v>
      </c>
      <c r="E42" s="541">
        <f t="shared" si="23"/>
        <v>30174.669158308225</v>
      </c>
      <c r="F42" s="541">
        <f t="shared" si="23"/>
        <v>140072.46100453835</v>
      </c>
      <c r="G42" s="541">
        <f t="shared" si="23"/>
        <v>16108.720491209337</v>
      </c>
      <c r="H42" s="541">
        <f t="shared" si="23"/>
        <v>7265.1691392395414</v>
      </c>
      <c r="I42" s="541">
        <f t="shared" si="23"/>
        <v>30657.512299302085</v>
      </c>
      <c r="J42" s="666">
        <f t="shared" si="17"/>
        <v>630052</v>
      </c>
      <c r="K42" s="674">
        <v>254</v>
      </c>
      <c r="L42" s="674">
        <f t="shared" si="13"/>
        <v>2480.51968503937</v>
      </c>
      <c r="M42" s="682">
        <v>2200</v>
      </c>
      <c r="N42" s="668"/>
      <c r="O42" s="556" t="s">
        <v>364</v>
      </c>
      <c r="P42" s="669">
        <v>40691</v>
      </c>
      <c r="Q42" s="670"/>
      <c r="R42" s="572">
        <v>64</v>
      </c>
      <c r="S42" s="678">
        <v>4449</v>
      </c>
      <c r="T42" s="495">
        <f t="shared" si="14"/>
        <v>284736</v>
      </c>
      <c r="U42" s="537"/>
      <c r="V42" s="669"/>
      <c r="W42" s="296"/>
      <c r="X42" s="296"/>
      <c r="Y42" s="495">
        <f t="shared" si="15"/>
        <v>0</v>
      </c>
    </row>
    <row r="43" spans="1:25">
      <c r="A43" s="564">
        <f>IF(B43&lt;&gt;"",A42+1,"")</f>
        <v>38</v>
      </c>
      <c r="B43" s="566" t="s">
        <v>815</v>
      </c>
      <c r="C43" s="673">
        <f t="shared" si="2"/>
        <v>5241600</v>
      </c>
      <c r="D43" s="680">
        <f t="shared" si="23"/>
        <v>194422.79089279583</v>
      </c>
      <c r="E43" s="680">
        <f t="shared" si="23"/>
        <v>48469.547309408488</v>
      </c>
      <c r="F43" s="680">
        <f t="shared" si="23"/>
        <v>224998.28381831359</v>
      </c>
      <c r="G43" s="680">
        <f t="shared" si="23"/>
        <v>25875.425040997674</v>
      </c>
      <c r="H43" s="680">
        <f t="shared" si="23"/>
        <v>11670.035467754853</v>
      </c>
      <c r="I43" s="680">
        <f t="shared" si="23"/>
        <v>49245.137866595476</v>
      </c>
      <c r="J43" s="666">
        <f t="shared" si="17"/>
        <v>5796281</v>
      </c>
      <c r="K43" s="680">
        <v>408</v>
      </c>
      <c r="L43" s="680">
        <f t="shared" ref="L43:L74" si="24">IF(K43&lt;&gt;"",J43/K43,"")</f>
        <v>14206.571078431372</v>
      </c>
      <c r="M43" s="668">
        <v>15770</v>
      </c>
      <c r="N43" s="668"/>
      <c r="O43" s="566" t="s">
        <v>458</v>
      </c>
      <c r="P43" s="669">
        <v>40691</v>
      </c>
      <c r="Q43" s="670"/>
      <c r="R43" s="572">
        <v>208</v>
      </c>
      <c r="S43" s="677">
        <v>25200</v>
      </c>
      <c r="T43" s="495">
        <f t="shared" si="14"/>
        <v>5241600</v>
      </c>
      <c r="U43" s="537"/>
      <c r="V43" s="669"/>
      <c r="W43" s="296"/>
      <c r="X43" s="296"/>
      <c r="Y43" s="495">
        <f t="shared" ref="Y43:Y74" si="25">W43*X43</f>
        <v>0</v>
      </c>
    </row>
    <row r="44" spans="1:25">
      <c r="A44" s="564">
        <f t="shared" ref="A44:A74" si="26">IF(B44&lt;&gt;"",A43+1,"")</f>
        <v>39</v>
      </c>
      <c r="B44" s="566" t="s">
        <v>816</v>
      </c>
      <c r="C44" s="673">
        <f t="shared" si="2"/>
        <v>2764485</v>
      </c>
      <c r="D44" s="680">
        <f t="shared" si="23"/>
        <v>164401.62465199648</v>
      </c>
      <c r="E44" s="680">
        <f t="shared" si="23"/>
        <v>40985.27897486747</v>
      </c>
      <c r="F44" s="680">
        <f t="shared" si="23"/>
        <v>190255.90175813282</v>
      </c>
      <c r="G44" s="680">
        <f t="shared" si="23"/>
        <v>21879.954997902445</v>
      </c>
      <c r="H44" s="680">
        <f t="shared" si="23"/>
        <v>9868.0446969985896</v>
      </c>
      <c r="I44" s="680">
        <f t="shared" si="23"/>
        <v>41641.109225429995</v>
      </c>
      <c r="J44" s="666">
        <f t="shared" si="17"/>
        <v>3233517</v>
      </c>
      <c r="K44" s="680">
        <v>345</v>
      </c>
      <c r="L44" s="680">
        <f t="shared" si="24"/>
        <v>9372.5130434782604</v>
      </c>
      <c r="M44" s="668">
        <v>11002</v>
      </c>
      <c r="N44" s="668"/>
      <c r="O44" s="556" t="s">
        <v>494</v>
      </c>
      <c r="P44" s="669">
        <v>40691</v>
      </c>
      <c r="Q44" s="670"/>
      <c r="R44" s="572">
        <f t="shared" ref="R44:R46" si="27">K44</f>
        <v>345</v>
      </c>
      <c r="S44" s="677">
        <v>8013</v>
      </c>
      <c r="T44" s="495">
        <f t="shared" si="14"/>
        <v>2764485</v>
      </c>
      <c r="U44" s="537"/>
      <c r="V44" s="669"/>
      <c r="W44" s="296"/>
      <c r="X44" s="296"/>
      <c r="Y44" s="495">
        <f t="shared" si="25"/>
        <v>0</v>
      </c>
    </row>
    <row r="45" spans="1:25">
      <c r="A45" s="564">
        <f t="shared" si="26"/>
        <v>40</v>
      </c>
      <c r="B45" s="566" t="s">
        <v>817</v>
      </c>
      <c r="C45" s="673">
        <f t="shared" si="2"/>
        <v>34480</v>
      </c>
      <c r="D45" s="680">
        <f t="shared" si="23"/>
        <v>1906.1057930666259</v>
      </c>
      <c r="E45" s="680">
        <f t="shared" si="23"/>
        <v>475.19164028831852</v>
      </c>
      <c r="F45" s="680">
        <f t="shared" si="23"/>
        <v>2205.8655276305253</v>
      </c>
      <c r="G45" s="680">
        <f t="shared" si="23"/>
        <v>253.68063765683993</v>
      </c>
      <c r="H45" s="680">
        <f t="shared" si="23"/>
        <v>114.41211242896915</v>
      </c>
      <c r="I45" s="680">
        <f t="shared" si="23"/>
        <v>482.79546928034779</v>
      </c>
      <c r="J45" s="666">
        <f t="shared" si="17"/>
        <v>39918</v>
      </c>
      <c r="K45" s="680">
        <v>4</v>
      </c>
      <c r="L45" s="680">
        <f t="shared" si="24"/>
        <v>9979.5</v>
      </c>
      <c r="M45" s="668">
        <v>12279</v>
      </c>
      <c r="N45" s="668"/>
      <c r="O45" s="556" t="s">
        <v>484</v>
      </c>
      <c r="P45" s="669">
        <v>40691</v>
      </c>
      <c r="Q45" s="670"/>
      <c r="R45" s="572">
        <f t="shared" si="27"/>
        <v>4</v>
      </c>
      <c r="S45" s="677">
        <v>8620</v>
      </c>
      <c r="T45" s="495">
        <f t="shared" si="14"/>
        <v>34480</v>
      </c>
      <c r="U45" s="537"/>
      <c r="V45" s="669"/>
      <c r="W45" s="296"/>
      <c r="X45" s="296"/>
      <c r="Y45" s="495">
        <f t="shared" si="25"/>
        <v>0</v>
      </c>
    </row>
    <row r="46" spans="1:25">
      <c r="A46" s="564">
        <f t="shared" si="26"/>
        <v>41</v>
      </c>
      <c r="B46" s="566" t="s">
        <v>818</v>
      </c>
      <c r="C46" s="673">
        <f t="shared" si="2"/>
        <v>577540</v>
      </c>
      <c r="D46" s="680">
        <f t="shared" ref="D46:I55" si="28">IF($K$170&lt;&gt;0,D$170/$K$170*$K46,0)</f>
        <v>31927.272033865982</v>
      </c>
      <c r="E46" s="680">
        <f t="shared" si="28"/>
        <v>7959.4599748293349</v>
      </c>
      <c r="F46" s="680">
        <f t="shared" si="28"/>
        <v>36948.247587811296</v>
      </c>
      <c r="G46" s="680">
        <f t="shared" si="28"/>
        <v>4249.1506807520691</v>
      </c>
      <c r="H46" s="680">
        <f t="shared" si="28"/>
        <v>1916.4028831852333</v>
      </c>
      <c r="I46" s="680">
        <f t="shared" si="28"/>
        <v>8086.8241104458257</v>
      </c>
      <c r="J46" s="666">
        <f t="shared" si="17"/>
        <v>668627</v>
      </c>
      <c r="K46" s="680">
        <v>67</v>
      </c>
      <c r="L46" s="680">
        <f t="shared" si="24"/>
        <v>9979.507462686568</v>
      </c>
      <c r="M46" s="668">
        <v>11075</v>
      </c>
      <c r="N46" s="668"/>
      <c r="O46" s="556" t="s">
        <v>484</v>
      </c>
      <c r="P46" s="669">
        <v>40691</v>
      </c>
      <c r="Q46" s="670"/>
      <c r="R46" s="572">
        <f t="shared" si="27"/>
        <v>67</v>
      </c>
      <c r="S46" s="677">
        <v>8620</v>
      </c>
      <c r="T46" s="495">
        <f t="shared" si="14"/>
        <v>577540</v>
      </c>
      <c r="U46" s="537"/>
      <c r="V46" s="669"/>
      <c r="W46" s="296"/>
      <c r="X46" s="296"/>
      <c r="Y46" s="495">
        <f t="shared" si="25"/>
        <v>0</v>
      </c>
    </row>
    <row r="47" spans="1:25">
      <c r="A47" s="564">
        <f t="shared" si="26"/>
        <v>42</v>
      </c>
      <c r="B47" s="566" t="s">
        <v>819</v>
      </c>
      <c r="C47" s="673">
        <f t="shared" si="2"/>
        <v>399168</v>
      </c>
      <c r="D47" s="680">
        <f t="shared" si="28"/>
        <v>12866.214103199725</v>
      </c>
      <c r="E47" s="680">
        <f t="shared" si="28"/>
        <v>3207.5435719461502</v>
      </c>
      <c r="F47" s="680">
        <f t="shared" si="28"/>
        <v>14889.592311506047</v>
      </c>
      <c r="G47" s="680">
        <f t="shared" si="28"/>
        <v>1712.3443041836695</v>
      </c>
      <c r="H47" s="680">
        <f t="shared" si="28"/>
        <v>772.28175889554177</v>
      </c>
      <c r="I47" s="680">
        <f t="shared" si="28"/>
        <v>3258.8694176423478</v>
      </c>
      <c r="J47" s="666">
        <f t="shared" si="17"/>
        <v>435875</v>
      </c>
      <c r="K47" s="680">
        <v>27</v>
      </c>
      <c r="L47" s="680">
        <f t="shared" si="24"/>
        <v>16143.518518518518</v>
      </c>
      <c r="M47" s="668">
        <v>15277</v>
      </c>
      <c r="N47" s="668"/>
      <c r="O47" s="556" t="s">
        <v>486</v>
      </c>
      <c r="P47" s="669">
        <v>40691</v>
      </c>
      <c r="Q47" s="670"/>
      <c r="R47" s="572">
        <f>K47</f>
        <v>27</v>
      </c>
      <c r="S47" s="677">
        <v>14784</v>
      </c>
      <c r="T47" s="495">
        <f t="shared" si="14"/>
        <v>399168</v>
      </c>
      <c r="U47" s="537"/>
      <c r="V47" s="669"/>
      <c r="W47" s="296"/>
      <c r="X47" s="296"/>
      <c r="Y47" s="495">
        <f t="shared" si="25"/>
        <v>0</v>
      </c>
    </row>
    <row r="48" spans="1:25">
      <c r="A48" s="564">
        <f t="shared" si="26"/>
        <v>43</v>
      </c>
      <c r="B48" s="566" t="s">
        <v>820</v>
      </c>
      <c r="C48" s="673">
        <f t="shared" si="2"/>
        <v>97984</v>
      </c>
      <c r="D48" s="680">
        <f t="shared" si="28"/>
        <v>7624.4231722665036</v>
      </c>
      <c r="E48" s="680">
        <f t="shared" si="28"/>
        <v>1900.7665611532741</v>
      </c>
      <c r="F48" s="680">
        <f t="shared" si="28"/>
        <v>8823.4621105221013</v>
      </c>
      <c r="G48" s="680">
        <f t="shared" si="28"/>
        <v>1014.7225506273597</v>
      </c>
      <c r="H48" s="680">
        <f t="shared" si="28"/>
        <v>457.64844971587661</v>
      </c>
      <c r="I48" s="680">
        <f t="shared" si="28"/>
        <v>1931.1818771213912</v>
      </c>
      <c r="J48" s="666">
        <f t="shared" ref="J48:J79" si="29">ROUND(SUM(C48:I48),0)</f>
        <v>119736</v>
      </c>
      <c r="K48" s="680">
        <v>16</v>
      </c>
      <c r="L48" s="680">
        <f t="shared" si="24"/>
        <v>7483.5</v>
      </c>
      <c r="M48" s="668">
        <v>9352</v>
      </c>
      <c r="N48" s="668"/>
      <c r="O48" s="556" t="s">
        <v>362</v>
      </c>
      <c r="P48" s="669">
        <v>40691</v>
      </c>
      <c r="Q48" s="670"/>
      <c r="R48" s="572">
        <f>K48</f>
        <v>16</v>
      </c>
      <c r="S48" s="677">
        <v>6124</v>
      </c>
      <c r="T48" s="495">
        <f t="shared" si="14"/>
        <v>97984</v>
      </c>
      <c r="U48" s="537"/>
      <c r="V48" s="669"/>
      <c r="W48" s="296"/>
      <c r="X48" s="296"/>
      <c r="Y48" s="495">
        <f t="shared" si="25"/>
        <v>0</v>
      </c>
    </row>
    <row r="49" spans="1:25">
      <c r="A49" s="564">
        <f t="shared" si="26"/>
        <v>44</v>
      </c>
      <c r="B49" s="566" t="s">
        <v>821</v>
      </c>
      <c r="C49" s="673">
        <f t="shared" si="2"/>
        <v>1877568</v>
      </c>
      <c r="D49" s="680">
        <f t="shared" si="28"/>
        <v>60518.858929865375</v>
      </c>
      <c r="E49" s="680">
        <f t="shared" si="28"/>
        <v>15087.334579154112</v>
      </c>
      <c r="F49" s="680">
        <f t="shared" si="28"/>
        <v>70036.230502269173</v>
      </c>
      <c r="G49" s="680">
        <f t="shared" si="28"/>
        <v>8054.3602456046683</v>
      </c>
      <c r="H49" s="680">
        <f t="shared" si="28"/>
        <v>3632.5845696197707</v>
      </c>
      <c r="I49" s="680">
        <f t="shared" si="28"/>
        <v>15328.756149651043</v>
      </c>
      <c r="J49" s="666">
        <f t="shared" si="29"/>
        <v>2050226</v>
      </c>
      <c r="K49" s="680">
        <v>127</v>
      </c>
      <c r="L49" s="680">
        <f t="shared" si="24"/>
        <v>16143.511811023622</v>
      </c>
      <c r="M49" s="668">
        <v>17979</v>
      </c>
      <c r="N49" s="668"/>
      <c r="O49" s="556" t="s">
        <v>486</v>
      </c>
      <c r="P49" s="669">
        <v>40691</v>
      </c>
      <c r="Q49" s="670"/>
      <c r="R49" s="572">
        <f>K49</f>
        <v>127</v>
      </c>
      <c r="S49" s="677">
        <v>14784</v>
      </c>
      <c r="T49" s="495">
        <f t="shared" si="14"/>
        <v>1877568</v>
      </c>
      <c r="U49" s="537"/>
      <c r="V49" s="669"/>
      <c r="W49" s="296"/>
      <c r="X49" s="296"/>
      <c r="Y49" s="495">
        <f t="shared" si="25"/>
        <v>0</v>
      </c>
    </row>
    <row r="50" spans="1:25">
      <c r="A50" s="564">
        <f t="shared" si="26"/>
        <v>45</v>
      </c>
      <c r="B50" s="566" t="s">
        <v>822</v>
      </c>
      <c r="C50" s="673">
        <f t="shared" si="2"/>
        <v>22245</v>
      </c>
      <c r="D50" s="680">
        <f t="shared" si="28"/>
        <v>2382.6322413332823</v>
      </c>
      <c r="E50" s="680">
        <f t="shared" si="28"/>
        <v>593.9895503603982</v>
      </c>
      <c r="F50" s="680">
        <f t="shared" si="28"/>
        <v>2757.3319095381567</v>
      </c>
      <c r="G50" s="680">
        <f t="shared" si="28"/>
        <v>317.1007970710499</v>
      </c>
      <c r="H50" s="680">
        <f t="shared" si="28"/>
        <v>143.01514053621145</v>
      </c>
      <c r="I50" s="680">
        <f t="shared" si="28"/>
        <v>603.49433660043474</v>
      </c>
      <c r="J50" s="666">
        <f t="shared" si="29"/>
        <v>29043</v>
      </c>
      <c r="K50" s="680">
        <v>5</v>
      </c>
      <c r="L50" s="680">
        <f t="shared" si="24"/>
        <v>5808.6</v>
      </c>
      <c r="M50" s="668">
        <v>5282</v>
      </c>
      <c r="N50" s="668"/>
      <c r="O50" s="566" t="s">
        <v>364</v>
      </c>
      <c r="P50" s="669">
        <v>40691</v>
      </c>
      <c r="Q50" s="670"/>
      <c r="R50" s="572">
        <f>K50</f>
        <v>5</v>
      </c>
      <c r="S50" s="678">
        <v>4449</v>
      </c>
      <c r="T50" s="495">
        <f t="shared" ref="T50:T74" si="30">R50*S50</f>
        <v>22245</v>
      </c>
      <c r="U50" s="537"/>
      <c r="V50" s="669"/>
      <c r="W50" s="296"/>
      <c r="X50" s="296"/>
      <c r="Y50" s="495">
        <f t="shared" si="25"/>
        <v>0</v>
      </c>
    </row>
    <row r="51" spans="1:25">
      <c r="A51" s="564">
        <f t="shared" si="26"/>
        <v>46</v>
      </c>
      <c r="B51" s="566" t="s">
        <v>823</v>
      </c>
      <c r="C51" s="673">
        <f t="shared" si="2"/>
        <v>25860</v>
      </c>
      <c r="D51" s="680">
        <f t="shared" si="28"/>
        <v>1429.5793447999695</v>
      </c>
      <c r="E51" s="680">
        <f t="shared" si="28"/>
        <v>356.39373021623891</v>
      </c>
      <c r="F51" s="680">
        <f t="shared" si="28"/>
        <v>1654.399145722894</v>
      </c>
      <c r="G51" s="680">
        <f t="shared" si="28"/>
        <v>190.26047824262994</v>
      </c>
      <c r="H51" s="680">
        <f t="shared" si="28"/>
        <v>85.809084321726857</v>
      </c>
      <c r="I51" s="680">
        <f t="shared" si="28"/>
        <v>362.09660196026084</v>
      </c>
      <c r="J51" s="666">
        <f t="shared" si="29"/>
        <v>29939</v>
      </c>
      <c r="K51" s="680">
        <v>3</v>
      </c>
      <c r="L51" s="680">
        <f t="shared" si="24"/>
        <v>9979.6666666666661</v>
      </c>
      <c r="M51" s="668">
        <v>11444</v>
      </c>
      <c r="N51" s="668"/>
      <c r="O51" s="556" t="s">
        <v>484</v>
      </c>
      <c r="P51" s="669">
        <v>40691</v>
      </c>
      <c r="Q51" s="670"/>
      <c r="R51" s="572">
        <f t="shared" ref="R51:R57" si="31">K51</f>
        <v>3</v>
      </c>
      <c r="S51" s="677">
        <v>8620</v>
      </c>
      <c r="T51" s="495">
        <f t="shared" si="30"/>
        <v>25860</v>
      </c>
      <c r="U51" s="537"/>
      <c r="V51" s="669"/>
      <c r="W51" s="296"/>
      <c r="X51" s="296"/>
      <c r="Y51" s="495">
        <f t="shared" si="25"/>
        <v>0</v>
      </c>
    </row>
    <row r="52" spans="1:25">
      <c r="A52" s="564">
        <f t="shared" si="26"/>
        <v>47</v>
      </c>
      <c r="B52" s="566" t="s">
        <v>824</v>
      </c>
      <c r="C52" s="673">
        <f t="shared" si="2"/>
        <v>193500</v>
      </c>
      <c r="D52" s="680">
        <f t="shared" si="28"/>
        <v>5718.3173791998779</v>
      </c>
      <c r="E52" s="680">
        <f t="shared" si="28"/>
        <v>1425.5749208649556</v>
      </c>
      <c r="F52" s="680">
        <f t="shared" si="28"/>
        <v>6617.596582891576</v>
      </c>
      <c r="G52" s="680">
        <f t="shared" si="28"/>
        <v>761.04191297051977</v>
      </c>
      <c r="H52" s="680">
        <f t="shared" si="28"/>
        <v>343.23633728690743</v>
      </c>
      <c r="I52" s="680">
        <f t="shared" si="28"/>
        <v>1448.3864078410434</v>
      </c>
      <c r="J52" s="666">
        <f t="shared" si="29"/>
        <v>209814</v>
      </c>
      <c r="K52" s="680">
        <v>12</v>
      </c>
      <c r="L52" s="680">
        <f t="shared" si="24"/>
        <v>17484.5</v>
      </c>
      <c r="M52" s="668">
        <v>19788</v>
      </c>
      <c r="N52" s="668"/>
      <c r="O52" s="566" t="s">
        <v>457</v>
      </c>
      <c r="P52" s="669">
        <v>40691</v>
      </c>
      <c r="Q52" s="670"/>
      <c r="R52" s="676">
        <f t="shared" si="31"/>
        <v>12</v>
      </c>
      <c r="S52" s="677">
        <v>16125</v>
      </c>
      <c r="T52" s="495">
        <f t="shared" si="30"/>
        <v>193500</v>
      </c>
      <c r="U52" s="537"/>
      <c r="V52" s="669"/>
      <c r="W52" s="296"/>
      <c r="X52" s="296"/>
      <c r="Y52" s="495">
        <f t="shared" si="25"/>
        <v>0</v>
      </c>
    </row>
    <row r="53" spans="1:25">
      <c r="A53" s="564">
        <f t="shared" si="26"/>
        <v>48</v>
      </c>
      <c r="B53" s="566" t="s">
        <v>825</v>
      </c>
      <c r="C53" s="673">
        <f t="shared" si="2"/>
        <v>57600</v>
      </c>
      <c r="D53" s="680">
        <f t="shared" si="28"/>
        <v>4288.7380343999084</v>
      </c>
      <c r="E53" s="680">
        <f t="shared" si="28"/>
        <v>1069.1811906487167</v>
      </c>
      <c r="F53" s="680">
        <f t="shared" si="28"/>
        <v>4963.197437168682</v>
      </c>
      <c r="G53" s="680">
        <f t="shared" si="28"/>
        <v>570.78143472788986</v>
      </c>
      <c r="H53" s="680">
        <f t="shared" si="28"/>
        <v>257.42725296518057</v>
      </c>
      <c r="I53" s="680">
        <f t="shared" si="28"/>
        <v>1086.2898058807825</v>
      </c>
      <c r="J53" s="666">
        <f t="shared" si="29"/>
        <v>69836</v>
      </c>
      <c r="K53" s="680">
        <v>9</v>
      </c>
      <c r="L53" s="680">
        <f t="shared" si="24"/>
        <v>7759.5555555555557</v>
      </c>
      <c r="M53" s="668">
        <v>8450</v>
      </c>
      <c r="N53" s="668"/>
      <c r="O53" s="556" t="s">
        <v>497</v>
      </c>
      <c r="P53" s="669">
        <v>40691</v>
      </c>
      <c r="Q53" s="670"/>
      <c r="R53" s="572">
        <f t="shared" si="31"/>
        <v>9</v>
      </c>
      <c r="S53" s="678">
        <v>6400</v>
      </c>
      <c r="T53" s="495">
        <f t="shared" si="30"/>
        <v>57600</v>
      </c>
      <c r="U53" s="537"/>
      <c r="V53" s="669"/>
      <c r="W53" s="296"/>
      <c r="X53" s="296"/>
      <c r="Y53" s="495">
        <f t="shared" si="25"/>
        <v>0</v>
      </c>
    </row>
    <row r="54" spans="1:25">
      <c r="A54" s="564">
        <f t="shared" si="26"/>
        <v>49</v>
      </c>
      <c r="B54" s="566" t="s">
        <v>826</v>
      </c>
      <c r="C54" s="673">
        <f t="shared" si="2"/>
        <v>68960</v>
      </c>
      <c r="D54" s="680">
        <f t="shared" si="28"/>
        <v>3812.2115861332518</v>
      </c>
      <c r="E54" s="680">
        <f t="shared" si="28"/>
        <v>950.38328057663705</v>
      </c>
      <c r="F54" s="680">
        <f t="shared" si="28"/>
        <v>4411.7310552610506</v>
      </c>
      <c r="G54" s="680">
        <f t="shared" si="28"/>
        <v>507.36127531367987</v>
      </c>
      <c r="H54" s="680">
        <f t="shared" si="28"/>
        <v>228.8242248579383</v>
      </c>
      <c r="I54" s="680">
        <f t="shared" si="28"/>
        <v>965.59093856069558</v>
      </c>
      <c r="J54" s="666">
        <f t="shared" si="29"/>
        <v>79836</v>
      </c>
      <c r="K54" s="680">
        <v>8</v>
      </c>
      <c r="L54" s="680">
        <f t="shared" si="24"/>
        <v>9979.5</v>
      </c>
      <c r="M54" s="668">
        <v>10110</v>
      </c>
      <c r="N54" s="668"/>
      <c r="O54" s="556" t="s">
        <v>484</v>
      </c>
      <c r="P54" s="669">
        <v>40691</v>
      </c>
      <c r="Q54" s="670"/>
      <c r="R54" s="572">
        <f t="shared" si="31"/>
        <v>8</v>
      </c>
      <c r="S54" s="677">
        <v>8620</v>
      </c>
      <c r="T54" s="495">
        <f t="shared" si="30"/>
        <v>68960</v>
      </c>
      <c r="U54" s="537"/>
      <c r="V54" s="669"/>
      <c r="W54" s="296"/>
      <c r="X54" s="296"/>
      <c r="Y54" s="495">
        <f t="shared" si="25"/>
        <v>0</v>
      </c>
    </row>
    <row r="55" spans="1:25">
      <c r="A55" s="564">
        <f t="shared" si="26"/>
        <v>50</v>
      </c>
      <c r="B55" s="566" t="s">
        <v>827</v>
      </c>
      <c r="C55" s="673">
        <f t="shared" si="2"/>
        <v>60340</v>
      </c>
      <c r="D55" s="680">
        <f t="shared" si="28"/>
        <v>3335.6851378665951</v>
      </c>
      <c r="E55" s="680">
        <f t="shared" si="28"/>
        <v>831.58537050455743</v>
      </c>
      <c r="F55" s="680">
        <f t="shared" si="28"/>
        <v>3860.2646733534193</v>
      </c>
      <c r="G55" s="680">
        <f t="shared" si="28"/>
        <v>443.94111589946988</v>
      </c>
      <c r="H55" s="680">
        <f t="shared" si="28"/>
        <v>200.22119675069601</v>
      </c>
      <c r="I55" s="680">
        <f t="shared" si="28"/>
        <v>844.89207124060863</v>
      </c>
      <c r="J55" s="666">
        <f t="shared" si="29"/>
        <v>69857</v>
      </c>
      <c r="K55" s="680">
        <v>7</v>
      </c>
      <c r="L55" s="680">
        <f t="shared" si="24"/>
        <v>9979.5714285714294</v>
      </c>
      <c r="M55" s="668">
        <v>10345</v>
      </c>
      <c r="N55" s="668"/>
      <c r="O55" s="556" t="s">
        <v>484</v>
      </c>
      <c r="P55" s="669">
        <v>40691</v>
      </c>
      <c r="Q55" s="670"/>
      <c r="R55" s="572">
        <f t="shared" si="31"/>
        <v>7</v>
      </c>
      <c r="S55" s="677">
        <v>8620</v>
      </c>
      <c r="T55" s="495">
        <f t="shared" si="30"/>
        <v>60340</v>
      </c>
      <c r="U55" s="537"/>
      <c r="V55" s="669"/>
      <c r="W55" s="296"/>
      <c r="X55" s="296"/>
      <c r="Y55" s="495">
        <f t="shared" si="25"/>
        <v>0</v>
      </c>
    </row>
    <row r="56" spans="1:25">
      <c r="A56" s="564">
        <f t="shared" si="26"/>
        <v>51</v>
      </c>
      <c r="B56" s="566" t="s">
        <v>828</v>
      </c>
      <c r="C56" s="673">
        <f t="shared" si="2"/>
        <v>150631</v>
      </c>
      <c r="D56" s="680">
        <f t="shared" ref="D56:I65" si="32">IF($K$170&lt;&gt;0,D$170/$K$170*$K56,0)</f>
        <v>6194.8438274665341</v>
      </c>
      <c r="E56" s="680">
        <f t="shared" si="32"/>
        <v>1544.3728309370351</v>
      </c>
      <c r="F56" s="680">
        <f t="shared" si="32"/>
        <v>7169.0629647992073</v>
      </c>
      <c r="G56" s="680">
        <f t="shared" si="32"/>
        <v>824.46207238472982</v>
      </c>
      <c r="H56" s="680">
        <f t="shared" si="32"/>
        <v>371.83936539414975</v>
      </c>
      <c r="I56" s="680">
        <f t="shared" si="32"/>
        <v>1569.0852751611303</v>
      </c>
      <c r="J56" s="666">
        <f t="shared" si="29"/>
        <v>168305</v>
      </c>
      <c r="K56" s="680">
        <v>13</v>
      </c>
      <c r="L56" s="680">
        <f t="shared" si="24"/>
        <v>12946.538461538461</v>
      </c>
      <c r="M56" s="668">
        <v>12672</v>
      </c>
      <c r="N56" s="668"/>
      <c r="O56" s="556" t="s">
        <v>474</v>
      </c>
      <c r="P56" s="669">
        <v>40691</v>
      </c>
      <c r="Q56" s="670"/>
      <c r="R56" s="572">
        <f t="shared" si="31"/>
        <v>13</v>
      </c>
      <c r="S56" s="496">
        <v>11587</v>
      </c>
      <c r="T56" s="495">
        <f t="shared" si="30"/>
        <v>150631</v>
      </c>
      <c r="U56" s="537"/>
      <c r="V56" s="669"/>
      <c r="W56" s="296"/>
      <c r="X56" s="296"/>
      <c r="Y56" s="495">
        <f t="shared" si="25"/>
        <v>0</v>
      </c>
    </row>
    <row r="57" spans="1:25">
      <c r="A57" s="564">
        <f t="shared" si="26"/>
        <v>52</v>
      </c>
      <c r="B57" s="566" t="s">
        <v>830</v>
      </c>
      <c r="C57" s="673">
        <f t="shared" si="2"/>
        <v>57935</v>
      </c>
      <c r="D57" s="680">
        <f t="shared" si="32"/>
        <v>2382.6322413332823</v>
      </c>
      <c r="E57" s="680">
        <f t="shared" si="32"/>
        <v>593.9895503603982</v>
      </c>
      <c r="F57" s="680">
        <f t="shared" si="32"/>
        <v>2757.3319095381567</v>
      </c>
      <c r="G57" s="680">
        <f t="shared" si="32"/>
        <v>317.1007970710499</v>
      </c>
      <c r="H57" s="680">
        <f t="shared" si="32"/>
        <v>143.01514053621145</v>
      </c>
      <c r="I57" s="680">
        <f t="shared" si="32"/>
        <v>603.49433660043474</v>
      </c>
      <c r="J57" s="666">
        <f t="shared" si="29"/>
        <v>64733</v>
      </c>
      <c r="K57" s="680">
        <v>5</v>
      </c>
      <c r="L57" s="680">
        <f t="shared" si="24"/>
        <v>12946.6</v>
      </c>
      <c r="M57" s="668">
        <v>12304</v>
      </c>
      <c r="N57" s="668"/>
      <c r="O57" s="556" t="s">
        <v>474</v>
      </c>
      <c r="P57" s="669">
        <v>40691</v>
      </c>
      <c r="Q57" s="670"/>
      <c r="R57" s="572">
        <f t="shared" si="31"/>
        <v>5</v>
      </c>
      <c r="S57" s="496">
        <v>11587</v>
      </c>
      <c r="T57" s="495">
        <f t="shared" si="30"/>
        <v>57935</v>
      </c>
      <c r="U57" s="537"/>
      <c r="V57" s="669"/>
      <c r="W57" s="296"/>
      <c r="X57" s="296"/>
      <c r="Y57" s="495">
        <f t="shared" si="25"/>
        <v>0</v>
      </c>
    </row>
    <row r="58" spans="1:25">
      <c r="A58" s="564">
        <f t="shared" si="26"/>
        <v>53</v>
      </c>
      <c r="B58" s="566" t="s">
        <v>831</v>
      </c>
      <c r="C58" s="673">
        <f t="shared" si="2"/>
        <v>362164</v>
      </c>
      <c r="D58" s="680">
        <f t="shared" si="32"/>
        <v>10483.581861866442</v>
      </c>
      <c r="E58" s="680">
        <f t="shared" si="32"/>
        <v>2613.5540215857518</v>
      </c>
      <c r="F58" s="680">
        <f t="shared" si="32"/>
        <v>12132.260401967889</v>
      </c>
      <c r="G58" s="680">
        <f t="shared" si="32"/>
        <v>1395.2435071126197</v>
      </c>
      <c r="H58" s="680">
        <f t="shared" si="32"/>
        <v>629.26661835933032</v>
      </c>
      <c r="I58" s="680">
        <f t="shared" si="32"/>
        <v>2655.3750810419128</v>
      </c>
      <c r="J58" s="666">
        <f t="shared" si="29"/>
        <v>392073</v>
      </c>
      <c r="K58" s="680">
        <v>22</v>
      </c>
      <c r="L58" s="680">
        <f t="shared" si="24"/>
        <v>17821.5</v>
      </c>
      <c r="M58" s="668">
        <v>18862</v>
      </c>
      <c r="N58" s="668"/>
      <c r="O58" s="556" t="s">
        <v>473</v>
      </c>
      <c r="P58" s="669">
        <v>40691</v>
      </c>
      <c r="Q58" s="670"/>
      <c r="R58" s="572">
        <v>22</v>
      </c>
      <c r="S58" s="496">
        <v>16462</v>
      </c>
      <c r="T58" s="495">
        <f t="shared" si="30"/>
        <v>362164</v>
      </c>
      <c r="U58" s="537"/>
      <c r="V58" s="669"/>
      <c r="W58" s="296"/>
      <c r="X58" s="296"/>
      <c r="Y58" s="495">
        <f t="shared" si="25"/>
        <v>0</v>
      </c>
    </row>
    <row r="59" spans="1:25">
      <c r="A59" s="564">
        <f t="shared" si="26"/>
        <v>54</v>
      </c>
      <c r="B59" s="566" t="s">
        <v>832</v>
      </c>
      <c r="C59" s="673">
        <f t="shared" si="2"/>
        <v>1500380</v>
      </c>
      <c r="D59" s="680">
        <f t="shared" si="32"/>
        <v>116748.97982533084</v>
      </c>
      <c r="E59" s="680">
        <f t="shared" si="32"/>
        <v>29105.487967659508</v>
      </c>
      <c r="F59" s="680">
        <f t="shared" si="32"/>
        <v>135109.26356736966</v>
      </c>
      <c r="G59" s="680">
        <f t="shared" si="32"/>
        <v>15537.939056481446</v>
      </c>
      <c r="H59" s="680">
        <f t="shared" si="32"/>
        <v>7007.7418862743607</v>
      </c>
      <c r="I59" s="680">
        <f t="shared" si="32"/>
        <v>29571.222493421301</v>
      </c>
      <c r="J59" s="666">
        <f t="shared" si="29"/>
        <v>1833461</v>
      </c>
      <c r="K59" s="680">
        <v>245</v>
      </c>
      <c r="L59" s="680">
        <f t="shared" si="24"/>
        <v>7483.5142857142855</v>
      </c>
      <c r="M59" s="668">
        <v>9989</v>
      </c>
      <c r="N59" s="668"/>
      <c r="O59" s="556" t="s">
        <v>362</v>
      </c>
      <c r="P59" s="669">
        <v>40691</v>
      </c>
      <c r="Q59" s="670"/>
      <c r="R59" s="572">
        <f>K59</f>
        <v>245</v>
      </c>
      <c r="S59" s="677">
        <v>6124</v>
      </c>
      <c r="T59" s="495">
        <f t="shared" si="30"/>
        <v>1500380</v>
      </c>
      <c r="U59" s="537"/>
      <c r="V59" s="669"/>
      <c r="W59" s="296"/>
      <c r="X59" s="296"/>
      <c r="Y59" s="495">
        <f t="shared" si="25"/>
        <v>0</v>
      </c>
    </row>
    <row r="60" spans="1:25">
      <c r="A60" s="564">
        <f t="shared" si="26"/>
        <v>55</v>
      </c>
      <c r="B60" s="566" t="s">
        <v>833</v>
      </c>
      <c r="C60" s="673">
        <f t="shared" si="2"/>
        <v>9720774</v>
      </c>
      <c r="D60" s="680">
        <f t="shared" si="32"/>
        <v>204429.84630639563</v>
      </c>
      <c r="E60" s="680">
        <f t="shared" si="32"/>
        <v>50964.303420922159</v>
      </c>
      <c r="F60" s="680">
        <f t="shared" si="32"/>
        <v>236579.07783837384</v>
      </c>
      <c r="G60" s="680">
        <f t="shared" si="32"/>
        <v>27207.248388696084</v>
      </c>
      <c r="H60" s="680">
        <f t="shared" si="32"/>
        <v>12270.699058006941</v>
      </c>
      <c r="I60" s="680">
        <f t="shared" si="32"/>
        <v>51779.814080317301</v>
      </c>
      <c r="J60" s="666">
        <f t="shared" si="29"/>
        <v>10304005</v>
      </c>
      <c r="K60" s="680">
        <v>429</v>
      </c>
      <c r="L60" s="680">
        <f t="shared" si="24"/>
        <v>24018.659673659673</v>
      </c>
      <c r="M60" s="668">
        <v>25535</v>
      </c>
      <c r="N60" s="668"/>
      <c r="O60" s="556" t="s">
        <v>468</v>
      </c>
      <c r="P60" s="669">
        <v>40691</v>
      </c>
      <c r="Q60" s="670"/>
      <c r="R60" s="572">
        <v>431</v>
      </c>
      <c r="S60" s="678">
        <v>22554</v>
      </c>
      <c r="T60" s="495">
        <f t="shared" si="30"/>
        <v>9720774</v>
      </c>
      <c r="U60" s="537"/>
      <c r="V60" s="669"/>
      <c r="W60" s="296"/>
      <c r="X60" s="296"/>
      <c r="Y60" s="495">
        <f t="shared" si="25"/>
        <v>0</v>
      </c>
    </row>
    <row r="61" spans="1:25">
      <c r="A61" s="564">
        <f t="shared" si="26"/>
        <v>56</v>
      </c>
      <c r="B61" s="566" t="s">
        <v>821</v>
      </c>
      <c r="C61" s="673">
        <f t="shared" si="2"/>
        <v>325248</v>
      </c>
      <c r="D61" s="680">
        <f t="shared" si="32"/>
        <v>10483.581861866442</v>
      </c>
      <c r="E61" s="680">
        <f t="shared" si="32"/>
        <v>2613.5540215857518</v>
      </c>
      <c r="F61" s="680">
        <f t="shared" si="32"/>
        <v>12132.260401967889</v>
      </c>
      <c r="G61" s="680">
        <f t="shared" si="32"/>
        <v>1395.2435071126197</v>
      </c>
      <c r="H61" s="680">
        <f t="shared" si="32"/>
        <v>629.26661835933032</v>
      </c>
      <c r="I61" s="680">
        <f t="shared" si="32"/>
        <v>2655.3750810419128</v>
      </c>
      <c r="J61" s="666">
        <f t="shared" si="29"/>
        <v>355157</v>
      </c>
      <c r="K61" s="680">
        <v>22</v>
      </c>
      <c r="L61" s="680">
        <f t="shared" si="24"/>
        <v>16143.5</v>
      </c>
      <c r="M61" s="668">
        <v>17979</v>
      </c>
      <c r="N61" s="668"/>
      <c r="O61" s="556" t="s">
        <v>486</v>
      </c>
      <c r="P61" s="669">
        <v>40691</v>
      </c>
      <c r="Q61" s="670"/>
      <c r="R61" s="572">
        <f t="shared" ref="R61:R65" si="33">K61</f>
        <v>22</v>
      </c>
      <c r="S61" s="677">
        <v>14784</v>
      </c>
      <c r="T61" s="495">
        <f t="shared" si="30"/>
        <v>325248</v>
      </c>
      <c r="U61" s="537"/>
      <c r="V61" s="669"/>
      <c r="W61" s="296"/>
      <c r="X61" s="296"/>
      <c r="Y61" s="495">
        <f t="shared" si="25"/>
        <v>0</v>
      </c>
    </row>
    <row r="62" spans="1:25">
      <c r="A62" s="564">
        <f t="shared" si="26"/>
        <v>57</v>
      </c>
      <c r="B62" s="566" t="s">
        <v>834</v>
      </c>
      <c r="C62" s="673">
        <f t="shared" si="2"/>
        <v>59136</v>
      </c>
      <c r="D62" s="680">
        <f t="shared" si="32"/>
        <v>1906.1057930666259</v>
      </c>
      <c r="E62" s="680">
        <f t="shared" si="32"/>
        <v>475.19164028831852</v>
      </c>
      <c r="F62" s="680">
        <f t="shared" si="32"/>
        <v>2205.8655276305253</v>
      </c>
      <c r="G62" s="680">
        <f t="shared" si="32"/>
        <v>253.68063765683993</v>
      </c>
      <c r="H62" s="680">
        <f t="shared" si="32"/>
        <v>114.41211242896915</v>
      </c>
      <c r="I62" s="680">
        <f t="shared" si="32"/>
        <v>482.79546928034779</v>
      </c>
      <c r="J62" s="666">
        <f t="shared" si="29"/>
        <v>64574</v>
      </c>
      <c r="K62" s="680">
        <v>4</v>
      </c>
      <c r="L62" s="680">
        <f t="shared" si="24"/>
        <v>16143.5</v>
      </c>
      <c r="M62" s="668">
        <v>16852</v>
      </c>
      <c r="N62" s="668"/>
      <c r="O62" s="556" t="s">
        <v>486</v>
      </c>
      <c r="P62" s="669">
        <v>40691</v>
      </c>
      <c r="Q62" s="670"/>
      <c r="R62" s="572">
        <f t="shared" si="33"/>
        <v>4</v>
      </c>
      <c r="S62" s="677">
        <v>14784</v>
      </c>
      <c r="T62" s="495">
        <f t="shared" si="30"/>
        <v>59136</v>
      </c>
      <c r="U62" s="537"/>
      <c r="V62" s="669"/>
      <c r="W62" s="296"/>
      <c r="X62" s="296"/>
      <c r="Y62" s="495">
        <f t="shared" si="25"/>
        <v>0</v>
      </c>
    </row>
    <row r="63" spans="1:25">
      <c r="A63" s="564">
        <f t="shared" si="26"/>
        <v>58</v>
      </c>
      <c r="B63" s="566" t="s">
        <v>835</v>
      </c>
      <c r="C63" s="673">
        <f t="shared" si="2"/>
        <v>26996</v>
      </c>
      <c r="D63" s="680">
        <f t="shared" si="32"/>
        <v>953.05289653331295</v>
      </c>
      <c r="E63" s="680">
        <f t="shared" si="32"/>
        <v>237.59582014415926</v>
      </c>
      <c r="F63" s="680">
        <f t="shared" si="32"/>
        <v>1102.9327638152627</v>
      </c>
      <c r="G63" s="680">
        <f t="shared" si="32"/>
        <v>126.84031882841997</v>
      </c>
      <c r="H63" s="680">
        <f t="shared" si="32"/>
        <v>57.206056214484576</v>
      </c>
      <c r="I63" s="680">
        <f t="shared" si="32"/>
        <v>241.39773464017389</v>
      </c>
      <c r="J63" s="666">
        <f t="shared" si="29"/>
        <v>29715</v>
      </c>
      <c r="K63" s="680">
        <v>2</v>
      </c>
      <c r="L63" s="680">
        <f t="shared" si="24"/>
        <v>14857.5</v>
      </c>
      <c r="M63" s="668">
        <v>16052</v>
      </c>
      <c r="N63" s="668"/>
      <c r="O63" s="556" t="s">
        <v>478</v>
      </c>
      <c r="P63" s="669">
        <v>40691</v>
      </c>
      <c r="Q63" s="670"/>
      <c r="R63" s="572">
        <f t="shared" si="33"/>
        <v>2</v>
      </c>
      <c r="S63" s="678">
        <v>13498</v>
      </c>
      <c r="T63" s="495">
        <f t="shared" si="30"/>
        <v>26996</v>
      </c>
      <c r="U63" s="537"/>
      <c r="V63" s="669"/>
      <c r="W63" s="296"/>
      <c r="X63" s="296"/>
      <c r="Y63" s="495">
        <f t="shared" si="25"/>
        <v>0</v>
      </c>
    </row>
    <row r="64" spans="1:25">
      <c r="A64" s="564">
        <f t="shared" si="26"/>
        <v>59</v>
      </c>
      <c r="B64" s="566" t="s">
        <v>815</v>
      </c>
      <c r="C64" s="673">
        <f t="shared" si="2"/>
        <v>40494</v>
      </c>
      <c r="D64" s="680">
        <f t="shared" si="32"/>
        <v>1429.5793447999695</v>
      </c>
      <c r="E64" s="680">
        <f t="shared" si="32"/>
        <v>356.39373021623891</v>
      </c>
      <c r="F64" s="680">
        <f t="shared" si="32"/>
        <v>1654.399145722894</v>
      </c>
      <c r="G64" s="680">
        <f t="shared" si="32"/>
        <v>190.26047824262994</v>
      </c>
      <c r="H64" s="680">
        <f t="shared" si="32"/>
        <v>85.809084321726857</v>
      </c>
      <c r="I64" s="680">
        <f t="shared" si="32"/>
        <v>362.09660196026084</v>
      </c>
      <c r="J64" s="666">
        <f t="shared" si="29"/>
        <v>44573</v>
      </c>
      <c r="K64" s="680">
        <v>3</v>
      </c>
      <c r="L64" s="680">
        <f t="shared" si="24"/>
        <v>14857.666666666666</v>
      </c>
      <c r="M64" s="668">
        <v>15770</v>
      </c>
      <c r="N64" s="668"/>
      <c r="O64" s="556" t="s">
        <v>478</v>
      </c>
      <c r="P64" s="669">
        <v>40691</v>
      </c>
      <c r="Q64" s="670"/>
      <c r="R64" s="572">
        <f t="shared" si="33"/>
        <v>3</v>
      </c>
      <c r="S64" s="678">
        <v>13498</v>
      </c>
      <c r="T64" s="495">
        <f t="shared" si="30"/>
        <v>40494</v>
      </c>
      <c r="U64" s="537"/>
      <c r="V64" s="669"/>
      <c r="W64" s="296"/>
      <c r="X64" s="296"/>
      <c r="Y64" s="495">
        <f t="shared" si="25"/>
        <v>0</v>
      </c>
    </row>
    <row r="65" spans="1:25">
      <c r="A65" s="564">
        <f t="shared" si="26"/>
        <v>60</v>
      </c>
      <c r="B65" s="566" t="s">
        <v>819</v>
      </c>
      <c r="C65" s="673">
        <f t="shared" si="2"/>
        <v>13498</v>
      </c>
      <c r="D65" s="680">
        <f t="shared" si="32"/>
        <v>476.52644826665647</v>
      </c>
      <c r="E65" s="680">
        <f t="shared" si="32"/>
        <v>118.79791007207963</v>
      </c>
      <c r="F65" s="680">
        <f t="shared" si="32"/>
        <v>551.46638190763133</v>
      </c>
      <c r="G65" s="680">
        <f t="shared" si="32"/>
        <v>63.420159414209984</v>
      </c>
      <c r="H65" s="680">
        <f t="shared" si="32"/>
        <v>28.603028107242288</v>
      </c>
      <c r="I65" s="680">
        <f t="shared" si="32"/>
        <v>120.69886732008695</v>
      </c>
      <c r="J65" s="666">
        <f t="shared" si="29"/>
        <v>14858</v>
      </c>
      <c r="K65" s="680">
        <v>1</v>
      </c>
      <c r="L65" s="680">
        <f t="shared" si="24"/>
        <v>14858</v>
      </c>
      <c r="M65" s="668">
        <v>15277</v>
      </c>
      <c r="N65" s="668"/>
      <c r="O65" s="556" t="s">
        <v>478</v>
      </c>
      <c r="P65" s="669">
        <v>40691</v>
      </c>
      <c r="Q65" s="670"/>
      <c r="R65" s="572">
        <f t="shared" si="33"/>
        <v>1</v>
      </c>
      <c r="S65" s="678">
        <v>13498</v>
      </c>
      <c r="T65" s="495">
        <f t="shared" si="30"/>
        <v>13498</v>
      </c>
      <c r="U65" s="537"/>
      <c r="V65" s="669"/>
      <c r="W65" s="296"/>
      <c r="X65" s="296"/>
      <c r="Y65" s="495">
        <f t="shared" si="25"/>
        <v>0</v>
      </c>
    </row>
    <row r="66" spans="1:25">
      <c r="A66" s="564">
        <f t="shared" si="26"/>
        <v>61</v>
      </c>
      <c r="B66" s="566" t="s">
        <v>816</v>
      </c>
      <c r="C66" s="673">
        <f t="shared" si="2"/>
        <v>40065</v>
      </c>
      <c r="D66" s="680">
        <f t="shared" ref="D66:I75" si="34">IF($K$170&lt;&gt;0,D$170/$K$170*$K66,0)</f>
        <v>2382.6322413332823</v>
      </c>
      <c r="E66" s="680">
        <f t="shared" si="34"/>
        <v>593.9895503603982</v>
      </c>
      <c r="F66" s="680">
        <f t="shared" si="34"/>
        <v>2757.3319095381567</v>
      </c>
      <c r="G66" s="680">
        <f t="shared" si="34"/>
        <v>317.1007970710499</v>
      </c>
      <c r="H66" s="680">
        <f t="shared" si="34"/>
        <v>143.01514053621145</v>
      </c>
      <c r="I66" s="680">
        <f t="shared" si="34"/>
        <v>603.49433660043474</v>
      </c>
      <c r="J66" s="666">
        <f t="shared" si="29"/>
        <v>46863</v>
      </c>
      <c r="K66" s="680">
        <v>5</v>
      </c>
      <c r="L66" s="680">
        <f t="shared" si="24"/>
        <v>9372.6</v>
      </c>
      <c r="M66" s="668">
        <v>11002</v>
      </c>
      <c r="N66" s="668"/>
      <c r="O66" s="556" t="s">
        <v>494</v>
      </c>
      <c r="P66" s="669">
        <v>40691</v>
      </c>
      <c r="Q66" s="670"/>
      <c r="R66" s="572">
        <f>K66</f>
        <v>5</v>
      </c>
      <c r="S66" s="677">
        <v>8013</v>
      </c>
      <c r="T66" s="495">
        <f t="shared" si="30"/>
        <v>40065</v>
      </c>
      <c r="U66" s="537"/>
      <c r="V66" s="669"/>
      <c r="W66" s="296"/>
      <c r="X66" s="296"/>
      <c r="Y66" s="495">
        <f t="shared" si="25"/>
        <v>0</v>
      </c>
    </row>
    <row r="67" spans="1:25">
      <c r="A67" s="564">
        <f t="shared" si="26"/>
        <v>62</v>
      </c>
      <c r="B67" s="566" t="s">
        <v>839</v>
      </c>
      <c r="C67" s="673">
        <f t="shared" si="2"/>
        <v>5275116</v>
      </c>
      <c r="D67" s="680">
        <f t="shared" si="34"/>
        <v>163925.09820372984</v>
      </c>
      <c r="E67" s="680">
        <f t="shared" si="34"/>
        <v>40866.481064795393</v>
      </c>
      <c r="F67" s="680">
        <f t="shared" si="34"/>
        <v>189704.43537622518</v>
      </c>
      <c r="G67" s="680">
        <f t="shared" si="34"/>
        <v>21816.534838488235</v>
      </c>
      <c r="H67" s="680">
        <f t="shared" si="34"/>
        <v>9839.4416688913479</v>
      </c>
      <c r="I67" s="680">
        <f t="shared" si="34"/>
        <v>41520.410358109912</v>
      </c>
      <c r="J67" s="666">
        <f t="shared" si="29"/>
        <v>5742788</v>
      </c>
      <c r="K67" s="680">
        <v>344</v>
      </c>
      <c r="L67" s="680">
        <f t="shared" si="24"/>
        <v>16694.151162790698</v>
      </c>
      <c r="M67" s="668">
        <v>19248</v>
      </c>
      <c r="N67" s="668"/>
      <c r="O67" s="556" t="s">
        <v>491</v>
      </c>
      <c r="P67" s="669">
        <v>40691</v>
      </c>
      <c r="Q67" s="670"/>
      <c r="R67" s="676">
        <v>346</v>
      </c>
      <c r="S67" s="677">
        <v>15246</v>
      </c>
      <c r="T67" s="495">
        <f t="shared" si="30"/>
        <v>5275116</v>
      </c>
      <c r="U67" s="537"/>
      <c r="V67" s="669"/>
      <c r="W67" s="296"/>
      <c r="X67" s="296"/>
      <c r="Y67" s="495">
        <f t="shared" si="25"/>
        <v>0</v>
      </c>
    </row>
    <row r="68" spans="1:25">
      <c r="A68" s="564">
        <f t="shared" si="26"/>
        <v>63</v>
      </c>
      <c r="B68" s="566" t="s">
        <v>837</v>
      </c>
      <c r="C68" s="673">
        <f t="shared" si="2"/>
        <v>1063311</v>
      </c>
      <c r="D68" s="680">
        <f t="shared" si="34"/>
        <v>113889.82113573089</v>
      </c>
      <c r="E68" s="680">
        <f t="shared" si="34"/>
        <v>28392.700507227033</v>
      </c>
      <c r="F68" s="680">
        <f t="shared" si="34"/>
        <v>131800.4652759239</v>
      </c>
      <c r="G68" s="680">
        <f t="shared" si="34"/>
        <v>15157.418099996186</v>
      </c>
      <c r="H68" s="680">
        <f t="shared" si="34"/>
        <v>6836.1237176309069</v>
      </c>
      <c r="I68" s="680">
        <f t="shared" si="34"/>
        <v>28847.029289500781</v>
      </c>
      <c r="J68" s="666">
        <f t="shared" si="29"/>
        <v>1388235</v>
      </c>
      <c r="K68" s="680">
        <v>239</v>
      </c>
      <c r="L68" s="680">
        <f t="shared" si="24"/>
        <v>5808.5146443514641</v>
      </c>
      <c r="M68" s="668">
        <v>6577</v>
      </c>
      <c r="N68" s="668"/>
      <c r="O68" s="566" t="s">
        <v>364</v>
      </c>
      <c r="P68" s="669">
        <v>40691</v>
      </c>
      <c r="Q68" s="670"/>
      <c r="R68" s="572">
        <f>K68</f>
        <v>239</v>
      </c>
      <c r="S68" s="678">
        <v>4449</v>
      </c>
      <c r="T68" s="495">
        <f t="shared" si="30"/>
        <v>1063311</v>
      </c>
      <c r="U68" s="537"/>
      <c r="V68" s="669"/>
      <c r="W68" s="296"/>
      <c r="X68" s="296"/>
      <c r="Y68" s="495">
        <f t="shared" si="25"/>
        <v>0</v>
      </c>
    </row>
    <row r="69" spans="1:25">
      <c r="A69" s="564">
        <f t="shared" si="26"/>
        <v>64</v>
      </c>
      <c r="B69" s="566" t="s">
        <v>838</v>
      </c>
      <c r="C69" s="673">
        <f t="shared" si="2"/>
        <v>226899</v>
      </c>
      <c r="D69" s="680">
        <f t="shared" si="34"/>
        <v>48605.697723198959</v>
      </c>
      <c r="E69" s="680">
        <f t="shared" si="34"/>
        <v>12117.386827352122</v>
      </c>
      <c r="F69" s="680">
        <f t="shared" si="34"/>
        <v>56249.570954578398</v>
      </c>
      <c r="G69" s="680">
        <f t="shared" si="34"/>
        <v>6468.8562602494185</v>
      </c>
      <c r="H69" s="680">
        <f t="shared" si="34"/>
        <v>2917.5088669387133</v>
      </c>
      <c r="I69" s="680">
        <f t="shared" si="34"/>
        <v>12311.284466648869</v>
      </c>
      <c r="J69" s="666">
        <f t="shared" si="29"/>
        <v>365569</v>
      </c>
      <c r="K69" s="680">
        <v>102</v>
      </c>
      <c r="L69" s="680">
        <f t="shared" si="24"/>
        <v>3584.0098039215686</v>
      </c>
      <c r="M69" s="668">
        <v>4704</v>
      </c>
      <c r="N69" s="668"/>
      <c r="O69" s="556" t="s">
        <v>364</v>
      </c>
      <c r="P69" s="669">
        <v>40691</v>
      </c>
      <c r="Q69" s="670"/>
      <c r="R69" s="572">
        <f>K69/2</f>
        <v>51</v>
      </c>
      <c r="S69" s="678">
        <v>4449</v>
      </c>
      <c r="T69" s="495">
        <f t="shared" si="30"/>
        <v>226899</v>
      </c>
      <c r="U69" s="537"/>
      <c r="V69" s="669"/>
      <c r="W69" s="296"/>
      <c r="X69" s="296"/>
      <c r="Y69" s="495">
        <f t="shared" si="25"/>
        <v>0</v>
      </c>
    </row>
    <row r="70" spans="1:25">
      <c r="A70" s="564">
        <f t="shared" si="26"/>
        <v>65</v>
      </c>
      <c r="B70" s="566" t="s">
        <v>840</v>
      </c>
      <c r="C70" s="673">
        <f t="shared" si="2"/>
        <v>302400</v>
      </c>
      <c r="D70" s="680">
        <f t="shared" si="34"/>
        <v>11436.634758399756</v>
      </c>
      <c r="E70" s="680">
        <f t="shared" si="34"/>
        <v>2851.1498417299113</v>
      </c>
      <c r="F70" s="680">
        <f t="shared" si="34"/>
        <v>13235.193165783152</v>
      </c>
      <c r="G70" s="680">
        <f t="shared" si="34"/>
        <v>1522.0838259410395</v>
      </c>
      <c r="H70" s="680">
        <f t="shared" si="34"/>
        <v>686.47267457381486</v>
      </c>
      <c r="I70" s="680">
        <f t="shared" si="34"/>
        <v>2896.7728156820867</v>
      </c>
      <c r="J70" s="666">
        <f t="shared" si="29"/>
        <v>335028</v>
      </c>
      <c r="K70" s="680">
        <v>24</v>
      </c>
      <c r="L70" s="680">
        <f t="shared" si="24"/>
        <v>13959.5</v>
      </c>
      <c r="M70" s="668">
        <v>14056</v>
      </c>
      <c r="N70" s="668"/>
      <c r="O70" s="566" t="s">
        <v>458</v>
      </c>
      <c r="P70" s="669">
        <v>40691</v>
      </c>
      <c r="Q70" s="670"/>
      <c r="R70" s="572">
        <v>12</v>
      </c>
      <c r="S70" s="677">
        <v>25200</v>
      </c>
      <c r="T70" s="495">
        <f t="shared" si="30"/>
        <v>302400</v>
      </c>
      <c r="U70" s="537"/>
      <c r="V70" s="669"/>
      <c r="W70" s="296"/>
      <c r="X70" s="296"/>
      <c r="Y70" s="495">
        <f t="shared" si="25"/>
        <v>0</v>
      </c>
    </row>
    <row r="71" spans="1:25">
      <c r="A71" s="564">
        <f t="shared" si="26"/>
        <v>66</v>
      </c>
      <c r="B71" s="566" t="s">
        <v>833</v>
      </c>
      <c r="C71" s="673">
        <f t="shared" ref="C71:C134" si="35">T71</f>
        <v>4713786</v>
      </c>
      <c r="D71" s="680">
        <f t="shared" si="34"/>
        <v>99117.501239464546</v>
      </c>
      <c r="E71" s="680">
        <f t="shared" si="34"/>
        <v>24709.965294992562</v>
      </c>
      <c r="F71" s="680">
        <f t="shared" si="34"/>
        <v>114705.00743678732</v>
      </c>
      <c r="G71" s="680">
        <f t="shared" si="34"/>
        <v>13191.393158155677</v>
      </c>
      <c r="H71" s="680">
        <f t="shared" si="34"/>
        <v>5949.429846306396</v>
      </c>
      <c r="I71" s="680">
        <f t="shared" si="34"/>
        <v>25105.364402578085</v>
      </c>
      <c r="J71" s="666">
        <f t="shared" si="29"/>
        <v>4996565</v>
      </c>
      <c r="K71" s="680">
        <v>208</v>
      </c>
      <c r="L71" s="680">
        <f t="shared" si="24"/>
        <v>24021.947115384617</v>
      </c>
      <c r="M71" s="668">
        <v>25535</v>
      </c>
      <c r="N71" s="668"/>
      <c r="O71" s="556" t="s">
        <v>468</v>
      </c>
      <c r="P71" s="669">
        <v>40691</v>
      </c>
      <c r="Q71" s="670"/>
      <c r="R71" s="572">
        <v>209</v>
      </c>
      <c r="S71" s="678">
        <v>22554</v>
      </c>
      <c r="T71" s="495">
        <f t="shared" si="30"/>
        <v>4713786</v>
      </c>
      <c r="U71" s="537"/>
      <c r="V71" s="669"/>
      <c r="W71" s="296"/>
      <c r="X71" s="296"/>
      <c r="Y71" s="495">
        <f t="shared" si="25"/>
        <v>0</v>
      </c>
    </row>
    <row r="72" spans="1:25">
      <c r="A72" s="564">
        <f t="shared" si="26"/>
        <v>67</v>
      </c>
      <c r="B72" s="566" t="s">
        <v>841</v>
      </c>
      <c r="C72" s="673">
        <f t="shared" si="35"/>
        <v>1264900</v>
      </c>
      <c r="D72" s="680">
        <f t="shared" si="34"/>
        <v>24302.848861599479</v>
      </c>
      <c r="E72" s="680">
        <f t="shared" si="34"/>
        <v>6058.693413676061</v>
      </c>
      <c r="F72" s="680">
        <f t="shared" si="34"/>
        <v>28124.785477289199</v>
      </c>
      <c r="G72" s="680">
        <f t="shared" si="34"/>
        <v>3234.4281301247092</v>
      </c>
      <c r="H72" s="680">
        <f t="shared" si="34"/>
        <v>1458.7544334693566</v>
      </c>
      <c r="I72" s="680">
        <f t="shared" si="34"/>
        <v>6155.6422333244345</v>
      </c>
      <c r="J72" s="666">
        <f t="shared" si="29"/>
        <v>1334235</v>
      </c>
      <c r="K72" s="680">
        <v>51</v>
      </c>
      <c r="L72" s="680">
        <f t="shared" si="24"/>
        <v>26161.470588235294</v>
      </c>
      <c r="M72" s="668">
        <v>27650</v>
      </c>
      <c r="N72" s="668"/>
      <c r="O72" s="556" t="s">
        <v>379</v>
      </c>
      <c r="P72" s="669">
        <v>40691</v>
      </c>
      <c r="Q72" s="670"/>
      <c r="R72" s="572">
        <v>52</v>
      </c>
      <c r="S72" s="678">
        <v>24325</v>
      </c>
      <c r="T72" s="495">
        <f t="shared" si="30"/>
        <v>1264900</v>
      </c>
      <c r="U72" s="537"/>
      <c r="V72" s="669"/>
      <c r="W72" s="296"/>
      <c r="X72" s="296"/>
      <c r="Y72" s="495">
        <f t="shared" si="25"/>
        <v>0</v>
      </c>
    </row>
    <row r="73" spans="1:25">
      <c r="A73" s="564">
        <f t="shared" si="26"/>
        <v>68</v>
      </c>
      <c r="B73" s="566" t="s">
        <v>843</v>
      </c>
      <c r="C73" s="673">
        <f t="shared" si="35"/>
        <v>9628696</v>
      </c>
      <c r="D73" s="680">
        <f t="shared" si="34"/>
        <v>193469.73799626253</v>
      </c>
      <c r="E73" s="680">
        <f t="shared" si="34"/>
        <v>48231.951489264327</v>
      </c>
      <c r="F73" s="680">
        <f t="shared" si="34"/>
        <v>223895.35105449831</v>
      </c>
      <c r="G73" s="680">
        <f t="shared" si="34"/>
        <v>25748.584722169253</v>
      </c>
      <c r="H73" s="680">
        <f t="shared" si="34"/>
        <v>11612.82941154037</v>
      </c>
      <c r="I73" s="680">
        <f t="shared" si="34"/>
        <v>49003.740131955303</v>
      </c>
      <c r="J73" s="666">
        <f t="shared" si="29"/>
        <v>10180658</v>
      </c>
      <c r="K73" s="680">
        <v>406</v>
      </c>
      <c r="L73" s="680">
        <f t="shared" si="24"/>
        <v>25075.512315270935</v>
      </c>
      <c r="M73" s="668">
        <v>26855</v>
      </c>
      <c r="N73" s="668"/>
      <c r="O73" s="556" t="s">
        <v>469</v>
      </c>
      <c r="P73" s="669">
        <v>40691</v>
      </c>
      <c r="Q73" s="670"/>
      <c r="R73" s="572">
        <v>406</v>
      </c>
      <c r="S73" s="678">
        <v>23716</v>
      </c>
      <c r="T73" s="495">
        <f t="shared" si="30"/>
        <v>9628696</v>
      </c>
      <c r="U73" s="537"/>
      <c r="V73" s="669"/>
      <c r="W73" s="296"/>
      <c r="X73" s="296"/>
      <c r="Y73" s="495">
        <f t="shared" si="25"/>
        <v>0</v>
      </c>
    </row>
    <row r="74" spans="1:25">
      <c r="A74" s="564">
        <f t="shared" si="26"/>
        <v>69</v>
      </c>
      <c r="B74" s="566" t="s">
        <v>844</v>
      </c>
      <c r="C74" s="673">
        <f t="shared" si="35"/>
        <v>222450</v>
      </c>
      <c r="D74" s="680">
        <f t="shared" si="34"/>
        <v>23826.322413332822</v>
      </c>
      <c r="E74" s="680">
        <f t="shared" si="34"/>
        <v>5939.8955036039815</v>
      </c>
      <c r="F74" s="680">
        <f t="shared" si="34"/>
        <v>27573.319095381565</v>
      </c>
      <c r="G74" s="680">
        <f t="shared" si="34"/>
        <v>3171.0079707104992</v>
      </c>
      <c r="H74" s="680">
        <f t="shared" si="34"/>
        <v>1430.1514053621145</v>
      </c>
      <c r="I74" s="680">
        <f t="shared" si="34"/>
        <v>6034.9433660043469</v>
      </c>
      <c r="J74" s="666">
        <f t="shared" si="29"/>
        <v>290426</v>
      </c>
      <c r="K74" s="680">
        <v>50</v>
      </c>
      <c r="L74" s="680">
        <f t="shared" si="24"/>
        <v>5808.52</v>
      </c>
      <c r="M74" s="668">
        <v>5286</v>
      </c>
      <c r="N74" s="668"/>
      <c r="O74" s="566" t="s">
        <v>364</v>
      </c>
      <c r="P74" s="669">
        <v>40691</v>
      </c>
      <c r="Q74" s="670"/>
      <c r="R74" s="572">
        <f>K74</f>
        <v>50</v>
      </c>
      <c r="S74" s="678">
        <v>4449</v>
      </c>
      <c r="T74" s="495">
        <f t="shared" si="30"/>
        <v>222450</v>
      </c>
      <c r="U74" s="537"/>
      <c r="V74" s="669"/>
      <c r="W74" s="296"/>
      <c r="X74" s="296"/>
      <c r="Y74" s="495">
        <f t="shared" si="25"/>
        <v>0</v>
      </c>
    </row>
    <row r="75" spans="1:25">
      <c r="A75" s="564">
        <f t="shared" ref="A75:A88" si="36">IF(B75&lt;&gt;"",A74+1,"")</f>
        <v>70</v>
      </c>
      <c r="B75" s="566" t="s">
        <v>845</v>
      </c>
      <c r="C75" s="673">
        <f t="shared" si="35"/>
        <v>75633</v>
      </c>
      <c r="D75" s="680">
        <f t="shared" si="34"/>
        <v>32403.798482132639</v>
      </c>
      <c r="E75" s="680">
        <f t="shared" si="34"/>
        <v>8078.2578849014153</v>
      </c>
      <c r="F75" s="680">
        <f t="shared" si="34"/>
        <v>37499.713969718927</v>
      </c>
      <c r="G75" s="680">
        <f t="shared" si="34"/>
        <v>4312.5708401662787</v>
      </c>
      <c r="H75" s="680">
        <f t="shared" si="34"/>
        <v>1945.0059112924755</v>
      </c>
      <c r="I75" s="680">
        <f t="shared" si="34"/>
        <v>8207.5229777659115</v>
      </c>
      <c r="J75" s="666">
        <f t="shared" si="29"/>
        <v>168080</v>
      </c>
      <c r="K75" s="680">
        <v>68</v>
      </c>
      <c r="L75" s="680">
        <f t="shared" ref="L75:L88" si="37">IF(K75&lt;&gt;"",J75/K75,"")</f>
        <v>2471.7647058823532</v>
      </c>
      <c r="M75" s="668">
        <v>2734</v>
      </c>
      <c r="N75" s="668"/>
      <c r="O75" s="556" t="s">
        <v>364</v>
      </c>
      <c r="P75" s="669">
        <v>40691</v>
      </c>
      <c r="Q75" s="670"/>
      <c r="R75" s="572">
        <f t="shared" ref="R75:R77" si="38">K75/4</f>
        <v>17</v>
      </c>
      <c r="S75" s="678">
        <v>4449</v>
      </c>
      <c r="T75" s="495">
        <f t="shared" ref="T75:T88" si="39">R75*S75</f>
        <v>75633</v>
      </c>
      <c r="U75" s="537"/>
      <c r="V75" s="669"/>
      <c r="W75" s="296"/>
      <c r="X75" s="296"/>
      <c r="Y75" s="495">
        <f t="shared" ref="Y75:Y88" si="40">W75*X75</f>
        <v>0</v>
      </c>
    </row>
    <row r="76" spans="1:25">
      <c r="A76" s="564">
        <f t="shared" si="36"/>
        <v>71</v>
      </c>
      <c r="B76" s="566" t="s">
        <v>846</v>
      </c>
      <c r="C76" s="673">
        <f t="shared" si="35"/>
        <v>333675</v>
      </c>
      <c r="D76" s="680">
        <f t="shared" ref="D76:I85" si="41">IF($K$170&lt;&gt;0,D$170/$K$170*$K76,0)</f>
        <v>142957.93447999694</v>
      </c>
      <c r="E76" s="680">
        <f t="shared" si="41"/>
        <v>35639.373021623891</v>
      </c>
      <c r="F76" s="680">
        <f t="shared" si="41"/>
        <v>165439.91457228939</v>
      </c>
      <c r="G76" s="680">
        <f t="shared" si="41"/>
        <v>19026.047824262994</v>
      </c>
      <c r="H76" s="680">
        <f t="shared" si="41"/>
        <v>8580.9084321726859</v>
      </c>
      <c r="I76" s="680">
        <f t="shared" si="41"/>
        <v>36209.660196026081</v>
      </c>
      <c r="J76" s="666">
        <f t="shared" si="29"/>
        <v>741529</v>
      </c>
      <c r="K76" s="680">
        <v>300</v>
      </c>
      <c r="L76" s="680">
        <f t="shared" si="37"/>
        <v>2471.7633333333333</v>
      </c>
      <c r="M76" s="668">
        <v>3065</v>
      </c>
      <c r="N76" s="668"/>
      <c r="O76" s="556" t="s">
        <v>364</v>
      </c>
      <c r="P76" s="669">
        <v>40691</v>
      </c>
      <c r="Q76" s="670"/>
      <c r="R76" s="572">
        <f t="shared" si="38"/>
        <v>75</v>
      </c>
      <c r="S76" s="678">
        <v>4449</v>
      </c>
      <c r="T76" s="495">
        <f t="shared" si="39"/>
        <v>333675</v>
      </c>
      <c r="U76" s="537"/>
      <c r="V76" s="669"/>
      <c r="W76" s="296"/>
      <c r="X76" s="296"/>
      <c r="Y76" s="495">
        <f t="shared" si="40"/>
        <v>0</v>
      </c>
    </row>
    <row r="77" spans="1:25">
      <c r="A77" s="564">
        <f t="shared" si="36"/>
        <v>72</v>
      </c>
      <c r="B77" s="566" t="s">
        <v>847</v>
      </c>
      <c r="C77" s="673">
        <f t="shared" si="35"/>
        <v>44490</v>
      </c>
      <c r="D77" s="680">
        <f t="shared" si="41"/>
        <v>19061.057930666258</v>
      </c>
      <c r="E77" s="680">
        <f t="shared" si="41"/>
        <v>4751.9164028831856</v>
      </c>
      <c r="F77" s="680">
        <f t="shared" si="41"/>
        <v>22058.655276305253</v>
      </c>
      <c r="G77" s="680">
        <f t="shared" si="41"/>
        <v>2536.8063765683992</v>
      </c>
      <c r="H77" s="680">
        <f t="shared" si="41"/>
        <v>1144.1211242896916</v>
      </c>
      <c r="I77" s="680">
        <f t="shared" si="41"/>
        <v>4827.9546928034779</v>
      </c>
      <c r="J77" s="666">
        <f t="shared" si="29"/>
        <v>98871</v>
      </c>
      <c r="K77" s="680">
        <v>40</v>
      </c>
      <c r="L77" s="680">
        <f t="shared" si="37"/>
        <v>2471.7750000000001</v>
      </c>
      <c r="M77" s="668">
        <v>3778</v>
      </c>
      <c r="N77" s="668"/>
      <c r="O77" s="556" t="s">
        <v>364</v>
      </c>
      <c r="P77" s="669">
        <v>40691</v>
      </c>
      <c r="Q77" s="670"/>
      <c r="R77" s="572">
        <f t="shared" si="38"/>
        <v>10</v>
      </c>
      <c r="S77" s="678">
        <v>4449</v>
      </c>
      <c r="T77" s="495">
        <f t="shared" si="39"/>
        <v>44490</v>
      </c>
      <c r="U77" s="537"/>
      <c r="V77" s="669"/>
      <c r="W77" s="296"/>
      <c r="X77" s="296"/>
      <c r="Y77" s="495">
        <f t="shared" si="40"/>
        <v>0</v>
      </c>
    </row>
    <row r="78" spans="1:25">
      <c r="A78" s="564">
        <f t="shared" si="36"/>
        <v>73</v>
      </c>
      <c r="B78" s="566" t="s">
        <v>848</v>
      </c>
      <c r="C78" s="673">
        <f t="shared" si="35"/>
        <v>75633</v>
      </c>
      <c r="D78" s="680">
        <f t="shared" si="41"/>
        <v>16201.89924106632</v>
      </c>
      <c r="E78" s="680">
        <f t="shared" si="41"/>
        <v>4039.1289424507077</v>
      </c>
      <c r="F78" s="680">
        <f t="shared" si="41"/>
        <v>18749.856984859463</v>
      </c>
      <c r="G78" s="680">
        <f t="shared" si="41"/>
        <v>2156.2854200831393</v>
      </c>
      <c r="H78" s="680">
        <f t="shared" si="41"/>
        <v>972.50295564623775</v>
      </c>
      <c r="I78" s="680">
        <f t="shared" si="41"/>
        <v>4103.7614888829557</v>
      </c>
      <c r="J78" s="666">
        <f t="shared" si="29"/>
        <v>121856</v>
      </c>
      <c r="K78" s="680">
        <v>34</v>
      </c>
      <c r="L78" s="680">
        <f t="shared" si="37"/>
        <v>3584</v>
      </c>
      <c r="M78" s="668">
        <v>4913</v>
      </c>
      <c r="N78" s="668"/>
      <c r="O78" s="556" t="s">
        <v>364</v>
      </c>
      <c r="P78" s="669">
        <v>40691</v>
      </c>
      <c r="Q78" s="670"/>
      <c r="R78" s="572">
        <f t="shared" ref="R78:R79" si="42">K78/2</f>
        <v>17</v>
      </c>
      <c r="S78" s="678">
        <v>4449</v>
      </c>
      <c r="T78" s="495">
        <f t="shared" si="39"/>
        <v>75633</v>
      </c>
      <c r="U78" s="537"/>
      <c r="V78" s="669"/>
      <c r="W78" s="296"/>
      <c r="X78" s="296"/>
      <c r="Y78" s="495">
        <f t="shared" si="40"/>
        <v>0</v>
      </c>
    </row>
    <row r="79" spans="1:25">
      <c r="A79" s="564">
        <f t="shared" si="36"/>
        <v>74</v>
      </c>
      <c r="B79" s="566" t="s">
        <v>849</v>
      </c>
      <c r="C79" s="673">
        <f t="shared" si="35"/>
        <v>311430</v>
      </c>
      <c r="D79" s="680">
        <f t="shared" si="41"/>
        <v>66713.702757331906</v>
      </c>
      <c r="E79" s="680">
        <f t="shared" si="41"/>
        <v>16631.707410091149</v>
      </c>
      <c r="F79" s="680">
        <f t="shared" si="41"/>
        <v>77205.29346706839</v>
      </c>
      <c r="G79" s="680">
        <f t="shared" si="41"/>
        <v>8878.8223179893976</v>
      </c>
      <c r="H79" s="680">
        <f t="shared" si="41"/>
        <v>4004.4239350139205</v>
      </c>
      <c r="I79" s="680">
        <f t="shared" si="41"/>
        <v>16897.841424812173</v>
      </c>
      <c r="J79" s="666">
        <f t="shared" si="29"/>
        <v>501762</v>
      </c>
      <c r="K79" s="680">
        <v>140</v>
      </c>
      <c r="L79" s="680">
        <f t="shared" si="37"/>
        <v>3584.0142857142855</v>
      </c>
      <c r="M79" s="668">
        <v>4320</v>
      </c>
      <c r="N79" s="668"/>
      <c r="O79" s="556" t="s">
        <v>364</v>
      </c>
      <c r="P79" s="669">
        <v>40691</v>
      </c>
      <c r="Q79" s="670"/>
      <c r="R79" s="572">
        <f t="shared" si="42"/>
        <v>70</v>
      </c>
      <c r="S79" s="678">
        <v>4449</v>
      </c>
      <c r="T79" s="495">
        <f t="shared" si="39"/>
        <v>311430</v>
      </c>
      <c r="U79" s="537"/>
      <c r="V79" s="669"/>
      <c r="W79" s="296"/>
      <c r="X79" s="296"/>
      <c r="Y79" s="495">
        <f t="shared" si="40"/>
        <v>0</v>
      </c>
    </row>
    <row r="80" spans="1:25">
      <c r="A80" s="564">
        <f t="shared" si="36"/>
        <v>75</v>
      </c>
      <c r="B80" s="566" t="s">
        <v>850</v>
      </c>
      <c r="C80" s="673">
        <f t="shared" si="35"/>
        <v>1121820</v>
      </c>
      <c r="D80" s="680">
        <f t="shared" si="41"/>
        <v>66713.702757331906</v>
      </c>
      <c r="E80" s="680">
        <f t="shared" si="41"/>
        <v>16631.707410091149</v>
      </c>
      <c r="F80" s="680">
        <f t="shared" si="41"/>
        <v>77205.29346706839</v>
      </c>
      <c r="G80" s="680">
        <f t="shared" si="41"/>
        <v>8878.8223179893976</v>
      </c>
      <c r="H80" s="680">
        <f t="shared" si="41"/>
        <v>4004.4239350139205</v>
      </c>
      <c r="I80" s="680">
        <f t="shared" si="41"/>
        <v>16897.841424812173</v>
      </c>
      <c r="J80" s="666">
        <f t="shared" ref="J80:J111" si="43">ROUND(SUM(C80:I80),0)</f>
        <v>1312152</v>
      </c>
      <c r="K80" s="680">
        <v>140</v>
      </c>
      <c r="L80" s="680">
        <f t="shared" si="37"/>
        <v>9372.5142857142855</v>
      </c>
      <c r="M80" s="668">
        <v>11516</v>
      </c>
      <c r="N80" s="668"/>
      <c r="O80" s="556" t="s">
        <v>494</v>
      </c>
      <c r="P80" s="669">
        <v>40691</v>
      </c>
      <c r="Q80" s="670"/>
      <c r="R80" s="572">
        <f>K80</f>
        <v>140</v>
      </c>
      <c r="S80" s="677">
        <v>8013</v>
      </c>
      <c r="T80" s="495">
        <f t="shared" si="39"/>
        <v>1121820</v>
      </c>
      <c r="U80" s="537"/>
      <c r="V80" s="669"/>
      <c r="W80" s="296"/>
      <c r="X80" s="296"/>
      <c r="Y80" s="495">
        <f t="shared" si="40"/>
        <v>0</v>
      </c>
    </row>
    <row r="81" spans="1:25">
      <c r="A81" s="564">
        <f t="shared" si="36"/>
        <v>76</v>
      </c>
      <c r="B81" s="566" t="s">
        <v>840</v>
      </c>
      <c r="C81" s="673">
        <f t="shared" si="35"/>
        <v>126000</v>
      </c>
      <c r="D81" s="680">
        <f t="shared" si="41"/>
        <v>4765.2644826665646</v>
      </c>
      <c r="E81" s="680">
        <f t="shared" si="41"/>
        <v>1187.9791007207964</v>
      </c>
      <c r="F81" s="680">
        <f t="shared" si="41"/>
        <v>5514.6638190763133</v>
      </c>
      <c r="G81" s="680">
        <f t="shared" si="41"/>
        <v>634.20159414209979</v>
      </c>
      <c r="H81" s="680">
        <f t="shared" si="41"/>
        <v>286.03028107242289</v>
      </c>
      <c r="I81" s="680">
        <f t="shared" si="41"/>
        <v>1206.9886732008695</v>
      </c>
      <c r="J81" s="666">
        <f t="shared" si="43"/>
        <v>139595</v>
      </c>
      <c r="K81" s="680">
        <v>10</v>
      </c>
      <c r="L81" s="680">
        <f t="shared" si="37"/>
        <v>13959.5</v>
      </c>
      <c r="M81" s="668">
        <v>14056</v>
      </c>
      <c r="N81" s="668"/>
      <c r="O81" s="566" t="s">
        <v>458</v>
      </c>
      <c r="P81" s="669">
        <v>40691</v>
      </c>
      <c r="Q81" s="670"/>
      <c r="R81" s="572">
        <v>5</v>
      </c>
      <c r="S81" s="677">
        <v>25200</v>
      </c>
      <c r="T81" s="495">
        <f t="shared" si="39"/>
        <v>126000</v>
      </c>
      <c r="U81" s="537"/>
      <c r="V81" s="669"/>
      <c r="W81" s="296"/>
      <c r="X81" s="296"/>
      <c r="Y81" s="495">
        <f t="shared" si="40"/>
        <v>0</v>
      </c>
    </row>
    <row r="82" spans="1:25">
      <c r="A82" s="564">
        <f t="shared" si="36"/>
        <v>77</v>
      </c>
      <c r="B82" s="566" t="s">
        <v>851</v>
      </c>
      <c r="C82" s="673">
        <f t="shared" si="35"/>
        <v>586160</v>
      </c>
      <c r="D82" s="680">
        <f t="shared" si="41"/>
        <v>32403.798482132639</v>
      </c>
      <c r="E82" s="680">
        <f t="shared" si="41"/>
        <v>8078.2578849014153</v>
      </c>
      <c r="F82" s="680">
        <f t="shared" si="41"/>
        <v>37499.713969718927</v>
      </c>
      <c r="G82" s="680">
        <f t="shared" si="41"/>
        <v>4312.5708401662787</v>
      </c>
      <c r="H82" s="680">
        <f t="shared" si="41"/>
        <v>1945.0059112924755</v>
      </c>
      <c r="I82" s="680">
        <f t="shared" si="41"/>
        <v>8207.5229777659115</v>
      </c>
      <c r="J82" s="666">
        <f t="shared" si="43"/>
        <v>678607</v>
      </c>
      <c r="K82" s="680">
        <v>68</v>
      </c>
      <c r="L82" s="680">
        <f t="shared" si="37"/>
        <v>9979.5147058823532</v>
      </c>
      <c r="M82" s="668">
        <v>10433</v>
      </c>
      <c r="N82" s="668"/>
      <c r="O82" s="556" t="s">
        <v>484</v>
      </c>
      <c r="P82" s="669">
        <v>40691</v>
      </c>
      <c r="Q82" s="670"/>
      <c r="R82" s="572">
        <f>K82</f>
        <v>68</v>
      </c>
      <c r="S82" s="677">
        <v>8620</v>
      </c>
      <c r="T82" s="495">
        <f t="shared" si="39"/>
        <v>586160</v>
      </c>
      <c r="U82" s="537"/>
      <c r="V82" s="669"/>
      <c r="W82" s="296"/>
      <c r="X82" s="296"/>
      <c r="Y82" s="495">
        <f t="shared" si="40"/>
        <v>0</v>
      </c>
    </row>
    <row r="83" spans="1:25">
      <c r="A83" s="564">
        <f t="shared" si="36"/>
        <v>78</v>
      </c>
      <c r="B83" s="566" t="s">
        <v>852</v>
      </c>
      <c r="C83" s="673">
        <f t="shared" si="35"/>
        <v>3476100</v>
      </c>
      <c r="D83" s="680">
        <f t="shared" si="41"/>
        <v>142957.93447999694</v>
      </c>
      <c r="E83" s="680">
        <f t="shared" si="41"/>
        <v>35639.373021623891</v>
      </c>
      <c r="F83" s="680">
        <f t="shared" si="41"/>
        <v>165439.91457228939</v>
      </c>
      <c r="G83" s="680">
        <f t="shared" si="41"/>
        <v>19026.047824262994</v>
      </c>
      <c r="H83" s="680">
        <f t="shared" si="41"/>
        <v>8580.9084321726859</v>
      </c>
      <c r="I83" s="680">
        <f t="shared" si="41"/>
        <v>36209.660196026081</v>
      </c>
      <c r="J83" s="666">
        <f t="shared" si="43"/>
        <v>3883954</v>
      </c>
      <c r="K83" s="680">
        <v>300</v>
      </c>
      <c r="L83" s="680">
        <f t="shared" si="37"/>
        <v>12946.513333333334</v>
      </c>
      <c r="M83" s="668">
        <v>13172</v>
      </c>
      <c r="N83" s="668"/>
      <c r="O83" s="556" t="s">
        <v>474</v>
      </c>
      <c r="P83" s="669">
        <v>40691</v>
      </c>
      <c r="Q83" s="670"/>
      <c r="R83" s="572">
        <f>K83</f>
        <v>300</v>
      </c>
      <c r="S83" s="677">
        <v>11587</v>
      </c>
      <c r="T83" s="495">
        <f t="shared" si="39"/>
        <v>3476100</v>
      </c>
      <c r="U83" s="537"/>
      <c r="V83" s="669"/>
      <c r="W83" s="296"/>
      <c r="X83" s="296"/>
      <c r="Y83" s="495">
        <f t="shared" si="40"/>
        <v>0</v>
      </c>
    </row>
    <row r="84" spans="1:25">
      <c r="A84" s="564">
        <f t="shared" si="36"/>
        <v>79</v>
      </c>
      <c r="B84" s="566" t="s">
        <v>853</v>
      </c>
      <c r="C84" s="673">
        <f t="shared" si="35"/>
        <v>529200</v>
      </c>
      <c r="D84" s="680">
        <f t="shared" si="41"/>
        <v>19061.057930666258</v>
      </c>
      <c r="E84" s="680">
        <f t="shared" si="41"/>
        <v>4751.9164028831856</v>
      </c>
      <c r="F84" s="680">
        <f t="shared" si="41"/>
        <v>22058.655276305253</v>
      </c>
      <c r="G84" s="680">
        <f t="shared" si="41"/>
        <v>2536.8063765683992</v>
      </c>
      <c r="H84" s="680">
        <f t="shared" si="41"/>
        <v>1144.1211242896916</v>
      </c>
      <c r="I84" s="680">
        <f t="shared" si="41"/>
        <v>4827.9546928034779</v>
      </c>
      <c r="J84" s="666">
        <f t="shared" si="43"/>
        <v>583581</v>
      </c>
      <c r="K84" s="680">
        <v>40</v>
      </c>
      <c r="L84" s="680">
        <f t="shared" si="37"/>
        <v>14589.525</v>
      </c>
      <c r="M84" s="668">
        <v>15040</v>
      </c>
      <c r="N84" s="668"/>
      <c r="O84" s="566" t="s">
        <v>458</v>
      </c>
      <c r="P84" s="669">
        <v>40691</v>
      </c>
      <c r="Q84" s="670"/>
      <c r="R84" s="572">
        <v>21</v>
      </c>
      <c r="S84" s="677">
        <v>25200</v>
      </c>
      <c r="T84" s="495">
        <f t="shared" si="39"/>
        <v>529200</v>
      </c>
      <c r="U84" s="537"/>
      <c r="V84" s="669"/>
      <c r="W84" s="296"/>
      <c r="X84" s="296"/>
      <c r="Y84" s="495">
        <f t="shared" si="40"/>
        <v>0</v>
      </c>
    </row>
    <row r="85" spans="1:25">
      <c r="A85" s="564">
        <f t="shared" si="36"/>
        <v>80</v>
      </c>
      <c r="B85" s="566" t="s">
        <v>855</v>
      </c>
      <c r="C85" s="673">
        <f t="shared" si="35"/>
        <v>4330256</v>
      </c>
      <c r="D85" s="680">
        <f t="shared" si="41"/>
        <v>449364.44071545708</v>
      </c>
      <c r="E85" s="680">
        <f t="shared" si="41"/>
        <v>112026.4291979711</v>
      </c>
      <c r="F85" s="680">
        <f t="shared" si="41"/>
        <v>520032.79813889635</v>
      </c>
      <c r="G85" s="680">
        <f t="shared" si="41"/>
        <v>59805.210327600013</v>
      </c>
      <c r="H85" s="680">
        <f t="shared" si="41"/>
        <v>26972.655505129478</v>
      </c>
      <c r="I85" s="680">
        <f t="shared" si="41"/>
        <v>113819.03188284198</v>
      </c>
      <c r="J85" s="666">
        <f t="shared" si="43"/>
        <v>5612277</v>
      </c>
      <c r="K85" s="680">
        <v>943</v>
      </c>
      <c r="L85" s="680">
        <f t="shared" si="37"/>
        <v>5951.5132555673381</v>
      </c>
      <c r="M85" s="668">
        <v>7229</v>
      </c>
      <c r="N85" s="668"/>
      <c r="O85" s="566" t="s">
        <v>455</v>
      </c>
      <c r="P85" s="669">
        <v>40694</v>
      </c>
      <c r="Q85" s="670"/>
      <c r="R85" s="572">
        <f t="shared" ref="R85:R86" si="44">K85</f>
        <v>943</v>
      </c>
      <c r="S85" s="678">
        <v>4592</v>
      </c>
      <c r="T85" s="495">
        <f t="shared" si="39"/>
        <v>4330256</v>
      </c>
      <c r="U85" s="537"/>
      <c r="V85" s="669"/>
      <c r="W85" s="296"/>
      <c r="X85" s="296"/>
      <c r="Y85" s="495">
        <f t="shared" si="40"/>
        <v>0</v>
      </c>
    </row>
    <row r="86" spans="1:25">
      <c r="A86" s="564">
        <f t="shared" si="36"/>
        <v>81</v>
      </c>
      <c r="B86" s="566" t="s">
        <v>856</v>
      </c>
      <c r="C86" s="673">
        <f t="shared" si="35"/>
        <v>1348047</v>
      </c>
      <c r="D86" s="680">
        <f t="shared" ref="D86:I95" si="45">IF($K$170&lt;&gt;0,D$170/$K$170*$K86,0)</f>
        <v>144387.51382479692</v>
      </c>
      <c r="E86" s="680">
        <f t="shared" si="45"/>
        <v>35995.766751840129</v>
      </c>
      <c r="F86" s="680">
        <f t="shared" si="45"/>
        <v>167094.3137180123</v>
      </c>
      <c r="G86" s="680">
        <f t="shared" si="45"/>
        <v>19216.308302505626</v>
      </c>
      <c r="H86" s="680">
        <f t="shared" si="45"/>
        <v>8666.7175164944128</v>
      </c>
      <c r="I86" s="680">
        <f t="shared" si="45"/>
        <v>36571.756797986345</v>
      </c>
      <c r="J86" s="666">
        <f t="shared" si="43"/>
        <v>1759979</v>
      </c>
      <c r="K86" s="680">
        <v>303</v>
      </c>
      <c r="L86" s="680">
        <f t="shared" si="37"/>
        <v>5808.5115511551157</v>
      </c>
      <c r="M86" s="668">
        <v>6620</v>
      </c>
      <c r="N86" s="668"/>
      <c r="O86" s="566" t="s">
        <v>364</v>
      </c>
      <c r="P86" s="669">
        <v>40694</v>
      </c>
      <c r="Q86" s="670"/>
      <c r="R86" s="572">
        <f t="shared" si="44"/>
        <v>303</v>
      </c>
      <c r="S86" s="678">
        <v>4449</v>
      </c>
      <c r="T86" s="495">
        <f t="shared" si="39"/>
        <v>1348047</v>
      </c>
      <c r="U86" s="537"/>
      <c r="V86" s="669"/>
      <c r="W86" s="296"/>
      <c r="X86" s="296"/>
      <c r="Y86" s="495">
        <f t="shared" si="40"/>
        <v>0</v>
      </c>
    </row>
    <row r="87" spans="1:25">
      <c r="A87" s="564">
        <f t="shared" si="36"/>
        <v>82</v>
      </c>
      <c r="B87" s="566" t="s">
        <v>857</v>
      </c>
      <c r="C87" s="673">
        <f t="shared" si="35"/>
        <v>347610</v>
      </c>
      <c r="D87" s="680">
        <f t="shared" si="45"/>
        <v>14295.793447999695</v>
      </c>
      <c r="E87" s="680">
        <f t="shared" si="45"/>
        <v>3563.9373021623887</v>
      </c>
      <c r="F87" s="680">
        <f t="shared" si="45"/>
        <v>16543.991457228942</v>
      </c>
      <c r="G87" s="680">
        <f t="shared" si="45"/>
        <v>1902.6047824262996</v>
      </c>
      <c r="H87" s="680">
        <f t="shared" si="45"/>
        <v>858.09084321726868</v>
      </c>
      <c r="I87" s="680">
        <f t="shared" si="45"/>
        <v>3620.9660196026084</v>
      </c>
      <c r="J87" s="666">
        <f t="shared" si="43"/>
        <v>388395</v>
      </c>
      <c r="K87" s="680">
        <v>30</v>
      </c>
      <c r="L87" s="680">
        <f t="shared" si="37"/>
        <v>12946.5</v>
      </c>
      <c r="M87" s="668">
        <v>14576</v>
      </c>
      <c r="N87" s="668"/>
      <c r="O87" s="556" t="s">
        <v>474</v>
      </c>
      <c r="P87" s="669">
        <v>40694</v>
      </c>
      <c r="Q87" s="670"/>
      <c r="R87" s="572">
        <f>K87</f>
        <v>30</v>
      </c>
      <c r="S87" s="677">
        <v>11587</v>
      </c>
      <c r="T87" s="495">
        <f t="shared" si="39"/>
        <v>347610</v>
      </c>
      <c r="U87" s="537"/>
      <c r="V87" s="669"/>
      <c r="W87" s="296"/>
      <c r="X87" s="296"/>
      <c r="Y87" s="495">
        <f t="shared" si="40"/>
        <v>0</v>
      </c>
    </row>
    <row r="88" spans="1:25">
      <c r="A88" s="564">
        <f t="shared" si="36"/>
        <v>83</v>
      </c>
      <c r="B88" s="566" t="s">
        <v>712</v>
      </c>
      <c r="C88" s="673">
        <f t="shared" si="35"/>
        <v>3592166</v>
      </c>
      <c r="D88" s="680">
        <f t="shared" si="45"/>
        <v>48129.171274932305</v>
      </c>
      <c r="E88" s="680">
        <f t="shared" si="45"/>
        <v>11998.588917280043</v>
      </c>
      <c r="F88" s="680">
        <f t="shared" si="45"/>
        <v>55698.104572670767</v>
      </c>
      <c r="G88" s="680">
        <f t="shared" si="45"/>
        <v>6405.436100835208</v>
      </c>
      <c r="H88" s="680">
        <f t="shared" si="45"/>
        <v>2888.9058388314711</v>
      </c>
      <c r="I88" s="680">
        <f t="shared" si="45"/>
        <v>12190.585599328782</v>
      </c>
      <c r="J88" s="666">
        <f t="shared" si="43"/>
        <v>3729477</v>
      </c>
      <c r="K88" s="680">
        <v>101</v>
      </c>
      <c r="L88" s="680">
        <f t="shared" si="37"/>
        <v>36925.514851485146</v>
      </c>
      <c r="M88" s="668">
        <v>43865</v>
      </c>
      <c r="N88" s="668"/>
      <c r="O88" s="556" t="s">
        <v>560</v>
      </c>
      <c r="P88" s="669">
        <v>40695</v>
      </c>
      <c r="Q88" s="670"/>
      <c r="R88" s="572">
        <v>101</v>
      </c>
      <c r="S88" s="496">
        <v>35566</v>
      </c>
      <c r="T88" s="495">
        <f t="shared" si="39"/>
        <v>3592166</v>
      </c>
      <c r="U88" s="537"/>
      <c r="V88" s="669"/>
      <c r="W88" s="296"/>
      <c r="X88" s="296"/>
      <c r="Y88" s="495">
        <f t="shared" si="40"/>
        <v>0</v>
      </c>
    </row>
    <row r="89" spans="1:25">
      <c r="A89" s="564">
        <f t="shared" ref="A89:A135" si="46">IF(B89&lt;&gt;"",A88+1,"")</f>
        <v>84</v>
      </c>
      <c r="B89" s="566" t="s">
        <v>715</v>
      </c>
      <c r="C89" s="673">
        <f t="shared" si="35"/>
        <v>3617012</v>
      </c>
      <c r="D89" s="680">
        <f t="shared" si="45"/>
        <v>48129.171274932305</v>
      </c>
      <c r="E89" s="680">
        <f t="shared" si="45"/>
        <v>11998.588917280043</v>
      </c>
      <c r="F89" s="680">
        <f t="shared" si="45"/>
        <v>55698.104572670767</v>
      </c>
      <c r="G89" s="680">
        <f t="shared" si="45"/>
        <v>6405.436100835208</v>
      </c>
      <c r="H89" s="680">
        <f t="shared" si="45"/>
        <v>2888.9058388314711</v>
      </c>
      <c r="I89" s="680">
        <f t="shared" si="45"/>
        <v>12190.585599328782</v>
      </c>
      <c r="J89" s="666">
        <f t="shared" si="43"/>
        <v>3754323</v>
      </c>
      <c r="K89" s="680">
        <v>101</v>
      </c>
      <c r="L89" s="680">
        <f t="shared" ref="L89:L155" si="47">IF(K89&lt;&gt;"",J89/K89,"")</f>
        <v>37171.514851485146</v>
      </c>
      <c r="M89" s="668">
        <v>50416</v>
      </c>
      <c r="N89" s="668"/>
      <c r="O89" s="556" t="s">
        <v>613</v>
      </c>
      <c r="P89" s="669">
        <v>40695</v>
      </c>
      <c r="Q89" s="670"/>
      <c r="R89" s="572">
        <v>101</v>
      </c>
      <c r="S89" s="678">
        <v>35812</v>
      </c>
      <c r="T89" s="495">
        <f t="shared" ref="T89:T155" si="48">R89*S89</f>
        <v>3617012</v>
      </c>
      <c r="U89" s="537"/>
      <c r="V89" s="669"/>
      <c r="W89" s="296"/>
      <c r="X89" s="296"/>
      <c r="Y89" s="495">
        <f t="shared" ref="Y89:Y155" si="49">W89*X89</f>
        <v>0</v>
      </c>
    </row>
    <row r="90" spans="1:25">
      <c r="A90" s="564">
        <f t="shared" si="46"/>
        <v>85</v>
      </c>
      <c r="B90" s="566" t="s">
        <v>859</v>
      </c>
      <c r="C90" s="673">
        <f t="shared" si="35"/>
        <v>353010</v>
      </c>
      <c r="D90" s="680">
        <f t="shared" si="45"/>
        <v>8100.9496205331598</v>
      </c>
      <c r="E90" s="680">
        <f t="shared" si="45"/>
        <v>2019.5644712253538</v>
      </c>
      <c r="F90" s="680">
        <f t="shared" si="45"/>
        <v>9374.9284924297317</v>
      </c>
      <c r="G90" s="680">
        <f t="shared" si="45"/>
        <v>1078.1427100415697</v>
      </c>
      <c r="H90" s="680">
        <f t="shared" si="45"/>
        <v>486.25147782311888</v>
      </c>
      <c r="I90" s="680">
        <f t="shared" si="45"/>
        <v>2051.8807444414779</v>
      </c>
      <c r="J90" s="666">
        <f t="shared" si="43"/>
        <v>376122</v>
      </c>
      <c r="K90" s="680">
        <v>17</v>
      </c>
      <c r="L90" s="680">
        <f t="shared" si="47"/>
        <v>22124.823529411766</v>
      </c>
      <c r="M90" s="668">
        <v>23643</v>
      </c>
      <c r="N90" s="668"/>
      <c r="O90" s="567" t="s">
        <v>568</v>
      </c>
      <c r="P90" s="669">
        <v>40723</v>
      </c>
      <c r="Q90" s="670"/>
      <c r="R90" s="572">
        <v>10</v>
      </c>
      <c r="S90" s="496">
        <v>35301</v>
      </c>
      <c r="T90" s="513">
        <f t="shared" si="48"/>
        <v>353010</v>
      </c>
      <c r="U90" s="537"/>
      <c r="V90" s="669"/>
      <c r="W90" s="296"/>
      <c r="X90" s="296"/>
      <c r="Y90" s="495">
        <f t="shared" si="49"/>
        <v>0</v>
      </c>
    </row>
    <row r="91" spans="1:25">
      <c r="A91" s="564">
        <f t="shared" si="46"/>
        <v>86</v>
      </c>
      <c r="B91" s="566" t="s">
        <v>843</v>
      </c>
      <c r="C91" s="673">
        <f t="shared" si="35"/>
        <v>191248</v>
      </c>
      <c r="D91" s="680">
        <f t="shared" si="45"/>
        <v>3812.2115861332518</v>
      </c>
      <c r="E91" s="680">
        <f t="shared" si="45"/>
        <v>950.38328057663705</v>
      </c>
      <c r="F91" s="680">
        <f t="shared" si="45"/>
        <v>4411.7310552610506</v>
      </c>
      <c r="G91" s="680">
        <f t="shared" si="45"/>
        <v>507.36127531367987</v>
      </c>
      <c r="H91" s="680">
        <f t="shared" si="45"/>
        <v>228.8242248579383</v>
      </c>
      <c r="I91" s="680">
        <f t="shared" si="45"/>
        <v>965.59093856069558</v>
      </c>
      <c r="J91" s="666">
        <f t="shared" si="43"/>
        <v>202124</v>
      </c>
      <c r="K91" s="680">
        <v>8</v>
      </c>
      <c r="L91" s="680">
        <f t="shared" si="47"/>
        <v>25265.5</v>
      </c>
      <c r="M91" s="668">
        <v>26855</v>
      </c>
      <c r="N91" s="668"/>
      <c r="O91" s="567" t="s">
        <v>599</v>
      </c>
      <c r="P91" s="669">
        <v>40723</v>
      </c>
      <c r="Q91" s="670"/>
      <c r="R91" s="572">
        <v>8</v>
      </c>
      <c r="S91" s="496">
        <v>23906</v>
      </c>
      <c r="T91" s="513">
        <f t="shared" si="48"/>
        <v>191248</v>
      </c>
      <c r="U91" s="537"/>
      <c r="V91" s="669"/>
      <c r="W91" s="296"/>
      <c r="X91" s="296"/>
      <c r="Y91" s="495">
        <f t="shared" si="49"/>
        <v>0</v>
      </c>
    </row>
    <row r="92" spans="1:25">
      <c r="A92" s="564">
        <f t="shared" si="46"/>
        <v>87</v>
      </c>
      <c r="B92" s="566" t="s">
        <v>833</v>
      </c>
      <c r="C92" s="673">
        <f t="shared" si="35"/>
        <v>908428</v>
      </c>
      <c r="D92" s="680">
        <f t="shared" si="45"/>
        <v>18108.005034132944</v>
      </c>
      <c r="E92" s="680">
        <f t="shared" si="45"/>
        <v>4514.3205827390257</v>
      </c>
      <c r="F92" s="680">
        <f t="shared" si="45"/>
        <v>20955.722512489992</v>
      </c>
      <c r="G92" s="680">
        <f t="shared" si="45"/>
        <v>2409.9660577399795</v>
      </c>
      <c r="H92" s="680">
        <f t="shared" si="45"/>
        <v>1086.915068075207</v>
      </c>
      <c r="I92" s="680">
        <f t="shared" si="45"/>
        <v>4586.5569581633044</v>
      </c>
      <c r="J92" s="666">
        <f t="shared" si="43"/>
        <v>960089</v>
      </c>
      <c r="K92" s="680">
        <v>38</v>
      </c>
      <c r="L92" s="680">
        <f t="shared" si="47"/>
        <v>25265.5</v>
      </c>
      <c r="M92" s="668">
        <v>25535</v>
      </c>
      <c r="N92" s="668"/>
      <c r="O92" s="567" t="s">
        <v>599</v>
      </c>
      <c r="P92" s="669">
        <v>40723</v>
      </c>
      <c r="Q92" s="670"/>
      <c r="R92" s="572">
        <v>38</v>
      </c>
      <c r="S92" s="496">
        <v>23906</v>
      </c>
      <c r="T92" s="513">
        <f t="shared" si="48"/>
        <v>908428</v>
      </c>
      <c r="U92" s="537"/>
      <c r="V92" s="669"/>
      <c r="W92" s="296"/>
      <c r="X92" s="296"/>
      <c r="Y92" s="495">
        <f t="shared" si="49"/>
        <v>0</v>
      </c>
    </row>
    <row r="93" spans="1:25">
      <c r="A93" s="564">
        <f t="shared" si="46"/>
        <v>88</v>
      </c>
      <c r="B93" s="566" t="s">
        <v>860</v>
      </c>
      <c r="C93" s="673">
        <f t="shared" si="35"/>
        <v>835801</v>
      </c>
      <c r="D93" s="680">
        <f t="shared" si="45"/>
        <v>22396.743068532855</v>
      </c>
      <c r="E93" s="680">
        <f t="shared" si="45"/>
        <v>5583.501773387743</v>
      </c>
      <c r="F93" s="680">
        <f t="shared" si="45"/>
        <v>25918.919949658673</v>
      </c>
      <c r="G93" s="680">
        <f t="shared" si="45"/>
        <v>2980.7474924678691</v>
      </c>
      <c r="H93" s="680">
        <f t="shared" si="45"/>
        <v>1344.3423210403876</v>
      </c>
      <c r="I93" s="680">
        <f t="shared" si="45"/>
        <v>5672.8467640440867</v>
      </c>
      <c r="J93" s="666">
        <f t="shared" si="43"/>
        <v>899698</v>
      </c>
      <c r="K93" s="680">
        <v>47</v>
      </c>
      <c r="L93" s="680">
        <f t="shared" si="47"/>
        <v>19142.510638297874</v>
      </c>
      <c r="M93" s="668">
        <v>21721</v>
      </c>
      <c r="N93" s="668"/>
      <c r="O93" s="556" t="s">
        <v>560</v>
      </c>
      <c r="P93" s="669">
        <v>40723</v>
      </c>
      <c r="Q93" s="670"/>
      <c r="R93" s="572">
        <v>23.5</v>
      </c>
      <c r="S93" s="496">
        <v>35566</v>
      </c>
      <c r="T93" s="513">
        <f t="shared" si="48"/>
        <v>835801</v>
      </c>
      <c r="U93" s="537"/>
      <c r="V93" s="669"/>
      <c r="W93" s="296"/>
      <c r="X93" s="296"/>
      <c r="Y93" s="495">
        <f t="shared" si="49"/>
        <v>0</v>
      </c>
    </row>
    <row r="94" spans="1:25">
      <c r="A94" s="564">
        <f t="shared" si="46"/>
        <v>89</v>
      </c>
      <c r="B94" s="566" t="s">
        <v>861</v>
      </c>
      <c r="C94" s="673">
        <f t="shared" si="35"/>
        <v>9962075</v>
      </c>
      <c r="D94" s="680">
        <f t="shared" si="45"/>
        <v>395516.95206132485</v>
      </c>
      <c r="E94" s="680">
        <f t="shared" si="45"/>
        <v>98602.265359826095</v>
      </c>
      <c r="F94" s="680">
        <f t="shared" si="45"/>
        <v>457717.09698333399</v>
      </c>
      <c r="G94" s="680">
        <f t="shared" si="45"/>
        <v>52638.732313794288</v>
      </c>
      <c r="H94" s="680">
        <f t="shared" si="45"/>
        <v>23740.513329011101</v>
      </c>
      <c r="I94" s="680">
        <f t="shared" si="45"/>
        <v>100180.05987567216</v>
      </c>
      <c r="J94" s="666">
        <f t="shared" si="43"/>
        <v>11090471</v>
      </c>
      <c r="K94" s="680">
        <v>830</v>
      </c>
      <c r="L94" s="680">
        <f t="shared" si="47"/>
        <v>13362.013253012048</v>
      </c>
      <c r="M94" s="668">
        <v>14435</v>
      </c>
      <c r="N94" s="668"/>
      <c r="O94" s="567" t="s">
        <v>534</v>
      </c>
      <c r="P94" s="669">
        <v>40723</v>
      </c>
      <c r="Q94" s="670"/>
      <c r="R94" s="572">
        <f>K94/2</f>
        <v>415</v>
      </c>
      <c r="S94" s="496">
        <v>24005</v>
      </c>
      <c r="T94" s="495">
        <f t="shared" si="48"/>
        <v>9962075</v>
      </c>
      <c r="U94" s="537"/>
      <c r="V94" s="669"/>
      <c r="W94" s="296"/>
      <c r="X94" s="296"/>
      <c r="Y94" s="495">
        <f t="shared" si="49"/>
        <v>0</v>
      </c>
    </row>
    <row r="95" spans="1:25">
      <c r="A95" s="713">
        <f t="shared" si="46"/>
        <v>90</v>
      </c>
      <c r="B95" s="558" t="s">
        <v>727</v>
      </c>
      <c r="C95" s="673">
        <f t="shared" si="35"/>
        <v>8857845</v>
      </c>
      <c r="D95" s="674">
        <f t="shared" si="45"/>
        <v>351676.51882079249</v>
      </c>
      <c r="E95" s="674">
        <f t="shared" si="45"/>
        <v>87672.85763319477</v>
      </c>
      <c r="F95" s="674">
        <f t="shared" si="45"/>
        <v>406982.18984783191</v>
      </c>
      <c r="G95" s="674">
        <f t="shared" si="45"/>
        <v>46804.077647686965</v>
      </c>
      <c r="H95" s="674">
        <f t="shared" si="45"/>
        <v>21109.03474314481</v>
      </c>
      <c r="I95" s="674">
        <f t="shared" si="45"/>
        <v>89075.764082224166</v>
      </c>
      <c r="J95" s="666">
        <f t="shared" si="43"/>
        <v>9861165</v>
      </c>
      <c r="K95" s="674">
        <v>738</v>
      </c>
      <c r="L95" s="674">
        <f t="shared" si="47"/>
        <v>13362.012195121952</v>
      </c>
      <c r="M95" s="668">
        <v>14011</v>
      </c>
      <c r="N95" s="668"/>
      <c r="O95" s="567" t="s">
        <v>534</v>
      </c>
      <c r="P95" s="669">
        <v>40723</v>
      </c>
      <c r="Q95" s="670"/>
      <c r="R95" s="572">
        <f>K95/2</f>
        <v>369</v>
      </c>
      <c r="S95" s="496">
        <v>24005</v>
      </c>
      <c r="T95" s="495">
        <f t="shared" si="48"/>
        <v>8857845</v>
      </c>
      <c r="U95" s="537"/>
      <c r="V95" s="669"/>
      <c r="W95" s="296"/>
      <c r="X95" s="296"/>
      <c r="Y95" s="495">
        <f t="shared" si="49"/>
        <v>0</v>
      </c>
    </row>
    <row r="96" spans="1:25">
      <c r="A96" s="564">
        <f>IF(B96&lt;&gt;"",A95+1,"")</f>
        <v>91</v>
      </c>
      <c r="B96" s="566" t="s">
        <v>731</v>
      </c>
      <c r="C96" s="673">
        <f t="shared" si="35"/>
        <v>16462</v>
      </c>
      <c r="D96" s="680">
        <f t="shared" ref="D96:I105" si="50">IF($K$170&lt;&gt;0,D$170/$K$170*$K96,0)</f>
        <v>953.05289653331295</v>
      </c>
      <c r="E96" s="680">
        <f t="shared" si="50"/>
        <v>237.59582014415926</v>
      </c>
      <c r="F96" s="680">
        <f t="shared" si="50"/>
        <v>1102.9327638152627</v>
      </c>
      <c r="G96" s="680">
        <f t="shared" si="50"/>
        <v>126.84031882841997</v>
      </c>
      <c r="H96" s="680">
        <f t="shared" si="50"/>
        <v>57.206056214484576</v>
      </c>
      <c r="I96" s="680">
        <f t="shared" si="50"/>
        <v>241.39773464017389</v>
      </c>
      <c r="J96" s="666">
        <f t="shared" si="43"/>
        <v>19181</v>
      </c>
      <c r="K96" s="680">
        <v>2</v>
      </c>
      <c r="L96" s="680">
        <f t="shared" si="47"/>
        <v>9590.5</v>
      </c>
      <c r="M96" s="668">
        <v>12177</v>
      </c>
      <c r="N96" s="668"/>
      <c r="O96" s="556" t="s">
        <v>473</v>
      </c>
      <c r="P96" s="669">
        <v>40723</v>
      </c>
      <c r="Q96" s="670"/>
      <c r="R96" s="572">
        <f>K96/2</f>
        <v>1</v>
      </c>
      <c r="S96" s="496">
        <v>16462</v>
      </c>
      <c r="T96" s="495">
        <f t="shared" si="48"/>
        <v>16462</v>
      </c>
      <c r="U96" s="537"/>
      <c r="V96" s="669"/>
      <c r="W96" s="296"/>
      <c r="X96" s="296"/>
      <c r="Y96" s="495">
        <f t="shared" si="49"/>
        <v>0</v>
      </c>
    </row>
    <row r="97" spans="1:25">
      <c r="A97" s="564">
        <f t="shared" si="46"/>
        <v>92</v>
      </c>
      <c r="B97" s="566" t="s">
        <v>862</v>
      </c>
      <c r="C97" s="673">
        <f t="shared" si="35"/>
        <v>18390</v>
      </c>
      <c r="D97" s="680">
        <f t="shared" si="50"/>
        <v>953.05289653331295</v>
      </c>
      <c r="E97" s="680">
        <f t="shared" si="50"/>
        <v>237.59582014415926</v>
      </c>
      <c r="F97" s="680">
        <f t="shared" si="50"/>
        <v>1102.9327638152627</v>
      </c>
      <c r="G97" s="680">
        <f t="shared" si="50"/>
        <v>126.84031882841997</v>
      </c>
      <c r="H97" s="680">
        <f t="shared" si="50"/>
        <v>57.206056214484576</v>
      </c>
      <c r="I97" s="680">
        <f t="shared" si="50"/>
        <v>241.39773464017389</v>
      </c>
      <c r="J97" s="666">
        <f t="shared" si="43"/>
        <v>21109</v>
      </c>
      <c r="K97" s="680">
        <v>2</v>
      </c>
      <c r="L97" s="680">
        <f t="shared" si="47"/>
        <v>10554.5</v>
      </c>
      <c r="M97" s="668">
        <v>12562</v>
      </c>
      <c r="N97" s="668"/>
      <c r="O97" s="556" t="s">
        <v>539</v>
      </c>
      <c r="P97" s="669">
        <v>40723</v>
      </c>
      <c r="Q97" s="670"/>
      <c r="R97" s="572">
        <f>K97/2</f>
        <v>1</v>
      </c>
      <c r="S97" s="496">
        <v>18390</v>
      </c>
      <c r="T97" s="495">
        <f t="shared" si="48"/>
        <v>18390</v>
      </c>
      <c r="U97" s="537"/>
      <c r="V97" s="669"/>
      <c r="W97" s="296"/>
      <c r="X97" s="296"/>
      <c r="Y97" s="495">
        <f t="shared" si="49"/>
        <v>0</v>
      </c>
    </row>
    <row r="98" spans="1:25">
      <c r="A98" s="564">
        <f t="shared" si="46"/>
        <v>93</v>
      </c>
      <c r="B98" s="566" t="s">
        <v>862</v>
      </c>
      <c r="C98" s="673">
        <f t="shared" si="35"/>
        <v>334866</v>
      </c>
      <c r="D98" s="680">
        <f t="shared" si="50"/>
        <v>10007.055413599786</v>
      </c>
      <c r="E98" s="680">
        <f t="shared" si="50"/>
        <v>2494.7561115136723</v>
      </c>
      <c r="F98" s="680">
        <f t="shared" si="50"/>
        <v>11580.794020060257</v>
      </c>
      <c r="G98" s="680">
        <f t="shared" si="50"/>
        <v>1331.8233476984096</v>
      </c>
      <c r="H98" s="680">
        <f t="shared" si="50"/>
        <v>600.66359025208806</v>
      </c>
      <c r="I98" s="680">
        <f t="shared" si="50"/>
        <v>2534.6762137218257</v>
      </c>
      <c r="J98" s="666">
        <f t="shared" si="43"/>
        <v>363416</v>
      </c>
      <c r="K98" s="680">
        <v>21</v>
      </c>
      <c r="L98" s="680">
        <f t="shared" si="47"/>
        <v>17305.523809523809</v>
      </c>
      <c r="M98" s="668">
        <v>17837</v>
      </c>
      <c r="N98" s="668"/>
      <c r="O98" s="567" t="s">
        <v>573</v>
      </c>
      <c r="P98" s="669">
        <v>40723</v>
      </c>
      <c r="Q98" s="670"/>
      <c r="R98" s="572">
        <f>K98</f>
        <v>21</v>
      </c>
      <c r="S98" s="496">
        <v>15946</v>
      </c>
      <c r="T98" s="495">
        <f t="shared" si="48"/>
        <v>334866</v>
      </c>
      <c r="U98" s="537"/>
      <c r="V98" s="669"/>
      <c r="W98" s="296"/>
      <c r="X98" s="296"/>
      <c r="Y98" s="495">
        <f t="shared" si="49"/>
        <v>0</v>
      </c>
    </row>
    <row r="99" spans="1:25">
      <c r="A99" s="564">
        <f t="shared" si="46"/>
        <v>94</v>
      </c>
      <c r="B99" s="566" t="s">
        <v>869</v>
      </c>
      <c r="C99" s="673">
        <f t="shared" si="35"/>
        <v>526218</v>
      </c>
      <c r="D99" s="680">
        <f t="shared" si="50"/>
        <v>15725.372792799664</v>
      </c>
      <c r="E99" s="680">
        <f t="shared" si="50"/>
        <v>3920.3310323786277</v>
      </c>
      <c r="F99" s="680">
        <f t="shared" si="50"/>
        <v>18198.390602951833</v>
      </c>
      <c r="G99" s="680">
        <f t="shared" si="50"/>
        <v>2092.8652606689293</v>
      </c>
      <c r="H99" s="680">
        <f t="shared" si="50"/>
        <v>943.89992753899548</v>
      </c>
      <c r="I99" s="680">
        <f t="shared" si="50"/>
        <v>3983.062621562869</v>
      </c>
      <c r="J99" s="666">
        <f t="shared" si="43"/>
        <v>571082</v>
      </c>
      <c r="K99" s="680">
        <v>33</v>
      </c>
      <c r="L99" s="680">
        <f t="shared" si="47"/>
        <v>17305.515151515152</v>
      </c>
      <c r="M99" s="668">
        <v>17008</v>
      </c>
      <c r="N99" s="668"/>
      <c r="O99" s="567" t="s">
        <v>573</v>
      </c>
      <c r="P99" s="669">
        <v>40723</v>
      </c>
      <c r="Q99" s="670"/>
      <c r="R99" s="572">
        <f>K99</f>
        <v>33</v>
      </c>
      <c r="S99" s="496">
        <v>15946</v>
      </c>
      <c r="T99" s="495">
        <f t="shared" si="48"/>
        <v>526218</v>
      </c>
      <c r="U99" s="537"/>
      <c r="V99" s="669"/>
      <c r="W99" s="296"/>
      <c r="X99" s="296"/>
      <c r="Y99" s="495">
        <f t="shared" si="49"/>
        <v>0</v>
      </c>
    </row>
    <row r="100" spans="1:25">
      <c r="A100" s="564">
        <f t="shared" si="46"/>
        <v>95</v>
      </c>
      <c r="B100" s="566" t="s">
        <v>718</v>
      </c>
      <c r="C100" s="673">
        <f t="shared" si="35"/>
        <v>6580700</v>
      </c>
      <c r="D100" s="680">
        <f t="shared" si="50"/>
        <v>185845.31482399601</v>
      </c>
      <c r="E100" s="680">
        <f t="shared" si="50"/>
        <v>46331.184928111055</v>
      </c>
      <c r="F100" s="680">
        <f t="shared" si="50"/>
        <v>215071.88894397623</v>
      </c>
      <c r="G100" s="680">
        <f t="shared" si="50"/>
        <v>24733.862171541892</v>
      </c>
      <c r="H100" s="680">
        <f t="shared" si="50"/>
        <v>11155.180961824492</v>
      </c>
      <c r="I100" s="680">
        <f t="shared" si="50"/>
        <v>47072.558254833908</v>
      </c>
      <c r="J100" s="666">
        <f t="shared" si="43"/>
        <v>7110910</v>
      </c>
      <c r="K100" s="680">
        <v>390</v>
      </c>
      <c r="L100" s="680">
        <f t="shared" si="47"/>
        <v>18233.102564102563</v>
      </c>
      <c r="M100" s="668">
        <v>19820</v>
      </c>
      <c r="N100" s="668"/>
      <c r="O100" s="567" t="s">
        <v>572</v>
      </c>
      <c r="P100" s="669">
        <v>40723</v>
      </c>
      <c r="Q100" s="670"/>
      <c r="R100" s="572">
        <v>395</v>
      </c>
      <c r="S100" s="496">
        <v>16660</v>
      </c>
      <c r="T100" s="495">
        <f t="shared" si="48"/>
        <v>6580700</v>
      </c>
      <c r="U100" s="537"/>
      <c r="V100" s="669"/>
      <c r="W100" s="296"/>
      <c r="X100" s="296"/>
      <c r="Y100" s="495">
        <f t="shared" si="49"/>
        <v>0</v>
      </c>
    </row>
    <row r="101" spans="1:25">
      <c r="A101" s="564">
        <f>IF(B101&lt;&gt;"",A100+1,"")</f>
        <v>96</v>
      </c>
      <c r="B101" s="566" t="s">
        <v>722</v>
      </c>
      <c r="C101" s="673">
        <f t="shared" si="35"/>
        <v>3473774</v>
      </c>
      <c r="D101" s="680">
        <f t="shared" si="50"/>
        <v>229685.74806452842</v>
      </c>
      <c r="E101" s="680">
        <f t="shared" si="50"/>
        <v>57260.592654742381</v>
      </c>
      <c r="F101" s="680">
        <f t="shared" si="50"/>
        <v>265806.79607947828</v>
      </c>
      <c r="G101" s="680">
        <f t="shared" si="50"/>
        <v>30568.516837649211</v>
      </c>
      <c r="H101" s="680">
        <f t="shared" si="50"/>
        <v>13786.659547690782</v>
      </c>
      <c r="I101" s="680">
        <f t="shared" si="50"/>
        <v>58176.854048281908</v>
      </c>
      <c r="J101" s="666">
        <f t="shared" si="43"/>
        <v>4129059</v>
      </c>
      <c r="K101" s="680">
        <v>482</v>
      </c>
      <c r="L101" s="680">
        <f t="shared" si="47"/>
        <v>8566.5124481327803</v>
      </c>
      <c r="M101" s="668">
        <v>10600</v>
      </c>
      <c r="N101" s="668"/>
      <c r="O101" s="556" t="s">
        <v>612</v>
      </c>
      <c r="P101" s="669">
        <v>40723</v>
      </c>
      <c r="Q101" s="670"/>
      <c r="R101" s="572">
        <f>K101</f>
        <v>482</v>
      </c>
      <c r="S101" s="496">
        <v>7207</v>
      </c>
      <c r="T101" s="495">
        <f t="shared" si="48"/>
        <v>3473774</v>
      </c>
      <c r="U101" s="537"/>
      <c r="V101" s="669"/>
      <c r="W101" s="296"/>
      <c r="X101" s="296"/>
      <c r="Y101" s="495">
        <f t="shared" si="49"/>
        <v>0</v>
      </c>
    </row>
    <row r="102" spans="1:25">
      <c r="A102" s="713">
        <f t="shared" si="46"/>
        <v>97</v>
      </c>
      <c r="B102" s="558" t="s">
        <v>862</v>
      </c>
      <c r="C102" s="673">
        <f t="shared" si="35"/>
        <v>788424</v>
      </c>
      <c r="D102" s="674">
        <f t="shared" si="50"/>
        <v>26685.481102932761</v>
      </c>
      <c r="E102" s="674">
        <f t="shared" si="50"/>
        <v>6652.6829640364595</v>
      </c>
      <c r="F102" s="674">
        <f t="shared" si="50"/>
        <v>30882.117386827354</v>
      </c>
      <c r="G102" s="674">
        <f t="shared" si="50"/>
        <v>3551.528927195759</v>
      </c>
      <c r="H102" s="674">
        <f t="shared" si="50"/>
        <v>1601.7695740055681</v>
      </c>
      <c r="I102" s="674">
        <f t="shared" si="50"/>
        <v>6759.136569924869</v>
      </c>
      <c r="J102" s="666">
        <f t="shared" si="43"/>
        <v>864557</v>
      </c>
      <c r="K102" s="674">
        <v>56</v>
      </c>
      <c r="L102" s="674">
        <f t="shared" si="47"/>
        <v>15438.517857142857</v>
      </c>
      <c r="M102" s="668">
        <v>16713</v>
      </c>
      <c r="N102" s="668"/>
      <c r="O102" s="566" t="s">
        <v>358</v>
      </c>
      <c r="P102" s="669">
        <v>40723</v>
      </c>
      <c r="Q102" s="670"/>
      <c r="R102" s="572">
        <f>K102</f>
        <v>56</v>
      </c>
      <c r="S102" s="496">
        <v>14079</v>
      </c>
      <c r="T102" s="495">
        <f t="shared" si="48"/>
        <v>788424</v>
      </c>
      <c r="U102" s="537"/>
      <c r="V102" s="669"/>
      <c r="W102" s="296"/>
      <c r="X102" s="296"/>
      <c r="Y102" s="495">
        <f t="shared" si="49"/>
        <v>0</v>
      </c>
    </row>
    <row r="103" spans="1:25">
      <c r="A103" s="564">
        <f>IF(B103&lt;&gt;"",A102+1,"")</f>
        <v>98</v>
      </c>
      <c r="B103" s="566" t="s">
        <v>870</v>
      </c>
      <c r="C103" s="673">
        <f t="shared" si="35"/>
        <v>1223278</v>
      </c>
      <c r="D103" s="680">
        <f t="shared" si="50"/>
        <v>96734.868998131264</v>
      </c>
      <c r="E103" s="680">
        <f t="shared" si="50"/>
        <v>24115.975744632164</v>
      </c>
      <c r="F103" s="680">
        <f t="shared" si="50"/>
        <v>111947.67552724916</v>
      </c>
      <c r="G103" s="680">
        <f t="shared" si="50"/>
        <v>12874.292361084626</v>
      </c>
      <c r="H103" s="680">
        <f t="shared" si="50"/>
        <v>5806.4147057701848</v>
      </c>
      <c r="I103" s="680">
        <f t="shared" si="50"/>
        <v>24501.870065977651</v>
      </c>
      <c r="J103" s="666">
        <f t="shared" si="43"/>
        <v>1499259</v>
      </c>
      <c r="K103" s="680">
        <v>203</v>
      </c>
      <c r="L103" s="680">
        <f t="shared" si="47"/>
        <v>7385.5123152709357</v>
      </c>
      <c r="M103" s="668">
        <v>8450</v>
      </c>
      <c r="N103" s="668"/>
      <c r="O103" s="566" t="s">
        <v>456</v>
      </c>
      <c r="P103" s="669">
        <v>40723</v>
      </c>
      <c r="Q103" s="670"/>
      <c r="R103" s="572">
        <f>K103</f>
        <v>203</v>
      </c>
      <c r="S103" s="496">
        <v>6026</v>
      </c>
      <c r="T103" s="495">
        <f t="shared" si="48"/>
        <v>1223278</v>
      </c>
      <c r="U103" s="537"/>
      <c r="V103" s="669"/>
      <c r="W103" s="296"/>
      <c r="X103" s="296"/>
      <c r="Y103" s="495">
        <f t="shared" si="49"/>
        <v>0</v>
      </c>
    </row>
    <row r="104" spans="1:25">
      <c r="A104" s="564">
        <f t="shared" si="46"/>
        <v>99</v>
      </c>
      <c r="B104" s="566" t="s">
        <v>871</v>
      </c>
      <c r="C104" s="673">
        <f t="shared" si="35"/>
        <v>4449</v>
      </c>
      <c r="D104" s="680">
        <f t="shared" si="50"/>
        <v>476.52644826665647</v>
      </c>
      <c r="E104" s="680">
        <f t="shared" si="50"/>
        <v>118.79791007207963</v>
      </c>
      <c r="F104" s="680">
        <f t="shared" si="50"/>
        <v>551.46638190763133</v>
      </c>
      <c r="G104" s="680">
        <f t="shared" si="50"/>
        <v>63.420159414209984</v>
      </c>
      <c r="H104" s="680">
        <f t="shared" si="50"/>
        <v>28.603028107242288</v>
      </c>
      <c r="I104" s="680">
        <f t="shared" si="50"/>
        <v>120.69886732008695</v>
      </c>
      <c r="J104" s="666">
        <f t="shared" si="43"/>
        <v>5809</v>
      </c>
      <c r="K104" s="680">
        <v>1</v>
      </c>
      <c r="L104" s="680">
        <f t="shared" si="47"/>
        <v>5809</v>
      </c>
      <c r="M104" s="668">
        <v>5778</v>
      </c>
      <c r="N104" s="668"/>
      <c r="O104" s="556" t="s">
        <v>364</v>
      </c>
      <c r="P104" s="669">
        <v>40723</v>
      </c>
      <c r="Q104" s="670"/>
      <c r="R104" s="572">
        <f>K104</f>
        <v>1</v>
      </c>
      <c r="S104" s="678">
        <v>4449</v>
      </c>
      <c r="T104" s="495">
        <f t="shared" si="48"/>
        <v>4449</v>
      </c>
      <c r="U104" s="537"/>
      <c r="V104" s="669"/>
      <c r="W104" s="296"/>
      <c r="X104" s="296"/>
      <c r="Y104" s="495">
        <f t="shared" si="49"/>
        <v>0</v>
      </c>
    </row>
    <row r="105" spans="1:25">
      <c r="A105" s="564">
        <f t="shared" si="46"/>
        <v>100</v>
      </c>
      <c r="B105" s="566" t="s">
        <v>724</v>
      </c>
      <c r="C105" s="673">
        <f t="shared" si="35"/>
        <v>8231</v>
      </c>
      <c r="D105" s="680">
        <f t="shared" si="50"/>
        <v>476.52644826665647</v>
      </c>
      <c r="E105" s="680">
        <f t="shared" si="50"/>
        <v>118.79791007207963</v>
      </c>
      <c r="F105" s="680">
        <f t="shared" si="50"/>
        <v>551.46638190763133</v>
      </c>
      <c r="G105" s="680">
        <f t="shared" si="50"/>
        <v>63.420159414209984</v>
      </c>
      <c r="H105" s="680">
        <f t="shared" si="50"/>
        <v>28.603028107242288</v>
      </c>
      <c r="I105" s="680">
        <f t="shared" si="50"/>
        <v>120.69886732008695</v>
      </c>
      <c r="J105" s="666">
        <f t="shared" si="43"/>
        <v>9591</v>
      </c>
      <c r="K105" s="680">
        <v>1</v>
      </c>
      <c r="L105" s="680">
        <f t="shared" si="47"/>
        <v>9591</v>
      </c>
      <c r="M105" s="668">
        <v>10255</v>
      </c>
      <c r="N105" s="668"/>
      <c r="O105" s="556" t="s">
        <v>473</v>
      </c>
      <c r="P105" s="669">
        <v>40723</v>
      </c>
      <c r="Q105" s="670"/>
      <c r="R105" s="572">
        <f>K105/2</f>
        <v>0.5</v>
      </c>
      <c r="S105" s="496">
        <v>16462</v>
      </c>
      <c r="T105" s="495">
        <f t="shared" si="48"/>
        <v>8231</v>
      </c>
      <c r="U105" s="537"/>
      <c r="V105" s="669"/>
      <c r="W105" s="296"/>
      <c r="X105" s="296"/>
      <c r="Y105" s="495">
        <f t="shared" si="49"/>
        <v>0</v>
      </c>
    </row>
    <row r="106" spans="1:25">
      <c r="A106" s="564">
        <f t="shared" si="46"/>
        <v>101</v>
      </c>
      <c r="B106" s="566" t="s">
        <v>872</v>
      </c>
      <c r="C106" s="673">
        <f t="shared" si="35"/>
        <v>9184</v>
      </c>
      <c r="D106" s="680">
        <f t="shared" ref="D106:I115" si="51">IF($K$170&lt;&gt;0,D$170/$K$170*$K106,0)</f>
        <v>953.05289653331295</v>
      </c>
      <c r="E106" s="680">
        <f t="shared" si="51"/>
        <v>237.59582014415926</v>
      </c>
      <c r="F106" s="680">
        <f t="shared" si="51"/>
        <v>1102.9327638152627</v>
      </c>
      <c r="G106" s="680">
        <f t="shared" si="51"/>
        <v>126.84031882841997</v>
      </c>
      <c r="H106" s="680">
        <f t="shared" si="51"/>
        <v>57.206056214484576</v>
      </c>
      <c r="I106" s="680">
        <f t="shared" si="51"/>
        <v>241.39773464017389</v>
      </c>
      <c r="J106" s="666">
        <f t="shared" si="43"/>
        <v>11903</v>
      </c>
      <c r="K106" s="680">
        <v>2</v>
      </c>
      <c r="L106" s="680">
        <f t="shared" si="47"/>
        <v>5951.5</v>
      </c>
      <c r="M106" s="668">
        <v>7089</v>
      </c>
      <c r="N106" s="668"/>
      <c r="O106" s="556" t="s">
        <v>455</v>
      </c>
      <c r="P106" s="669">
        <v>40723</v>
      </c>
      <c r="Q106" s="670"/>
      <c r="R106" s="572">
        <f>K106</f>
        <v>2</v>
      </c>
      <c r="S106" s="496">
        <v>4592</v>
      </c>
      <c r="T106" s="495">
        <f t="shared" si="48"/>
        <v>9184</v>
      </c>
      <c r="U106" s="537"/>
      <c r="V106" s="669"/>
      <c r="W106" s="296"/>
      <c r="X106" s="296"/>
      <c r="Y106" s="495">
        <f t="shared" si="49"/>
        <v>0</v>
      </c>
    </row>
    <row r="107" spans="1:25">
      <c r="A107" s="564">
        <f t="shared" si="46"/>
        <v>102</v>
      </c>
      <c r="B107" s="566" t="s">
        <v>735</v>
      </c>
      <c r="C107" s="673">
        <f t="shared" si="35"/>
        <v>13447</v>
      </c>
      <c r="D107" s="680">
        <f t="shared" si="51"/>
        <v>476.52644826665647</v>
      </c>
      <c r="E107" s="680">
        <f t="shared" si="51"/>
        <v>118.79791007207963</v>
      </c>
      <c r="F107" s="680">
        <f t="shared" si="51"/>
        <v>551.46638190763133</v>
      </c>
      <c r="G107" s="680">
        <f t="shared" si="51"/>
        <v>63.420159414209984</v>
      </c>
      <c r="H107" s="680">
        <f t="shared" si="51"/>
        <v>28.603028107242288</v>
      </c>
      <c r="I107" s="680">
        <f t="shared" si="51"/>
        <v>120.69886732008695</v>
      </c>
      <c r="J107" s="666">
        <f t="shared" si="43"/>
        <v>14807</v>
      </c>
      <c r="K107" s="680">
        <v>1</v>
      </c>
      <c r="L107" s="680">
        <f t="shared" si="47"/>
        <v>14807</v>
      </c>
      <c r="M107" s="668">
        <v>15135</v>
      </c>
      <c r="N107" s="668"/>
      <c r="O107" s="567" t="s">
        <v>576</v>
      </c>
      <c r="P107" s="669">
        <v>40723</v>
      </c>
      <c r="Q107" s="670"/>
      <c r="R107" s="572">
        <f>K107/2</f>
        <v>0.5</v>
      </c>
      <c r="S107" s="496">
        <v>26894</v>
      </c>
      <c r="T107" s="495">
        <f t="shared" si="48"/>
        <v>13447</v>
      </c>
      <c r="U107" s="537"/>
      <c r="V107" s="669"/>
      <c r="W107" s="296"/>
      <c r="X107" s="296"/>
      <c r="Y107" s="495">
        <f t="shared" si="49"/>
        <v>0</v>
      </c>
    </row>
    <row r="108" spans="1:25">
      <c r="A108" s="564">
        <f t="shared" si="46"/>
        <v>103</v>
      </c>
      <c r="B108" s="566" t="s">
        <v>873</v>
      </c>
      <c r="C108" s="673">
        <f t="shared" si="35"/>
        <v>121023</v>
      </c>
      <c r="D108" s="680">
        <f t="shared" si="51"/>
        <v>4288.7380343999084</v>
      </c>
      <c r="E108" s="680">
        <f t="shared" si="51"/>
        <v>1069.1811906487167</v>
      </c>
      <c r="F108" s="680">
        <f t="shared" si="51"/>
        <v>4963.197437168682</v>
      </c>
      <c r="G108" s="680">
        <f t="shared" si="51"/>
        <v>570.78143472788986</v>
      </c>
      <c r="H108" s="680">
        <f t="shared" si="51"/>
        <v>257.42725296518057</v>
      </c>
      <c r="I108" s="680">
        <f t="shared" si="51"/>
        <v>1086.2898058807825</v>
      </c>
      <c r="J108" s="666">
        <f t="shared" si="43"/>
        <v>133259</v>
      </c>
      <c r="K108" s="680">
        <v>9</v>
      </c>
      <c r="L108" s="680">
        <f t="shared" si="47"/>
        <v>14806.555555555555</v>
      </c>
      <c r="M108" s="668">
        <v>15056</v>
      </c>
      <c r="N108" s="668"/>
      <c r="O108" s="567" t="s">
        <v>576</v>
      </c>
      <c r="P108" s="669">
        <v>40723</v>
      </c>
      <c r="Q108" s="670"/>
      <c r="R108" s="572">
        <f>K108/2</f>
        <v>4.5</v>
      </c>
      <c r="S108" s="496">
        <v>26894</v>
      </c>
      <c r="T108" s="495">
        <f t="shared" si="48"/>
        <v>121023</v>
      </c>
      <c r="U108" s="537"/>
      <c r="V108" s="669"/>
      <c r="W108" s="296"/>
      <c r="X108" s="296"/>
      <c r="Y108" s="495">
        <f t="shared" si="49"/>
        <v>0</v>
      </c>
    </row>
    <row r="109" spans="1:25">
      <c r="A109" s="564">
        <f t="shared" si="46"/>
        <v>104</v>
      </c>
      <c r="B109" s="566" t="s">
        <v>874</v>
      </c>
      <c r="C109" s="673">
        <f t="shared" si="35"/>
        <v>1782084</v>
      </c>
      <c r="D109" s="680">
        <f t="shared" si="51"/>
        <v>138669.19644559704</v>
      </c>
      <c r="E109" s="680">
        <f t="shared" si="51"/>
        <v>34570.191830975171</v>
      </c>
      <c r="F109" s="680">
        <f t="shared" si="51"/>
        <v>160476.71713512071</v>
      </c>
      <c r="G109" s="680">
        <f t="shared" si="51"/>
        <v>18455.266389535107</v>
      </c>
      <c r="H109" s="680">
        <f t="shared" si="51"/>
        <v>8323.4811792075052</v>
      </c>
      <c r="I109" s="680">
        <f t="shared" si="51"/>
        <v>35123.370390145305</v>
      </c>
      <c r="J109" s="666">
        <f t="shared" si="43"/>
        <v>2177702</v>
      </c>
      <c r="K109" s="680">
        <v>291</v>
      </c>
      <c r="L109" s="680">
        <f t="shared" si="47"/>
        <v>7483.5120274914088</v>
      </c>
      <c r="M109" s="668">
        <v>9880</v>
      </c>
      <c r="N109" s="668"/>
      <c r="O109" s="556" t="s">
        <v>362</v>
      </c>
      <c r="P109" s="669">
        <v>40723</v>
      </c>
      <c r="Q109" s="670"/>
      <c r="R109" s="572">
        <f>K109</f>
        <v>291</v>
      </c>
      <c r="S109" s="496">
        <v>6124</v>
      </c>
      <c r="T109" s="495">
        <f t="shared" si="48"/>
        <v>1782084</v>
      </c>
      <c r="U109" s="537"/>
      <c r="V109" s="669"/>
      <c r="W109" s="296"/>
      <c r="X109" s="296"/>
      <c r="Y109" s="495">
        <f t="shared" si="49"/>
        <v>0</v>
      </c>
    </row>
    <row r="110" spans="1:25">
      <c r="A110" s="564">
        <f t="shared" si="46"/>
        <v>105</v>
      </c>
      <c r="B110" s="566" t="s">
        <v>862</v>
      </c>
      <c r="C110" s="673">
        <f t="shared" si="35"/>
        <v>6124</v>
      </c>
      <c r="D110" s="680">
        <f t="shared" si="51"/>
        <v>476.52644826665647</v>
      </c>
      <c r="E110" s="680">
        <f t="shared" si="51"/>
        <v>118.79791007207963</v>
      </c>
      <c r="F110" s="680">
        <f t="shared" si="51"/>
        <v>551.46638190763133</v>
      </c>
      <c r="G110" s="680">
        <f t="shared" si="51"/>
        <v>63.420159414209984</v>
      </c>
      <c r="H110" s="680">
        <f t="shared" si="51"/>
        <v>28.603028107242288</v>
      </c>
      <c r="I110" s="680">
        <f t="shared" si="51"/>
        <v>120.69886732008695</v>
      </c>
      <c r="J110" s="666">
        <f t="shared" si="43"/>
        <v>7484</v>
      </c>
      <c r="K110" s="680">
        <v>1</v>
      </c>
      <c r="L110" s="680">
        <f t="shared" si="47"/>
        <v>7484</v>
      </c>
      <c r="M110" s="668">
        <v>9259</v>
      </c>
      <c r="N110" s="668"/>
      <c r="O110" s="556" t="s">
        <v>362</v>
      </c>
      <c r="P110" s="669">
        <v>40723</v>
      </c>
      <c r="Q110" s="670"/>
      <c r="R110" s="572">
        <f>K110</f>
        <v>1</v>
      </c>
      <c r="S110" s="496">
        <v>6124</v>
      </c>
      <c r="T110" s="495">
        <f t="shared" si="48"/>
        <v>6124</v>
      </c>
      <c r="U110" s="537"/>
      <c r="V110" s="669"/>
      <c r="W110" s="296"/>
      <c r="X110" s="296"/>
      <c r="Y110" s="495">
        <f t="shared" si="49"/>
        <v>0</v>
      </c>
    </row>
    <row r="111" spans="1:25">
      <c r="A111" s="564">
        <f t="shared" si="46"/>
        <v>106</v>
      </c>
      <c r="B111" s="566" t="s">
        <v>717</v>
      </c>
      <c r="C111" s="673">
        <f t="shared" si="35"/>
        <v>1913520</v>
      </c>
      <c r="D111" s="680">
        <f t="shared" si="51"/>
        <v>56706.647343732118</v>
      </c>
      <c r="E111" s="680">
        <f t="shared" si="51"/>
        <v>14136.951298577476</v>
      </c>
      <c r="F111" s="680">
        <f t="shared" si="51"/>
        <v>65624.499447008129</v>
      </c>
      <c r="G111" s="680">
        <f t="shared" si="51"/>
        <v>7546.9989702909879</v>
      </c>
      <c r="H111" s="680">
        <f t="shared" si="51"/>
        <v>3403.7603447618321</v>
      </c>
      <c r="I111" s="680">
        <f t="shared" si="51"/>
        <v>14363.165211090347</v>
      </c>
      <c r="J111" s="666">
        <f t="shared" si="43"/>
        <v>2075302</v>
      </c>
      <c r="K111" s="680">
        <v>119</v>
      </c>
      <c r="L111" s="680">
        <f t="shared" si="47"/>
        <v>17439.512605042019</v>
      </c>
      <c r="M111" s="668">
        <v>17330</v>
      </c>
      <c r="N111" s="668"/>
      <c r="O111" s="567" t="s">
        <v>573</v>
      </c>
      <c r="P111" s="669">
        <v>40723</v>
      </c>
      <c r="Q111" s="670"/>
      <c r="R111" s="572">
        <v>120</v>
      </c>
      <c r="S111" s="496">
        <v>15946</v>
      </c>
      <c r="T111" s="495">
        <f t="shared" si="48"/>
        <v>1913520</v>
      </c>
      <c r="U111" s="537"/>
      <c r="V111" s="669"/>
      <c r="W111" s="296"/>
      <c r="X111" s="296"/>
      <c r="Y111" s="495">
        <f t="shared" si="49"/>
        <v>0</v>
      </c>
    </row>
    <row r="112" spans="1:25">
      <c r="A112" s="564">
        <f t="shared" si="46"/>
        <v>107</v>
      </c>
      <c r="B112" s="566" t="s">
        <v>852</v>
      </c>
      <c r="C112" s="673">
        <f t="shared" si="35"/>
        <v>3400544</v>
      </c>
      <c r="D112" s="680">
        <f t="shared" si="51"/>
        <v>144864.04027306355</v>
      </c>
      <c r="E112" s="680">
        <f t="shared" si="51"/>
        <v>36114.564661912205</v>
      </c>
      <c r="F112" s="680">
        <f t="shared" si="51"/>
        <v>167645.78009991994</v>
      </c>
      <c r="G112" s="680">
        <f t="shared" si="51"/>
        <v>19279.728461919836</v>
      </c>
      <c r="H112" s="680">
        <f t="shared" si="51"/>
        <v>8695.3205446016564</v>
      </c>
      <c r="I112" s="680">
        <f t="shared" si="51"/>
        <v>36692.455665306436</v>
      </c>
      <c r="J112" s="666">
        <f t="shared" ref="J112:J143" si="52">ROUND(SUM(C112:I112),0)</f>
        <v>3813836</v>
      </c>
      <c r="K112" s="680">
        <v>304</v>
      </c>
      <c r="L112" s="680">
        <f t="shared" si="47"/>
        <v>12545.513157894737</v>
      </c>
      <c r="M112" s="668">
        <v>13172</v>
      </c>
      <c r="N112" s="668"/>
      <c r="O112" s="567" t="s">
        <v>533</v>
      </c>
      <c r="P112" s="669">
        <v>40723</v>
      </c>
      <c r="Q112" s="670"/>
      <c r="R112" s="572">
        <f>K112/2</f>
        <v>152</v>
      </c>
      <c r="S112" s="496">
        <v>22372</v>
      </c>
      <c r="T112" s="495">
        <f t="shared" si="48"/>
        <v>3400544</v>
      </c>
      <c r="U112" s="537"/>
      <c r="V112" s="669"/>
      <c r="W112" s="296"/>
      <c r="X112" s="296"/>
      <c r="Y112" s="495">
        <f t="shared" si="49"/>
        <v>0</v>
      </c>
    </row>
    <row r="113" spans="1:25">
      <c r="A113" s="564">
        <f t="shared" si="46"/>
        <v>108</v>
      </c>
      <c r="B113" s="566" t="s">
        <v>851</v>
      </c>
      <c r="C113" s="673">
        <f t="shared" si="35"/>
        <v>464100</v>
      </c>
      <c r="D113" s="680">
        <f t="shared" si="51"/>
        <v>30974.219137332671</v>
      </c>
      <c r="E113" s="680">
        <f t="shared" si="51"/>
        <v>7721.8641546851759</v>
      </c>
      <c r="F113" s="680">
        <f t="shared" si="51"/>
        <v>35845.314823996036</v>
      </c>
      <c r="G113" s="680">
        <f t="shared" si="51"/>
        <v>4122.310361923649</v>
      </c>
      <c r="H113" s="680">
        <f t="shared" si="51"/>
        <v>1859.1968269707488</v>
      </c>
      <c r="I113" s="680">
        <f t="shared" si="51"/>
        <v>7845.4263758056513</v>
      </c>
      <c r="J113" s="666">
        <f t="shared" si="52"/>
        <v>552468</v>
      </c>
      <c r="K113" s="680">
        <v>65</v>
      </c>
      <c r="L113" s="680">
        <f t="shared" si="47"/>
        <v>8499.5076923076922</v>
      </c>
      <c r="M113" s="668">
        <v>10433</v>
      </c>
      <c r="N113" s="668"/>
      <c r="O113" s="567" t="s">
        <v>581</v>
      </c>
      <c r="P113" s="669">
        <v>40723</v>
      </c>
      <c r="Q113" s="670"/>
      <c r="R113" s="572">
        <f>K113/2</f>
        <v>32.5</v>
      </c>
      <c r="S113" s="496">
        <v>14280</v>
      </c>
      <c r="T113" s="495">
        <f t="shared" si="48"/>
        <v>464100</v>
      </c>
      <c r="U113" s="537"/>
      <c r="V113" s="669"/>
      <c r="W113" s="296"/>
      <c r="X113" s="296"/>
      <c r="Y113" s="495">
        <f t="shared" si="49"/>
        <v>0</v>
      </c>
    </row>
    <row r="114" spans="1:25">
      <c r="A114" s="564">
        <f t="shared" si="46"/>
        <v>109</v>
      </c>
      <c r="B114" s="566" t="s">
        <v>873</v>
      </c>
      <c r="C114" s="673">
        <f t="shared" si="35"/>
        <v>430304</v>
      </c>
      <c r="D114" s="680">
        <f t="shared" si="51"/>
        <v>15248.846344533007</v>
      </c>
      <c r="E114" s="680">
        <f t="shared" si="51"/>
        <v>3801.5331223065482</v>
      </c>
      <c r="F114" s="680">
        <f t="shared" si="51"/>
        <v>17646.924221044203</v>
      </c>
      <c r="G114" s="680">
        <f t="shared" si="51"/>
        <v>2029.4451012547195</v>
      </c>
      <c r="H114" s="680">
        <f t="shared" si="51"/>
        <v>915.29689943175322</v>
      </c>
      <c r="I114" s="680">
        <f t="shared" si="51"/>
        <v>3862.3637542427823</v>
      </c>
      <c r="J114" s="666">
        <f t="shared" si="52"/>
        <v>473808</v>
      </c>
      <c r="K114" s="680">
        <v>32</v>
      </c>
      <c r="L114" s="680">
        <f t="shared" si="47"/>
        <v>14806.5</v>
      </c>
      <c r="M114" s="668">
        <v>15175</v>
      </c>
      <c r="N114" s="668"/>
      <c r="O114" s="567" t="s">
        <v>576</v>
      </c>
      <c r="P114" s="669">
        <v>40723</v>
      </c>
      <c r="Q114" s="670"/>
      <c r="R114" s="572">
        <f t="shared" ref="R114" si="53">K114/2</f>
        <v>16</v>
      </c>
      <c r="S114" s="496">
        <v>26894</v>
      </c>
      <c r="T114" s="495">
        <f t="shared" si="48"/>
        <v>430304</v>
      </c>
      <c r="U114" s="537"/>
      <c r="V114" s="669"/>
      <c r="W114" s="296"/>
      <c r="X114" s="296"/>
      <c r="Y114" s="495">
        <f t="shared" si="49"/>
        <v>0</v>
      </c>
    </row>
    <row r="115" spans="1:25">
      <c r="A115" s="564">
        <f t="shared" si="46"/>
        <v>110</v>
      </c>
      <c r="B115" s="566" t="s">
        <v>726</v>
      </c>
      <c r="C115" s="673">
        <f t="shared" si="35"/>
        <v>71132</v>
      </c>
      <c r="D115" s="680">
        <f t="shared" si="51"/>
        <v>2382.6322413332823</v>
      </c>
      <c r="E115" s="680">
        <f t="shared" si="51"/>
        <v>593.9895503603982</v>
      </c>
      <c r="F115" s="680">
        <f t="shared" si="51"/>
        <v>2757.3319095381567</v>
      </c>
      <c r="G115" s="680">
        <f t="shared" si="51"/>
        <v>317.1007970710499</v>
      </c>
      <c r="H115" s="680">
        <f t="shared" si="51"/>
        <v>143.01514053621145</v>
      </c>
      <c r="I115" s="680">
        <f t="shared" si="51"/>
        <v>603.49433660043474</v>
      </c>
      <c r="J115" s="666">
        <f t="shared" si="52"/>
        <v>77930</v>
      </c>
      <c r="K115" s="680">
        <v>5</v>
      </c>
      <c r="L115" s="680">
        <f t="shared" si="47"/>
        <v>15586</v>
      </c>
      <c r="M115" s="668">
        <v>15756</v>
      </c>
      <c r="N115" s="668"/>
      <c r="O115" s="556" t="s">
        <v>560</v>
      </c>
      <c r="P115" s="669">
        <v>40723</v>
      </c>
      <c r="Q115" s="670"/>
      <c r="R115" s="572">
        <v>2</v>
      </c>
      <c r="S115" s="496">
        <v>35566</v>
      </c>
      <c r="T115" s="495">
        <f t="shared" si="48"/>
        <v>71132</v>
      </c>
      <c r="U115" s="537"/>
      <c r="V115" s="669"/>
      <c r="W115" s="296"/>
      <c r="X115" s="296"/>
      <c r="Y115" s="495">
        <f t="shared" si="49"/>
        <v>0</v>
      </c>
    </row>
    <row r="116" spans="1:25">
      <c r="A116" s="564">
        <f t="shared" si="46"/>
        <v>111</v>
      </c>
      <c r="B116" s="566" t="s">
        <v>861</v>
      </c>
      <c r="C116" s="673">
        <f t="shared" si="35"/>
        <v>960200</v>
      </c>
      <c r="D116" s="680">
        <f t="shared" ref="D116:I125" si="54">IF($K$170&lt;&gt;0,D$170/$K$170*$K116,0)</f>
        <v>38122.115861332517</v>
      </c>
      <c r="E116" s="680">
        <f t="shared" si="54"/>
        <v>9503.8328057663712</v>
      </c>
      <c r="F116" s="680">
        <f t="shared" si="54"/>
        <v>44117.310552610506</v>
      </c>
      <c r="G116" s="680">
        <f t="shared" si="54"/>
        <v>5073.6127531367983</v>
      </c>
      <c r="H116" s="680">
        <f t="shared" si="54"/>
        <v>2288.2422485793832</v>
      </c>
      <c r="I116" s="680">
        <f t="shared" si="54"/>
        <v>9655.9093856069558</v>
      </c>
      <c r="J116" s="666">
        <f t="shared" si="52"/>
        <v>1068961</v>
      </c>
      <c r="K116" s="680">
        <v>80</v>
      </c>
      <c r="L116" s="680">
        <f t="shared" si="47"/>
        <v>13362.012500000001</v>
      </c>
      <c r="M116" s="668">
        <v>14563</v>
      </c>
      <c r="N116" s="668"/>
      <c r="O116" s="567" t="s">
        <v>534</v>
      </c>
      <c r="P116" s="669">
        <v>40723</v>
      </c>
      <c r="Q116" s="670"/>
      <c r="R116" s="572">
        <f>K116/2</f>
        <v>40</v>
      </c>
      <c r="S116" s="496">
        <v>24005</v>
      </c>
      <c r="T116" s="495">
        <f t="shared" si="48"/>
        <v>960200</v>
      </c>
      <c r="U116" s="537"/>
      <c r="V116" s="669"/>
      <c r="W116" s="296"/>
      <c r="X116" s="296"/>
      <c r="Y116" s="495">
        <f t="shared" si="49"/>
        <v>0</v>
      </c>
    </row>
    <row r="117" spans="1:25">
      <c r="A117" s="564">
        <f t="shared" si="46"/>
        <v>112</v>
      </c>
      <c r="B117" s="566" t="s">
        <v>722</v>
      </c>
      <c r="C117" s="673">
        <f t="shared" si="35"/>
        <v>349860</v>
      </c>
      <c r="D117" s="680">
        <f t="shared" si="54"/>
        <v>23349.795965066169</v>
      </c>
      <c r="E117" s="680">
        <f t="shared" si="54"/>
        <v>5821.097593531902</v>
      </c>
      <c r="F117" s="680">
        <f t="shared" si="54"/>
        <v>27021.852713473934</v>
      </c>
      <c r="G117" s="680">
        <f t="shared" si="54"/>
        <v>3107.5878112962891</v>
      </c>
      <c r="H117" s="680">
        <f t="shared" si="54"/>
        <v>1401.5483772548721</v>
      </c>
      <c r="I117" s="680">
        <f t="shared" si="54"/>
        <v>5914.2444986842602</v>
      </c>
      <c r="J117" s="666">
        <f t="shared" si="52"/>
        <v>416476</v>
      </c>
      <c r="K117" s="680">
        <v>49</v>
      </c>
      <c r="L117" s="680">
        <f t="shared" si="47"/>
        <v>8499.5102040816328</v>
      </c>
      <c r="M117" s="668">
        <v>10698</v>
      </c>
      <c r="N117" s="668"/>
      <c r="O117" s="567" t="s">
        <v>581</v>
      </c>
      <c r="P117" s="669">
        <v>40723</v>
      </c>
      <c r="Q117" s="670"/>
      <c r="R117" s="572">
        <f>K117/2</f>
        <v>24.5</v>
      </c>
      <c r="S117" s="496">
        <v>14280</v>
      </c>
      <c r="T117" s="495">
        <f t="shared" si="48"/>
        <v>349860</v>
      </c>
      <c r="U117" s="537"/>
      <c r="V117" s="669"/>
      <c r="W117" s="296"/>
      <c r="X117" s="296"/>
      <c r="Y117" s="495">
        <f t="shared" si="49"/>
        <v>0</v>
      </c>
    </row>
    <row r="118" spans="1:25">
      <c r="A118" s="564">
        <f t="shared" si="46"/>
        <v>113</v>
      </c>
      <c r="B118" s="566" t="s">
        <v>734</v>
      </c>
      <c r="C118" s="673">
        <f t="shared" si="35"/>
        <v>9184</v>
      </c>
      <c r="D118" s="680">
        <f t="shared" si="54"/>
        <v>953.05289653331295</v>
      </c>
      <c r="E118" s="680">
        <f t="shared" si="54"/>
        <v>237.59582014415926</v>
      </c>
      <c r="F118" s="680">
        <f t="shared" si="54"/>
        <v>1102.9327638152627</v>
      </c>
      <c r="G118" s="680">
        <f t="shared" si="54"/>
        <v>126.84031882841997</v>
      </c>
      <c r="H118" s="680">
        <f t="shared" si="54"/>
        <v>57.206056214484576</v>
      </c>
      <c r="I118" s="680">
        <f t="shared" si="54"/>
        <v>241.39773464017389</v>
      </c>
      <c r="J118" s="666">
        <f t="shared" si="52"/>
        <v>11903</v>
      </c>
      <c r="K118" s="680">
        <v>2</v>
      </c>
      <c r="L118" s="680">
        <f t="shared" si="47"/>
        <v>5951.5</v>
      </c>
      <c r="M118" s="668">
        <v>7435</v>
      </c>
      <c r="N118" s="668"/>
      <c r="O118" s="556" t="s">
        <v>455</v>
      </c>
      <c r="P118" s="669">
        <v>40723</v>
      </c>
      <c r="Q118" s="670"/>
      <c r="R118" s="572">
        <f>K118</f>
        <v>2</v>
      </c>
      <c r="S118" s="496">
        <v>4592</v>
      </c>
      <c r="T118" s="495">
        <f t="shared" si="48"/>
        <v>9184</v>
      </c>
      <c r="U118" s="537"/>
      <c r="V118" s="669"/>
      <c r="W118" s="296"/>
      <c r="X118" s="296"/>
      <c r="Y118" s="495">
        <f t="shared" si="49"/>
        <v>0</v>
      </c>
    </row>
    <row r="119" spans="1:25">
      <c r="A119" s="564">
        <f t="shared" si="46"/>
        <v>114</v>
      </c>
      <c r="B119" s="566" t="s">
        <v>876</v>
      </c>
      <c r="C119" s="673">
        <f t="shared" si="35"/>
        <v>16462</v>
      </c>
      <c r="D119" s="680">
        <f t="shared" si="54"/>
        <v>953.05289653331295</v>
      </c>
      <c r="E119" s="680">
        <f t="shared" si="54"/>
        <v>237.59582014415926</v>
      </c>
      <c r="F119" s="680">
        <f t="shared" si="54"/>
        <v>1102.9327638152627</v>
      </c>
      <c r="G119" s="680">
        <f t="shared" si="54"/>
        <v>126.84031882841997</v>
      </c>
      <c r="H119" s="680">
        <f t="shared" si="54"/>
        <v>57.206056214484576</v>
      </c>
      <c r="I119" s="680">
        <f t="shared" si="54"/>
        <v>241.39773464017389</v>
      </c>
      <c r="J119" s="666">
        <f t="shared" si="52"/>
        <v>19181</v>
      </c>
      <c r="K119" s="680">
        <v>2</v>
      </c>
      <c r="L119" s="680">
        <f t="shared" si="47"/>
        <v>9590.5</v>
      </c>
      <c r="M119" s="668">
        <v>10116</v>
      </c>
      <c r="N119" s="668"/>
      <c r="O119" s="556" t="s">
        <v>473</v>
      </c>
      <c r="P119" s="669">
        <v>40723</v>
      </c>
      <c r="Q119" s="670"/>
      <c r="R119" s="572">
        <f>K119/2</f>
        <v>1</v>
      </c>
      <c r="S119" s="496">
        <v>16462</v>
      </c>
      <c r="T119" s="495">
        <f t="shared" si="48"/>
        <v>16462</v>
      </c>
      <c r="U119" s="537"/>
      <c r="V119" s="669"/>
      <c r="W119" s="296"/>
      <c r="X119" s="296"/>
      <c r="Y119" s="495">
        <f t="shared" si="49"/>
        <v>0</v>
      </c>
    </row>
    <row r="120" spans="1:25">
      <c r="A120" s="564">
        <f t="shared" si="46"/>
        <v>115</v>
      </c>
      <c r="B120" s="566" t="s">
        <v>874</v>
      </c>
      <c r="C120" s="673">
        <f t="shared" si="35"/>
        <v>30620</v>
      </c>
      <c r="D120" s="680">
        <f t="shared" si="54"/>
        <v>2382.6322413332823</v>
      </c>
      <c r="E120" s="680">
        <f t="shared" si="54"/>
        <v>593.9895503603982</v>
      </c>
      <c r="F120" s="680">
        <f t="shared" si="54"/>
        <v>2757.3319095381567</v>
      </c>
      <c r="G120" s="680">
        <f t="shared" si="54"/>
        <v>317.1007970710499</v>
      </c>
      <c r="H120" s="680">
        <f t="shared" si="54"/>
        <v>143.01514053621145</v>
      </c>
      <c r="I120" s="680">
        <f t="shared" si="54"/>
        <v>603.49433660043474</v>
      </c>
      <c r="J120" s="666">
        <f t="shared" si="52"/>
        <v>37418</v>
      </c>
      <c r="K120" s="680">
        <v>5</v>
      </c>
      <c r="L120" s="680">
        <f t="shared" si="47"/>
        <v>7483.6</v>
      </c>
      <c r="M120" s="668">
        <v>9692</v>
      </c>
      <c r="N120" s="668"/>
      <c r="O120" s="556" t="s">
        <v>362</v>
      </c>
      <c r="P120" s="669">
        <v>40723</v>
      </c>
      <c r="Q120" s="670"/>
      <c r="R120" s="572">
        <f>K120</f>
        <v>5</v>
      </c>
      <c r="S120" s="496">
        <v>6124</v>
      </c>
      <c r="T120" s="495">
        <f t="shared" si="48"/>
        <v>30620</v>
      </c>
      <c r="U120" s="537"/>
      <c r="V120" s="669"/>
      <c r="W120" s="296"/>
      <c r="X120" s="296"/>
      <c r="Y120" s="495">
        <f t="shared" si="49"/>
        <v>0</v>
      </c>
    </row>
    <row r="121" spans="1:25">
      <c r="A121" s="564">
        <f t="shared" si="46"/>
        <v>116</v>
      </c>
      <c r="B121" s="566" t="s">
        <v>731</v>
      </c>
      <c r="C121" s="673">
        <f t="shared" si="35"/>
        <v>8231</v>
      </c>
      <c r="D121" s="680">
        <f t="shared" si="54"/>
        <v>476.52644826665647</v>
      </c>
      <c r="E121" s="680">
        <f t="shared" si="54"/>
        <v>118.79791007207963</v>
      </c>
      <c r="F121" s="680">
        <f t="shared" si="54"/>
        <v>551.46638190763133</v>
      </c>
      <c r="G121" s="680">
        <f t="shared" si="54"/>
        <v>63.420159414209984</v>
      </c>
      <c r="H121" s="680">
        <f t="shared" si="54"/>
        <v>28.603028107242288</v>
      </c>
      <c r="I121" s="680">
        <f t="shared" si="54"/>
        <v>120.69886732008695</v>
      </c>
      <c r="J121" s="666">
        <f t="shared" si="52"/>
        <v>9591</v>
      </c>
      <c r="K121" s="680">
        <v>1</v>
      </c>
      <c r="L121" s="680">
        <f t="shared" si="47"/>
        <v>9591</v>
      </c>
      <c r="M121" s="668">
        <v>12286</v>
      </c>
      <c r="N121" s="668"/>
      <c r="O121" s="556" t="s">
        <v>473</v>
      </c>
      <c r="P121" s="669">
        <v>40723</v>
      </c>
      <c r="Q121" s="670"/>
      <c r="R121" s="572">
        <f>K121/2</f>
        <v>0.5</v>
      </c>
      <c r="S121" s="496">
        <v>16462</v>
      </c>
      <c r="T121" s="495">
        <f t="shared" si="48"/>
        <v>8231</v>
      </c>
      <c r="U121" s="537"/>
      <c r="V121" s="669"/>
      <c r="W121" s="296"/>
      <c r="X121" s="296"/>
      <c r="Y121" s="495">
        <f t="shared" si="49"/>
        <v>0</v>
      </c>
    </row>
    <row r="122" spans="1:25">
      <c r="A122" s="564">
        <f t="shared" si="46"/>
        <v>117</v>
      </c>
      <c r="B122" s="566" t="s">
        <v>733</v>
      </c>
      <c r="C122" s="673">
        <f t="shared" si="35"/>
        <v>4449</v>
      </c>
      <c r="D122" s="680">
        <f t="shared" si="54"/>
        <v>476.52644826665647</v>
      </c>
      <c r="E122" s="680">
        <f t="shared" si="54"/>
        <v>118.79791007207963</v>
      </c>
      <c r="F122" s="680">
        <f t="shared" si="54"/>
        <v>551.46638190763133</v>
      </c>
      <c r="G122" s="680">
        <f t="shared" si="54"/>
        <v>63.420159414209984</v>
      </c>
      <c r="H122" s="680">
        <f t="shared" si="54"/>
        <v>28.603028107242288</v>
      </c>
      <c r="I122" s="680">
        <f t="shared" si="54"/>
        <v>120.69886732008695</v>
      </c>
      <c r="J122" s="666">
        <f t="shared" si="52"/>
        <v>5809</v>
      </c>
      <c r="K122" s="680">
        <v>1</v>
      </c>
      <c r="L122" s="680">
        <f t="shared" si="47"/>
        <v>5809</v>
      </c>
      <c r="M122" s="668">
        <v>5285</v>
      </c>
      <c r="N122" s="668"/>
      <c r="O122" s="556" t="s">
        <v>364</v>
      </c>
      <c r="P122" s="669">
        <v>40723</v>
      </c>
      <c r="Q122" s="670"/>
      <c r="R122" s="572">
        <f>K122</f>
        <v>1</v>
      </c>
      <c r="S122" s="678">
        <v>4449</v>
      </c>
      <c r="T122" s="495">
        <f t="shared" si="48"/>
        <v>4449</v>
      </c>
      <c r="U122" s="537"/>
      <c r="V122" s="669"/>
      <c r="W122" s="296"/>
      <c r="X122" s="296"/>
      <c r="Y122" s="495">
        <f t="shared" si="49"/>
        <v>0</v>
      </c>
    </row>
    <row r="123" spans="1:25">
      <c r="A123" s="564">
        <f t="shared" si="46"/>
        <v>118</v>
      </c>
      <c r="B123" s="566" t="s">
        <v>729</v>
      </c>
      <c r="C123" s="673">
        <f t="shared" si="35"/>
        <v>42237</v>
      </c>
      <c r="D123" s="680">
        <f t="shared" si="54"/>
        <v>1429.5793447999695</v>
      </c>
      <c r="E123" s="680">
        <f t="shared" si="54"/>
        <v>356.39373021623891</v>
      </c>
      <c r="F123" s="680">
        <f t="shared" si="54"/>
        <v>1654.399145722894</v>
      </c>
      <c r="G123" s="680">
        <f t="shared" si="54"/>
        <v>190.26047824262994</v>
      </c>
      <c r="H123" s="680">
        <f t="shared" si="54"/>
        <v>85.809084321726857</v>
      </c>
      <c r="I123" s="680">
        <f t="shared" si="54"/>
        <v>362.09660196026084</v>
      </c>
      <c r="J123" s="666">
        <f t="shared" si="52"/>
        <v>46316</v>
      </c>
      <c r="K123" s="680">
        <v>3</v>
      </c>
      <c r="L123" s="680">
        <f t="shared" si="47"/>
        <v>15438.666666666666</v>
      </c>
      <c r="M123" s="668">
        <v>16841</v>
      </c>
      <c r="N123" s="668"/>
      <c r="O123" s="566" t="s">
        <v>358</v>
      </c>
      <c r="P123" s="669">
        <v>40723</v>
      </c>
      <c r="Q123" s="670"/>
      <c r="R123" s="572">
        <f>K123</f>
        <v>3</v>
      </c>
      <c r="S123" s="496">
        <v>14079</v>
      </c>
      <c r="T123" s="495">
        <f t="shared" si="48"/>
        <v>42237</v>
      </c>
      <c r="U123" s="537"/>
      <c r="V123" s="669"/>
      <c r="W123" s="296"/>
      <c r="X123" s="296"/>
      <c r="Y123" s="495">
        <f t="shared" si="49"/>
        <v>0</v>
      </c>
    </row>
    <row r="124" spans="1:25">
      <c r="A124" s="564">
        <f t="shared" si="46"/>
        <v>119</v>
      </c>
      <c r="B124" s="566" t="s">
        <v>723</v>
      </c>
      <c r="C124" s="673">
        <f t="shared" si="35"/>
        <v>16462</v>
      </c>
      <c r="D124" s="680">
        <f t="shared" si="54"/>
        <v>953.05289653331295</v>
      </c>
      <c r="E124" s="680">
        <f t="shared" si="54"/>
        <v>237.59582014415926</v>
      </c>
      <c r="F124" s="680">
        <f t="shared" si="54"/>
        <v>1102.9327638152627</v>
      </c>
      <c r="G124" s="680">
        <f t="shared" si="54"/>
        <v>126.84031882841997</v>
      </c>
      <c r="H124" s="680">
        <f t="shared" si="54"/>
        <v>57.206056214484576</v>
      </c>
      <c r="I124" s="680">
        <f t="shared" si="54"/>
        <v>241.39773464017389</v>
      </c>
      <c r="J124" s="666">
        <f t="shared" si="52"/>
        <v>19181</v>
      </c>
      <c r="K124" s="680">
        <v>2</v>
      </c>
      <c r="L124" s="680">
        <f t="shared" si="47"/>
        <v>9590.5</v>
      </c>
      <c r="M124" s="668">
        <v>11428</v>
      </c>
      <c r="N124" s="668"/>
      <c r="O124" s="556" t="s">
        <v>473</v>
      </c>
      <c r="P124" s="669">
        <v>40723</v>
      </c>
      <c r="Q124" s="670"/>
      <c r="R124" s="572">
        <f>K124/2</f>
        <v>1</v>
      </c>
      <c r="S124" s="496">
        <v>16462</v>
      </c>
      <c r="T124" s="495">
        <f t="shared" si="48"/>
        <v>16462</v>
      </c>
      <c r="U124" s="537"/>
      <c r="V124" s="669"/>
      <c r="W124" s="296"/>
      <c r="X124" s="296"/>
      <c r="Y124" s="495">
        <f t="shared" si="49"/>
        <v>0</v>
      </c>
    </row>
    <row r="125" spans="1:25">
      <c r="A125" s="564">
        <f t="shared" si="46"/>
        <v>120</v>
      </c>
      <c r="B125" s="566" t="s">
        <v>870</v>
      </c>
      <c r="C125" s="673">
        <f t="shared" si="35"/>
        <v>48208</v>
      </c>
      <c r="D125" s="680">
        <f t="shared" si="54"/>
        <v>3812.2115861332518</v>
      </c>
      <c r="E125" s="680">
        <f t="shared" si="54"/>
        <v>950.38328057663705</v>
      </c>
      <c r="F125" s="680">
        <f t="shared" si="54"/>
        <v>4411.7310552610506</v>
      </c>
      <c r="G125" s="680">
        <f t="shared" si="54"/>
        <v>507.36127531367987</v>
      </c>
      <c r="H125" s="680">
        <f t="shared" si="54"/>
        <v>228.8242248579383</v>
      </c>
      <c r="I125" s="680">
        <f t="shared" si="54"/>
        <v>965.59093856069558</v>
      </c>
      <c r="J125" s="666">
        <f t="shared" si="52"/>
        <v>59084</v>
      </c>
      <c r="K125" s="680">
        <v>8</v>
      </c>
      <c r="L125" s="680">
        <f t="shared" si="47"/>
        <v>7385.5</v>
      </c>
      <c r="M125" s="668">
        <v>8549</v>
      </c>
      <c r="N125" s="668"/>
      <c r="O125" s="566" t="s">
        <v>456</v>
      </c>
      <c r="P125" s="669">
        <v>40723</v>
      </c>
      <c r="Q125" s="670"/>
      <c r="R125" s="572">
        <f>K125</f>
        <v>8</v>
      </c>
      <c r="S125" s="496">
        <v>6026</v>
      </c>
      <c r="T125" s="495">
        <f t="shared" si="48"/>
        <v>48208</v>
      </c>
      <c r="U125" s="537"/>
      <c r="V125" s="669"/>
      <c r="W125" s="296"/>
      <c r="X125" s="296"/>
      <c r="Y125" s="495">
        <f t="shared" si="49"/>
        <v>0</v>
      </c>
    </row>
    <row r="126" spans="1:25">
      <c r="A126" s="564">
        <f t="shared" si="46"/>
        <v>121</v>
      </c>
      <c r="B126" s="566" t="s">
        <v>721</v>
      </c>
      <c r="C126" s="673">
        <f t="shared" si="35"/>
        <v>6124</v>
      </c>
      <c r="D126" s="680">
        <f t="shared" ref="D126:I135" si="55">IF($K$170&lt;&gt;0,D$170/$K$170*$K126,0)</f>
        <v>476.52644826665647</v>
      </c>
      <c r="E126" s="680">
        <f t="shared" si="55"/>
        <v>118.79791007207963</v>
      </c>
      <c r="F126" s="680">
        <f t="shared" si="55"/>
        <v>551.46638190763133</v>
      </c>
      <c r="G126" s="680">
        <f t="shared" si="55"/>
        <v>63.420159414209984</v>
      </c>
      <c r="H126" s="680">
        <f t="shared" si="55"/>
        <v>28.603028107242288</v>
      </c>
      <c r="I126" s="680">
        <f t="shared" si="55"/>
        <v>120.69886732008695</v>
      </c>
      <c r="J126" s="666">
        <f t="shared" si="52"/>
        <v>7484</v>
      </c>
      <c r="K126" s="680">
        <v>1</v>
      </c>
      <c r="L126" s="680">
        <f t="shared" si="47"/>
        <v>7484</v>
      </c>
      <c r="M126" s="668">
        <v>9357</v>
      </c>
      <c r="N126" s="668"/>
      <c r="O126" s="556" t="s">
        <v>362</v>
      </c>
      <c r="P126" s="669">
        <v>40723</v>
      </c>
      <c r="Q126" s="670"/>
      <c r="R126" s="572">
        <f>K126</f>
        <v>1</v>
      </c>
      <c r="S126" s="496">
        <v>6124</v>
      </c>
      <c r="T126" s="495">
        <f t="shared" si="48"/>
        <v>6124</v>
      </c>
      <c r="U126" s="537"/>
      <c r="V126" s="669"/>
      <c r="W126" s="296"/>
      <c r="X126" s="296"/>
      <c r="Y126" s="495">
        <f t="shared" si="49"/>
        <v>0</v>
      </c>
    </row>
    <row r="127" spans="1:25">
      <c r="A127" s="564">
        <f t="shared" si="46"/>
        <v>122</v>
      </c>
      <c r="B127" s="566" t="s">
        <v>724</v>
      </c>
      <c r="C127" s="673">
        <f t="shared" si="35"/>
        <v>8231</v>
      </c>
      <c r="D127" s="680">
        <f t="shared" si="55"/>
        <v>476.52644826665647</v>
      </c>
      <c r="E127" s="680">
        <f t="shared" si="55"/>
        <v>118.79791007207963</v>
      </c>
      <c r="F127" s="680">
        <f t="shared" si="55"/>
        <v>551.46638190763133</v>
      </c>
      <c r="G127" s="680">
        <f t="shared" si="55"/>
        <v>63.420159414209984</v>
      </c>
      <c r="H127" s="680">
        <f t="shared" si="55"/>
        <v>28.603028107242288</v>
      </c>
      <c r="I127" s="680">
        <f t="shared" si="55"/>
        <v>120.69886732008695</v>
      </c>
      <c r="J127" s="666">
        <f t="shared" si="52"/>
        <v>9591</v>
      </c>
      <c r="K127" s="680">
        <v>1</v>
      </c>
      <c r="L127" s="680">
        <f t="shared" si="47"/>
        <v>9591</v>
      </c>
      <c r="M127" s="668">
        <v>10343</v>
      </c>
      <c r="N127" s="668"/>
      <c r="O127" s="556" t="s">
        <v>473</v>
      </c>
      <c r="P127" s="669">
        <v>40723</v>
      </c>
      <c r="Q127" s="670"/>
      <c r="R127" s="572">
        <f>K127/2</f>
        <v>0.5</v>
      </c>
      <c r="S127" s="496">
        <v>16462</v>
      </c>
      <c r="T127" s="495">
        <f t="shared" si="48"/>
        <v>8231</v>
      </c>
      <c r="U127" s="537"/>
      <c r="V127" s="669"/>
      <c r="W127" s="296"/>
      <c r="X127" s="296"/>
      <c r="Y127" s="495">
        <f t="shared" si="49"/>
        <v>0</v>
      </c>
    </row>
    <row r="128" spans="1:25">
      <c r="A128" s="564">
        <f t="shared" si="46"/>
        <v>123</v>
      </c>
      <c r="B128" s="566" t="s">
        <v>725</v>
      </c>
      <c r="C128" s="673">
        <f t="shared" si="35"/>
        <v>36780</v>
      </c>
      <c r="D128" s="680">
        <f t="shared" si="55"/>
        <v>1906.1057930666259</v>
      </c>
      <c r="E128" s="680">
        <f t="shared" si="55"/>
        <v>475.19164028831852</v>
      </c>
      <c r="F128" s="680">
        <f t="shared" si="55"/>
        <v>2205.8655276305253</v>
      </c>
      <c r="G128" s="680">
        <f t="shared" si="55"/>
        <v>253.68063765683993</v>
      </c>
      <c r="H128" s="680">
        <f t="shared" si="55"/>
        <v>114.41211242896915</v>
      </c>
      <c r="I128" s="680">
        <f t="shared" si="55"/>
        <v>482.79546928034779</v>
      </c>
      <c r="J128" s="666">
        <f t="shared" si="52"/>
        <v>42218</v>
      </c>
      <c r="K128" s="680">
        <v>4</v>
      </c>
      <c r="L128" s="680">
        <f t="shared" si="47"/>
        <v>10554.5</v>
      </c>
      <c r="M128" s="668">
        <v>12670</v>
      </c>
      <c r="N128" s="668"/>
      <c r="O128" s="556" t="s">
        <v>539</v>
      </c>
      <c r="P128" s="669">
        <v>40723</v>
      </c>
      <c r="Q128" s="670"/>
      <c r="R128" s="572">
        <f>K128/2</f>
        <v>2</v>
      </c>
      <c r="S128" s="496">
        <v>18390</v>
      </c>
      <c r="T128" s="495">
        <f t="shared" si="48"/>
        <v>36780</v>
      </c>
      <c r="U128" s="537"/>
      <c r="V128" s="669"/>
      <c r="W128" s="296"/>
      <c r="X128" s="296"/>
      <c r="Y128" s="495">
        <f t="shared" si="49"/>
        <v>0</v>
      </c>
    </row>
    <row r="129" spans="1:25">
      <c r="A129" s="564">
        <f t="shared" si="46"/>
        <v>124</v>
      </c>
      <c r="B129" s="566" t="s">
        <v>730</v>
      </c>
      <c r="C129" s="673">
        <f t="shared" si="35"/>
        <v>8231</v>
      </c>
      <c r="D129" s="680">
        <f t="shared" si="55"/>
        <v>476.52644826665647</v>
      </c>
      <c r="E129" s="680">
        <f t="shared" si="55"/>
        <v>118.79791007207963</v>
      </c>
      <c r="F129" s="680">
        <f t="shared" si="55"/>
        <v>551.46638190763133</v>
      </c>
      <c r="G129" s="680">
        <f t="shared" si="55"/>
        <v>63.420159414209984</v>
      </c>
      <c r="H129" s="680">
        <f t="shared" si="55"/>
        <v>28.603028107242288</v>
      </c>
      <c r="I129" s="680">
        <f t="shared" si="55"/>
        <v>120.69886732008695</v>
      </c>
      <c r="J129" s="666">
        <f t="shared" si="52"/>
        <v>9591</v>
      </c>
      <c r="K129" s="680">
        <v>1</v>
      </c>
      <c r="L129" s="680">
        <f t="shared" si="47"/>
        <v>9591</v>
      </c>
      <c r="M129" s="668">
        <v>12305</v>
      </c>
      <c r="N129" s="668"/>
      <c r="O129" s="556" t="s">
        <v>473</v>
      </c>
      <c r="P129" s="669">
        <v>40723</v>
      </c>
      <c r="Q129" s="670"/>
      <c r="R129" s="572">
        <f>K129/2</f>
        <v>0.5</v>
      </c>
      <c r="S129" s="496">
        <v>16462</v>
      </c>
      <c r="T129" s="495">
        <f t="shared" si="48"/>
        <v>8231</v>
      </c>
      <c r="U129" s="537"/>
      <c r="V129" s="669"/>
      <c r="W129" s="296"/>
      <c r="X129" s="296"/>
      <c r="Y129" s="495">
        <f t="shared" si="49"/>
        <v>0</v>
      </c>
    </row>
    <row r="130" spans="1:25">
      <c r="A130" s="564">
        <f t="shared" si="46"/>
        <v>125</v>
      </c>
      <c r="B130" s="566" t="s">
        <v>878</v>
      </c>
      <c r="C130" s="673">
        <f t="shared" si="35"/>
        <v>8898</v>
      </c>
      <c r="D130" s="680">
        <f t="shared" si="55"/>
        <v>953.05289653331295</v>
      </c>
      <c r="E130" s="680">
        <f t="shared" si="55"/>
        <v>237.59582014415926</v>
      </c>
      <c r="F130" s="680">
        <f t="shared" si="55"/>
        <v>1102.9327638152627</v>
      </c>
      <c r="G130" s="680">
        <f t="shared" si="55"/>
        <v>126.84031882841997</v>
      </c>
      <c r="H130" s="680">
        <f t="shared" si="55"/>
        <v>57.206056214484576</v>
      </c>
      <c r="I130" s="680">
        <f t="shared" si="55"/>
        <v>241.39773464017389</v>
      </c>
      <c r="J130" s="666">
        <f t="shared" si="52"/>
        <v>11617</v>
      </c>
      <c r="K130" s="680">
        <v>2</v>
      </c>
      <c r="L130" s="680">
        <f t="shared" si="47"/>
        <v>5808.5</v>
      </c>
      <c r="M130" s="668">
        <v>6113</v>
      </c>
      <c r="N130" s="668"/>
      <c r="O130" s="556" t="s">
        <v>364</v>
      </c>
      <c r="P130" s="669">
        <v>40723</v>
      </c>
      <c r="Q130" s="670"/>
      <c r="R130" s="572">
        <f>K130</f>
        <v>2</v>
      </c>
      <c r="S130" s="678">
        <v>4449</v>
      </c>
      <c r="T130" s="495">
        <f t="shared" si="48"/>
        <v>8898</v>
      </c>
      <c r="U130" s="537"/>
      <c r="V130" s="669"/>
      <c r="W130" s="296"/>
      <c r="X130" s="296"/>
      <c r="Y130" s="495">
        <f t="shared" si="49"/>
        <v>0</v>
      </c>
    </row>
    <row r="131" spans="1:25">
      <c r="A131" s="564">
        <f t="shared" si="46"/>
        <v>126</v>
      </c>
      <c r="B131" s="566" t="s">
        <v>879</v>
      </c>
      <c r="C131" s="673">
        <f t="shared" si="35"/>
        <v>18390</v>
      </c>
      <c r="D131" s="680">
        <f t="shared" si="55"/>
        <v>953.05289653331295</v>
      </c>
      <c r="E131" s="680">
        <f t="shared" si="55"/>
        <v>237.59582014415926</v>
      </c>
      <c r="F131" s="680">
        <f t="shared" si="55"/>
        <v>1102.9327638152627</v>
      </c>
      <c r="G131" s="680">
        <f t="shared" si="55"/>
        <v>126.84031882841997</v>
      </c>
      <c r="H131" s="680">
        <f t="shared" si="55"/>
        <v>57.206056214484576</v>
      </c>
      <c r="I131" s="680">
        <f t="shared" si="55"/>
        <v>241.39773464017389</v>
      </c>
      <c r="J131" s="666">
        <f t="shared" si="52"/>
        <v>21109</v>
      </c>
      <c r="K131" s="680">
        <v>2</v>
      </c>
      <c r="L131" s="680">
        <f t="shared" si="47"/>
        <v>10554.5</v>
      </c>
      <c r="M131" s="668">
        <v>12824</v>
      </c>
      <c r="N131" s="668"/>
      <c r="O131" s="556" t="s">
        <v>539</v>
      </c>
      <c r="P131" s="669">
        <v>40723</v>
      </c>
      <c r="Q131" s="670"/>
      <c r="R131" s="572">
        <f>K131/2</f>
        <v>1</v>
      </c>
      <c r="S131" s="496">
        <v>18390</v>
      </c>
      <c r="T131" s="495">
        <f t="shared" si="48"/>
        <v>18390</v>
      </c>
      <c r="U131" s="537"/>
      <c r="V131" s="669"/>
      <c r="W131" s="296"/>
      <c r="X131" s="296"/>
      <c r="Y131" s="495">
        <f t="shared" si="49"/>
        <v>0</v>
      </c>
    </row>
    <row r="132" spans="1:25">
      <c r="A132" s="564">
        <f t="shared" si="46"/>
        <v>127</v>
      </c>
      <c r="B132" s="566" t="s">
        <v>720</v>
      </c>
      <c r="C132" s="673">
        <f t="shared" si="35"/>
        <v>444092.5</v>
      </c>
      <c r="D132" s="680">
        <f t="shared" si="55"/>
        <v>17631.478585866291</v>
      </c>
      <c r="E132" s="680">
        <f t="shared" si="55"/>
        <v>4395.5226726669462</v>
      </c>
      <c r="F132" s="680">
        <f t="shared" si="55"/>
        <v>20404.256130582358</v>
      </c>
      <c r="G132" s="680">
        <f t="shared" si="55"/>
        <v>2346.5458983257695</v>
      </c>
      <c r="H132" s="680">
        <f t="shared" si="55"/>
        <v>1058.3120399679647</v>
      </c>
      <c r="I132" s="680">
        <f t="shared" si="55"/>
        <v>4465.8580908432168</v>
      </c>
      <c r="J132" s="666">
        <f t="shared" si="52"/>
        <v>494394</v>
      </c>
      <c r="K132" s="680">
        <v>37</v>
      </c>
      <c r="L132" s="680">
        <f t="shared" si="47"/>
        <v>13362</v>
      </c>
      <c r="M132" s="668">
        <v>14591</v>
      </c>
      <c r="N132" s="668"/>
      <c r="O132" s="567" t="s">
        <v>534</v>
      </c>
      <c r="P132" s="669">
        <v>40723</v>
      </c>
      <c r="Q132" s="670"/>
      <c r="R132" s="572">
        <f>K132/2</f>
        <v>18.5</v>
      </c>
      <c r="S132" s="496">
        <v>24005</v>
      </c>
      <c r="T132" s="495">
        <f t="shared" si="48"/>
        <v>444092.5</v>
      </c>
      <c r="U132" s="537"/>
      <c r="V132" s="669"/>
      <c r="W132" s="296"/>
      <c r="X132" s="296"/>
      <c r="Y132" s="495">
        <f t="shared" si="49"/>
        <v>0</v>
      </c>
    </row>
    <row r="133" spans="1:25">
      <c r="A133" s="713">
        <f t="shared" si="46"/>
        <v>128</v>
      </c>
      <c r="B133" s="558" t="s">
        <v>880</v>
      </c>
      <c r="C133" s="673">
        <f t="shared" si="35"/>
        <v>7177495</v>
      </c>
      <c r="D133" s="674">
        <f t="shared" si="55"/>
        <v>427444.22409519088</v>
      </c>
      <c r="E133" s="674">
        <f t="shared" si="55"/>
        <v>106561.72533465544</v>
      </c>
      <c r="F133" s="674">
        <f t="shared" si="55"/>
        <v>494665.34457114531</v>
      </c>
      <c r="G133" s="674">
        <f t="shared" si="55"/>
        <v>56887.882994546359</v>
      </c>
      <c r="H133" s="674">
        <f t="shared" si="55"/>
        <v>25656.916212196331</v>
      </c>
      <c r="I133" s="674">
        <f t="shared" si="55"/>
        <v>108266.88398611799</v>
      </c>
      <c r="J133" s="666">
        <f t="shared" si="52"/>
        <v>8396978</v>
      </c>
      <c r="K133" s="674">
        <v>897</v>
      </c>
      <c r="L133" s="674">
        <f t="shared" si="47"/>
        <v>9361.1794871794864</v>
      </c>
      <c r="M133" s="668">
        <v>11877</v>
      </c>
      <c r="N133" s="668"/>
      <c r="O133" s="567" t="s">
        <v>534</v>
      </c>
      <c r="P133" s="669">
        <v>40723</v>
      </c>
      <c r="Q133" s="670"/>
      <c r="R133" s="572">
        <f>K133/3</f>
        <v>299</v>
      </c>
      <c r="S133" s="496">
        <v>24005</v>
      </c>
      <c r="T133" s="495">
        <f t="shared" si="48"/>
        <v>7177495</v>
      </c>
      <c r="U133" s="537"/>
      <c r="V133" s="669"/>
      <c r="W133" s="296"/>
      <c r="X133" s="296"/>
      <c r="Y133" s="495">
        <f t="shared" si="49"/>
        <v>0</v>
      </c>
    </row>
    <row r="134" spans="1:25">
      <c r="A134" s="564">
        <f>IF(B134&lt;&gt;"",A133+1,"")</f>
        <v>129</v>
      </c>
      <c r="B134" s="566" t="s">
        <v>877</v>
      </c>
      <c r="C134" s="673">
        <f t="shared" si="35"/>
        <v>1067760</v>
      </c>
      <c r="D134" s="680">
        <f t="shared" si="55"/>
        <v>436974.753060524</v>
      </c>
      <c r="E134" s="680">
        <f t="shared" si="55"/>
        <v>108937.68353609701</v>
      </c>
      <c r="F134" s="680">
        <f t="shared" si="55"/>
        <v>505694.67220929795</v>
      </c>
      <c r="G134" s="680">
        <f t="shared" si="55"/>
        <v>58156.286182830554</v>
      </c>
      <c r="H134" s="680">
        <f t="shared" si="55"/>
        <v>26228.976774341179</v>
      </c>
      <c r="I134" s="680">
        <f t="shared" si="55"/>
        <v>110680.86133251974</v>
      </c>
      <c r="J134" s="666">
        <f t="shared" si="52"/>
        <v>2314433</v>
      </c>
      <c r="K134" s="680">
        <v>917</v>
      </c>
      <c r="L134" s="680">
        <f t="shared" si="47"/>
        <v>2523.9182115594331</v>
      </c>
      <c r="M134" s="668">
        <v>2866</v>
      </c>
      <c r="N134" s="668"/>
      <c r="O134" s="556" t="s">
        <v>364</v>
      </c>
      <c r="P134" s="669">
        <v>40723</v>
      </c>
      <c r="Q134" s="670"/>
      <c r="R134" s="572">
        <v>240</v>
      </c>
      <c r="S134" s="678">
        <v>4449</v>
      </c>
      <c r="T134" s="495">
        <f t="shared" si="48"/>
        <v>1067760</v>
      </c>
      <c r="U134" s="537"/>
      <c r="V134" s="669"/>
      <c r="W134" s="296"/>
      <c r="X134" s="296"/>
      <c r="Y134" s="495">
        <f t="shared" si="49"/>
        <v>0</v>
      </c>
    </row>
    <row r="135" spans="1:25">
      <c r="A135" s="564">
        <f t="shared" si="46"/>
        <v>130</v>
      </c>
      <c r="B135" s="566" t="s">
        <v>881</v>
      </c>
      <c r="C135" s="673">
        <f t="shared" ref="C135:C159" si="56">T135</f>
        <v>1018394</v>
      </c>
      <c r="D135" s="680">
        <f t="shared" si="55"/>
        <v>80532.969757064944</v>
      </c>
      <c r="E135" s="680">
        <f t="shared" si="55"/>
        <v>20076.846802181459</v>
      </c>
      <c r="F135" s="680">
        <f t="shared" si="55"/>
        <v>93197.818542389694</v>
      </c>
      <c r="G135" s="680">
        <f t="shared" si="55"/>
        <v>10718.006941001488</v>
      </c>
      <c r="H135" s="680">
        <f t="shared" si="55"/>
        <v>4833.9117501239471</v>
      </c>
      <c r="I135" s="680">
        <f t="shared" si="55"/>
        <v>20398.108577094696</v>
      </c>
      <c r="J135" s="666">
        <f t="shared" si="52"/>
        <v>1248152</v>
      </c>
      <c r="K135" s="680">
        <v>169</v>
      </c>
      <c r="L135" s="680">
        <f t="shared" si="47"/>
        <v>7385.5147928994083</v>
      </c>
      <c r="M135" s="668">
        <v>8678</v>
      </c>
      <c r="N135" s="668"/>
      <c r="O135" s="566" t="s">
        <v>456</v>
      </c>
      <c r="P135" s="669">
        <v>40723</v>
      </c>
      <c r="Q135" s="670"/>
      <c r="R135" s="572">
        <f>K135</f>
        <v>169</v>
      </c>
      <c r="S135" s="496">
        <v>6026</v>
      </c>
      <c r="T135" s="495">
        <f t="shared" si="48"/>
        <v>1018394</v>
      </c>
      <c r="U135" s="537"/>
      <c r="V135" s="669"/>
      <c r="W135" s="296"/>
      <c r="X135" s="296"/>
      <c r="Y135" s="495">
        <f t="shared" si="49"/>
        <v>0</v>
      </c>
    </row>
    <row r="136" spans="1:25">
      <c r="A136" s="564">
        <f t="shared" ref="A136:A168" si="57">IF(B136&lt;&gt;"",A135+1,"")</f>
        <v>131</v>
      </c>
      <c r="B136" s="566" t="s">
        <v>877</v>
      </c>
      <c r="C136" s="673">
        <f t="shared" si="56"/>
        <v>189082.5</v>
      </c>
      <c r="D136" s="680">
        <f t="shared" ref="D136:I145" si="58">IF($K$170&lt;&gt;0,D$170/$K$170*$K136,0)</f>
        <v>81009.496205331598</v>
      </c>
      <c r="E136" s="680">
        <f t="shared" si="58"/>
        <v>20195.644712253536</v>
      </c>
      <c r="F136" s="680">
        <f t="shared" si="58"/>
        <v>93749.284924297332</v>
      </c>
      <c r="G136" s="680">
        <f t="shared" si="58"/>
        <v>10781.427100415698</v>
      </c>
      <c r="H136" s="680">
        <f t="shared" si="58"/>
        <v>4862.5147782311888</v>
      </c>
      <c r="I136" s="680">
        <f t="shared" si="58"/>
        <v>20518.807444414782</v>
      </c>
      <c r="J136" s="666">
        <f t="shared" si="52"/>
        <v>420200</v>
      </c>
      <c r="K136" s="680">
        <v>170</v>
      </c>
      <c r="L136" s="680">
        <f t="shared" si="47"/>
        <v>2471.7647058823532</v>
      </c>
      <c r="M136" s="668">
        <v>2457</v>
      </c>
      <c r="N136" s="668"/>
      <c r="O136" s="556" t="s">
        <v>364</v>
      </c>
      <c r="P136" s="669">
        <v>40723</v>
      </c>
      <c r="Q136" s="670"/>
      <c r="R136" s="572">
        <f>K136/4</f>
        <v>42.5</v>
      </c>
      <c r="S136" s="678">
        <v>4449</v>
      </c>
      <c r="T136" s="495">
        <f t="shared" si="48"/>
        <v>189082.5</v>
      </c>
      <c r="U136" s="537"/>
      <c r="V136" s="669"/>
      <c r="W136" s="296"/>
      <c r="X136" s="296"/>
      <c r="Y136" s="495">
        <f t="shared" si="49"/>
        <v>0</v>
      </c>
    </row>
    <row r="137" spans="1:25" ht="13.5" customHeight="1">
      <c r="A137" s="713">
        <f t="shared" si="57"/>
        <v>132</v>
      </c>
      <c r="B137" s="558" t="s">
        <v>718</v>
      </c>
      <c r="C137" s="673">
        <f t="shared" si="56"/>
        <v>7702734</v>
      </c>
      <c r="D137" s="674">
        <f t="shared" si="58"/>
        <v>210624.69013386217</v>
      </c>
      <c r="E137" s="674">
        <f t="shared" si="58"/>
        <v>52508.6762518592</v>
      </c>
      <c r="F137" s="674">
        <f t="shared" si="58"/>
        <v>243748.14080317304</v>
      </c>
      <c r="G137" s="674">
        <f t="shared" si="58"/>
        <v>28031.710461080813</v>
      </c>
      <c r="H137" s="674">
        <f t="shared" si="58"/>
        <v>12642.538423401091</v>
      </c>
      <c r="I137" s="674">
        <f t="shared" si="58"/>
        <v>53348.899355478432</v>
      </c>
      <c r="J137" s="666">
        <f t="shared" si="52"/>
        <v>8303639</v>
      </c>
      <c r="K137" s="674">
        <v>442</v>
      </c>
      <c r="L137" s="674">
        <f t="shared" si="47"/>
        <v>18786.513574660632</v>
      </c>
      <c r="M137" s="668">
        <v>19814</v>
      </c>
      <c r="N137" s="668"/>
      <c r="O137" s="556" t="s">
        <v>467</v>
      </c>
      <c r="P137" s="669">
        <v>40723</v>
      </c>
      <c r="Q137" s="670"/>
      <c r="R137" s="572">
        <v>442</v>
      </c>
      <c r="S137" s="496">
        <v>17427</v>
      </c>
      <c r="T137" s="495">
        <f t="shared" si="48"/>
        <v>7702734</v>
      </c>
      <c r="U137" s="537"/>
      <c r="V137" s="669"/>
      <c r="W137" s="296"/>
      <c r="X137" s="296"/>
      <c r="Y137" s="495">
        <f t="shared" si="49"/>
        <v>0</v>
      </c>
    </row>
    <row r="138" spans="1:25">
      <c r="A138" s="564">
        <f>IF(B138&lt;&gt;"",A137+1,"")</f>
        <v>133</v>
      </c>
      <c r="B138" s="566" t="s">
        <v>882</v>
      </c>
      <c r="C138" s="673">
        <f t="shared" si="56"/>
        <v>564480</v>
      </c>
      <c r="D138" s="680">
        <f t="shared" si="58"/>
        <v>17154.952137599634</v>
      </c>
      <c r="E138" s="680">
        <f t="shared" si="58"/>
        <v>4276.7247625948667</v>
      </c>
      <c r="F138" s="680">
        <f t="shared" si="58"/>
        <v>19852.789748674728</v>
      </c>
      <c r="G138" s="680">
        <f t="shared" si="58"/>
        <v>2283.1257389115594</v>
      </c>
      <c r="H138" s="680">
        <f t="shared" si="58"/>
        <v>1029.7090118607223</v>
      </c>
      <c r="I138" s="680">
        <f t="shared" si="58"/>
        <v>4345.1592235231301</v>
      </c>
      <c r="J138" s="666">
        <f t="shared" si="52"/>
        <v>613422</v>
      </c>
      <c r="K138" s="680">
        <v>36</v>
      </c>
      <c r="L138" s="680">
        <f t="shared" si="47"/>
        <v>17039.5</v>
      </c>
      <c r="M138" s="668">
        <v>18185</v>
      </c>
      <c r="N138" s="668"/>
      <c r="O138" s="556" t="s">
        <v>591</v>
      </c>
      <c r="P138" s="669">
        <v>40723</v>
      </c>
      <c r="Q138" s="670"/>
      <c r="R138" s="572">
        <v>18</v>
      </c>
      <c r="S138" s="496">
        <v>31360</v>
      </c>
      <c r="T138" s="495">
        <f t="shared" si="48"/>
        <v>564480</v>
      </c>
      <c r="U138" s="537"/>
      <c r="V138" s="669"/>
      <c r="W138" s="296"/>
      <c r="X138" s="296"/>
      <c r="Y138" s="495">
        <f t="shared" si="49"/>
        <v>0</v>
      </c>
    </row>
    <row r="139" spans="1:25">
      <c r="A139" s="564">
        <f t="shared" si="57"/>
        <v>134</v>
      </c>
      <c r="B139" s="566" t="s">
        <v>877</v>
      </c>
      <c r="C139" s="673">
        <f t="shared" si="56"/>
        <v>100102.5</v>
      </c>
      <c r="D139" s="680">
        <f t="shared" si="58"/>
        <v>42887.380343999081</v>
      </c>
      <c r="E139" s="680">
        <f t="shared" si="58"/>
        <v>10691.811906487166</v>
      </c>
      <c r="F139" s="680">
        <f t="shared" si="58"/>
        <v>49631.974371686818</v>
      </c>
      <c r="G139" s="680">
        <f t="shared" si="58"/>
        <v>5707.8143472788988</v>
      </c>
      <c r="H139" s="680">
        <f t="shared" si="58"/>
        <v>2574.2725296518061</v>
      </c>
      <c r="I139" s="680">
        <f t="shared" si="58"/>
        <v>10862.898058807825</v>
      </c>
      <c r="J139" s="666">
        <f t="shared" si="52"/>
        <v>222459</v>
      </c>
      <c r="K139" s="680">
        <v>90</v>
      </c>
      <c r="L139" s="680">
        <f t="shared" si="47"/>
        <v>2471.7666666666669</v>
      </c>
      <c r="M139" s="668">
        <v>2734</v>
      </c>
      <c r="N139" s="668"/>
      <c r="O139" s="556" t="s">
        <v>364</v>
      </c>
      <c r="P139" s="669">
        <v>40723</v>
      </c>
      <c r="Q139" s="670"/>
      <c r="R139" s="572">
        <f t="shared" ref="R139:R140" si="59">K139/4</f>
        <v>22.5</v>
      </c>
      <c r="S139" s="678">
        <v>4449</v>
      </c>
      <c r="T139" s="495">
        <f t="shared" si="48"/>
        <v>100102.5</v>
      </c>
      <c r="U139" s="537"/>
      <c r="V139" s="669"/>
      <c r="W139" s="296"/>
      <c r="X139" s="296"/>
      <c r="Y139" s="495">
        <f t="shared" si="49"/>
        <v>0</v>
      </c>
    </row>
    <row r="140" spans="1:25">
      <c r="A140" s="564">
        <f t="shared" si="57"/>
        <v>135</v>
      </c>
      <c r="B140" s="566" t="s">
        <v>877</v>
      </c>
      <c r="C140" s="673">
        <f t="shared" si="56"/>
        <v>182409</v>
      </c>
      <c r="D140" s="680">
        <f t="shared" si="58"/>
        <v>78150.337515731662</v>
      </c>
      <c r="E140" s="680">
        <f t="shared" si="58"/>
        <v>19482.85725182106</v>
      </c>
      <c r="F140" s="680">
        <f t="shared" si="58"/>
        <v>90440.486632851535</v>
      </c>
      <c r="G140" s="680">
        <f t="shared" si="58"/>
        <v>10400.906143930437</v>
      </c>
      <c r="H140" s="680">
        <f t="shared" si="58"/>
        <v>4690.8966095877349</v>
      </c>
      <c r="I140" s="680">
        <f t="shared" si="58"/>
        <v>19794.614240494258</v>
      </c>
      <c r="J140" s="666">
        <f t="shared" si="52"/>
        <v>405369</v>
      </c>
      <c r="K140" s="680">
        <v>164</v>
      </c>
      <c r="L140" s="680">
        <f t="shared" si="47"/>
        <v>2471.7621951219512</v>
      </c>
      <c r="M140" s="668">
        <v>3065</v>
      </c>
      <c r="N140" s="668"/>
      <c r="O140" s="556" t="s">
        <v>364</v>
      </c>
      <c r="P140" s="669">
        <v>40723</v>
      </c>
      <c r="Q140" s="670"/>
      <c r="R140" s="572">
        <f t="shared" si="59"/>
        <v>41</v>
      </c>
      <c r="S140" s="678">
        <v>4449</v>
      </c>
      <c r="T140" s="495">
        <f t="shared" si="48"/>
        <v>182409</v>
      </c>
      <c r="U140" s="537"/>
      <c r="V140" s="669"/>
      <c r="W140" s="296"/>
      <c r="X140" s="296"/>
      <c r="Y140" s="495">
        <f t="shared" si="49"/>
        <v>0</v>
      </c>
    </row>
    <row r="141" spans="1:25">
      <c r="A141" s="713">
        <f t="shared" si="57"/>
        <v>136</v>
      </c>
      <c r="B141" s="558" t="s">
        <v>719</v>
      </c>
      <c r="C141" s="673">
        <f t="shared" si="56"/>
        <v>10916625</v>
      </c>
      <c r="D141" s="674">
        <f t="shared" si="58"/>
        <v>304500.4004423935</v>
      </c>
      <c r="E141" s="674">
        <f t="shared" si="58"/>
        <v>75911.864536058885</v>
      </c>
      <c r="F141" s="674">
        <f t="shared" si="58"/>
        <v>352387.01803897641</v>
      </c>
      <c r="G141" s="674">
        <f t="shared" si="58"/>
        <v>40525.48186568018</v>
      </c>
      <c r="H141" s="674">
        <f t="shared" si="58"/>
        <v>18277.334960527824</v>
      </c>
      <c r="I141" s="674">
        <f t="shared" si="58"/>
        <v>77126.576217535563</v>
      </c>
      <c r="J141" s="666">
        <f t="shared" si="52"/>
        <v>11785354</v>
      </c>
      <c r="K141" s="674">
        <v>639</v>
      </c>
      <c r="L141" s="674">
        <f t="shared" si="47"/>
        <v>18443.433489827858</v>
      </c>
      <c r="M141" s="668">
        <v>19248</v>
      </c>
      <c r="N141" s="668"/>
      <c r="O141" s="556" t="s">
        <v>466</v>
      </c>
      <c r="P141" s="669">
        <v>40723</v>
      </c>
      <c r="Q141" s="670"/>
      <c r="R141" s="572">
        <v>645</v>
      </c>
      <c r="S141" s="496">
        <v>16925</v>
      </c>
      <c r="T141" s="495">
        <f t="shared" si="48"/>
        <v>10916625</v>
      </c>
      <c r="U141" s="537"/>
      <c r="V141" s="669"/>
      <c r="W141" s="296"/>
      <c r="X141" s="296"/>
      <c r="Y141" s="495">
        <f t="shared" si="49"/>
        <v>0</v>
      </c>
    </row>
    <row r="142" spans="1:25">
      <c r="A142" s="564">
        <f>IF(B142&lt;&gt;"",A141+1,"")</f>
        <v>137</v>
      </c>
      <c r="B142" s="566" t="s">
        <v>877</v>
      </c>
      <c r="C142" s="673">
        <f t="shared" si="56"/>
        <v>934290</v>
      </c>
      <c r="D142" s="680">
        <f t="shared" si="58"/>
        <v>100070.55413599785</v>
      </c>
      <c r="E142" s="680">
        <f t="shared" si="58"/>
        <v>24947.561115136723</v>
      </c>
      <c r="F142" s="680">
        <f t="shared" si="58"/>
        <v>115807.94020060258</v>
      </c>
      <c r="G142" s="680">
        <f t="shared" si="58"/>
        <v>13318.233476984096</v>
      </c>
      <c r="H142" s="680">
        <f t="shared" si="58"/>
        <v>6006.6359025208803</v>
      </c>
      <c r="I142" s="680">
        <f t="shared" si="58"/>
        <v>25346.762137218258</v>
      </c>
      <c r="J142" s="666">
        <f t="shared" si="52"/>
        <v>1219788</v>
      </c>
      <c r="K142" s="680">
        <v>210</v>
      </c>
      <c r="L142" s="680">
        <f t="shared" si="47"/>
        <v>5808.5142857142855</v>
      </c>
      <c r="M142" s="668">
        <v>6577</v>
      </c>
      <c r="N142" s="668"/>
      <c r="O142" s="556" t="s">
        <v>364</v>
      </c>
      <c r="P142" s="669">
        <v>40723</v>
      </c>
      <c r="Q142" s="670"/>
      <c r="R142" s="572">
        <f>K142</f>
        <v>210</v>
      </c>
      <c r="S142" s="678">
        <v>4449</v>
      </c>
      <c r="T142" s="495">
        <f t="shared" si="48"/>
        <v>934290</v>
      </c>
      <c r="U142" s="537"/>
      <c r="V142" s="669"/>
      <c r="W142" s="296"/>
      <c r="X142" s="296"/>
      <c r="Y142" s="495">
        <f t="shared" si="49"/>
        <v>0</v>
      </c>
    </row>
    <row r="143" spans="1:25">
      <c r="A143" s="564">
        <f t="shared" si="57"/>
        <v>138</v>
      </c>
      <c r="B143" s="566" t="s">
        <v>877</v>
      </c>
      <c r="C143" s="673">
        <f t="shared" si="56"/>
        <v>938739</v>
      </c>
      <c r="D143" s="680">
        <f t="shared" si="58"/>
        <v>201094.16116852904</v>
      </c>
      <c r="E143" s="680">
        <f t="shared" si="58"/>
        <v>50132.718050417607</v>
      </c>
      <c r="F143" s="680">
        <f t="shared" si="58"/>
        <v>232718.81316502043</v>
      </c>
      <c r="G143" s="680">
        <f t="shared" si="58"/>
        <v>26763.307272796614</v>
      </c>
      <c r="H143" s="680">
        <f t="shared" si="58"/>
        <v>12070.477861256246</v>
      </c>
      <c r="I143" s="680">
        <f t="shared" si="58"/>
        <v>50934.92200907669</v>
      </c>
      <c r="J143" s="666">
        <f t="shared" si="52"/>
        <v>1512453</v>
      </c>
      <c r="K143" s="680">
        <v>422</v>
      </c>
      <c r="L143" s="680">
        <f t="shared" si="47"/>
        <v>3584.0118483412321</v>
      </c>
      <c r="M143" s="668">
        <v>4705</v>
      </c>
      <c r="N143" s="668"/>
      <c r="O143" s="556" t="s">
        <v>364</v>
      </c>
      <c r="P143" s="669">
        <v>40723</v>
      </c>
      <c r="Q143" s="670"/>
      <c r="R143" s="572">
        <f>K143/2</f>
        <v>211</v>
      </c>
      <c r="S143" s="678">
        <v>4449</v>
      </c>
      <c r="T143" s="495">
        <f t="shared" si="48"/>
        <v>938739</v>
      </c>
      <c r="U143" s="537"/>
      <c r="V143" s="669"/>
      <c r="W143" s="296"/>
      <c r="X143" s="296"/>
      <c r="Y143" s="495">
        <f t="shared" si="49"/>
        <v>0</v>
      </c>
    </row>
    <row r="144" spans="1:25">
      <c r="A144" s="564">
        <f t="shared" si="57"/>
        <v>139</v>
      </c>
      <c r="B144" s="566" t="s">
        <v>717</v>
      </c>
      <c r="C144" s="673">
        <f t="shared" si="56"/>
        <v>3348660</v>
      </c>
      <c r="D144" s="680">
        <f t="shared" si="58"/>
        <v>99594.027687731199</v>
      </c>
      <c r="E144" s="680">
        <f t="shared" si="58"/>
        <v>24828.763205064643</v>
      </c>
      <c r="F144" s="680">
        <f t="shared" si="58"/>
        <v>115256.47381869495</v>
      </c>
      <c r="G144" s="680">
        <f t="shared" si="58"/>
        <v>13254.813317569886</v>
      </c>
      <c r="H144" s="680">
        <f t="shared" si="58"/>
        <v>5978.0328744136386</v>
      </c>
      <c r="I144" s="680">
        <f t="shared" si="58"/>
        <v>25226.063269898172</v>
      </c>
      <c r="J144" s="666">
        <f t="shared" ref="J144:J168" si="60">ROUND(SUM(C144:I144),0)</f>
        <v>3632798</v>
      </c>
      <c r="K144" s="680">
        <v>209</v>
      </c>
      <c r="L144" s="680">
        <f t="shared" si="47"/>
        <v>17381.808612440193</v>
      </c>
      <c r="M144" s="668">
        <v>17330</v>
      </c>
      <c r="N144" s="668"/>
      <c r="O144" s="567" t="s">
        <v>573</v>
      </c>
      <c r="P144" s="669">
        <v>40723</v>
      </c>
      <c r="Q144" s="670"/>
      <c r="R144" s="572">
        <v>210</v>
      </c>
      <c r="S144" s="496">
        <v>15946</v>
      </c>
      <c r="T144" s="495">
        <f t="shared" si="48"/>
        <v>3348660</v>
      </c>
      <c r="U144" s="537"/>
      <c r="V144" s="669"/>
      <c r="W144" s="296"/>
      <c r="X144" s="296"/>
      <c r="Y144" s="495">
        <f t="shared" si="49"/>
        <v>0</v>
      </c>
    </row>
    <row r="145" spans="1:25">
      <c r="A145" s="564">
        <f t="shared" si="57"/>
        <v>140</v>
      </c>
      <c r="B145" s="566" t="s">
        <v>883</v>
      </c>
      <c r="C145" s="673">
        <f t="shared" si="56"/>
        <v>892976</v>
      </c>
      <c r="D145" s="680">
        <f t="shared" si="58"/>
        <v>26208.954654666108</v>
      </c>
      <c r="E145" s="680">
        <f t="shared" si="58"/>
        <v>6533.8850539643799</v>
      </c>
      <c r="F145" s="680">
        <f t="shared" si="58"/>
        <v>30330.651004919724</v>
      </c>
      <c r="G145" s="680">
        <f t="shared" si="58"/>
        <v>3488.108767781549</v>
      </c>
      <c r="H145" s="680">
        <f t="shared" si="58"/>
        <v>1573.1665458983259</v>
      </c>
      <c r="I145" s="680">
        <f t="shared" si="58"/>
        <v>6638.4377026047823</v>
      </c>
      <c r="J145" s="666">
        <f t="shared" si="60"/>
        <v>967749</v>
      </c>
      <c r="K145" s="680">
        <v>55</v>
      </c>
      <c r="L145" s="680">
        <f t="shared" si="47"/>
        <v>17595.436363636363</v>
      </c>
      <c r="M145" s="668">
        <v>17203</v>
      </c>
      <c r="N145" s="668"/>
      <c r="O145" s="567" t="s">
        <v>573</v>
      </c>
      <c r="P145" s="669">
        <v>40723</v>
      </c>
      <c r="Q145" s="670"/>
      <c r="R145" s="572">
        <v>56</v>
      </c>
      <c r="S145" s="496">
        <v>15946</v>
      </c>
      <c r="T145" s="495">
        <f t="shared" si="48"/>
        <v>892976</v>
      </c>
      <c r="U145" s="537"/>
      <c r="V145" s="669"/>
      <c r="W145" s="296"/>
      <c r="X145" s="296"/>
      <c r="Y145" s="495">
        <f t="shared" si="49"/>
        <v>0</v>
      </c>
    </row>
    <row r="146" spans="1:25">
      <c r="A146" s="564">
        <f t="shared" si="57"/>
        <v>141</v>
      </c>
      <c r="B146" s="566" t="s">
        <v>884</v>
      </c>
      <c r="C146" s="673">
        <f t="shared" si="56"/>
        <v>480100</v>
      </c>
      <c r="D146" s="680">
        <f t="shared" ref="D146:I155" si="61">IF($K$170&lt;&gt;0,D$170/$K$170*$K146,0)</f>
        <v>19061.057930666258</v>
      </c>
      <c r="E146" s="680">
        <f t="shared" si="61"/>
        <v>4751.9164028831856</v>
      </c>
      <c r="F146" s="680">
        <f t="shared" si="61"/>
        <v>22058.655276305253</v>
      </c>
      <c r="G146" s="680">
        <f t="shared" si="61"/>
        <v>2536.8063765683992</v>
      </c>
      <c r="H146" s="680">
        <f t="shared" si="61"/>
        <v>1144.1211242896916</v>
      </c>
      <c r="I146" s="680">
        <f t="shared" si="61"/>
        <v>4827.9546928034779</v>
      </c>
      <c r="J146" s="666">
        <f t="shared" si="60"/>
        <v>534481</v>
      </c>
      <c r="K146" s="680">
        <v>40</v>
      </c>
      <c r="L146" s="680">
        <f t="shared" si="47"/>
        <v>13362.025</v>
      </c>
      <c r="M146" s="668">
        <v>14435</v>
      </c>
      <c r="N146" s="668"/>
      <c r="O146" s="567" t="s">
        <v>534</v>
      </c>
      <c r="P146" s="669">
        <v>40723</v>
      </c>
      <c r="Q146" s="670"/>
      <c r="R146" s="572">
        <f>K146/2</f>
        <v>20</v>
      </c>
      <c r="S146" s="496">
        <v>24005</v>
      </c>
      <c r="T146" s="495">
        <f t="shared" si="48"/>
        <v>480100</v>
      </c>
      <c r="U146" s="537"/>
      <c r="V146" s="669"/>
      <c r="W146" s="296"/>
      <c r="X146" s="296"/>
      <c r="Y146" s="495">
        <f t="shared" si="49"/>
        <v>0</v>
      </c>
    </row>
    <row r="147" spans="1:25">
      <c r="A147" s="564">
        <f>IF(B147&lt;&gt;"",A146+1,"")</f>
        <v>142</v>
      </c>
      <c r="B147" s="566" t="s">
        <v>852</v>
      </c>
      <c r="C147" s="673">
        <f t="shared" si="56"/>
        <v>14414</v>
      </c>
      <c r="D147" s="680">
        <f t="shared" si="61"/>
        <v>953.05289653331295</v>
      </c>
      <c r="E147" s="680">
        <f t="shared" si="61"/>
        <v>237.59582014415926</v>
      </c>
      <c r="F147" s="680">
        <f t="shared" si="61"/>
        <v>1102.9327638152627</v>
      </c>
      <c r="G147" s="680">
        <f t="shared" si="61"/>
        <v>126.84031882841997</v>
      </c>
      <c r="H147" s="680">
        <f t="shared" si="61"/>
        <v>57.206056214484576</v>
      </c>
      <c r="I147" s="680">
        <f t="shared" si="61"/>
        <v>241.39773464017389</v>
      </c>
      <c r="J147" s="666">
        <f t="shared" si="60"/>
        <v>17133</v>
      </c>
      <c r="K147" s="680">
        <v>2</v>
      </c>
      <c r="L147" s="680">
        <f t="shared" si="47"/>
        <v>8566.5</v>
      </c>
      <c r="M147" s="668">
        <v>10434</v>
      </c>
      <c r="N147" s="668"/>
      <c r="O147" s="556" t="s">
        <v>612</v>
      </c>
      <c r="P147" s="669">
        <v>40723</v>
      </c>
      <c r="Q147" s="670"/>
      <c r="R147" s="572">
        <f>K147</f>
        <v>2</v>
      </c>
      <c r="S147" s="496">
        <v>7207</v>
      </c>
      <c r="T147" s="495">
        <f t="shared" si="48"/>
        <v>14414</v>
      </c>
      <c r="U147" s="537"/>
      <c r="V147" s="669"/>
      <c r="W147" s="296"/>
      <c r="X147" s="296"/>
      <c r="Y147" s="495">
        <f t="shared" si="49"/>
        <v>0</v>
      </c>
    </row>
    <row r="148" spans="1:25">
      <c r="A148" s="564">
        <f t="shared" si="57"/>
        <v>143</v>
      </c>
      <c r="B148" s="566" t="s">
        <v>885</v>
      </c>
      <c r="C148" s="673">
        <f t="shared" si="56"/>
        <v>4511010</v>
      </c>
      <c r="D148" s="680">
        <f t="shared" si="61"/>
        <v>98640.974791197892</v>
      </c>
      <c r="E148" s="680">
        <f t="shared" si="61"/>
        <v>24591.167384920485</v>
      </c>
      <c r="F148" s="680">
        <f t="shared" si="61"/>
        <v>114153.54105487968</v>
      </c>
      <c r="G148" s="680">
        <f t="shared" si="61"/>
        <v>13127.972998741467</v>
      </c>
      <c r="H148" s="680">
        <f t="shared" si="61"/>
        <v>5920.8268181991534</v>
      </c>
      <c r="I148" s="680">
        <f t="shared" si="61"/>
        <v>24984.665535257998</v>
      </c>
      <c r="J148" s="666">
        <f t="shared" si="60"/>
        <v>4792429</v>
      </c>
      <c r="K148" s="680">
        <v>207</v>
      </c>
      <c r="L148" s="680">
        <f t="shared" si="47"/>
        <v>23151.830917874395</v>
      </c>
      <c r="M148" s="668">
        <v>24601</v>
      </c>
      <c r="N148" s="668"/>
      <c r="O148" s="556" t="s">
        <v>554</v>
      </c>
      <c r="P148" s="669">
        <v>40723</v>
      </c>
      <c r="Q148" s="670"/>
      <c r="R148" s="572">
        <v>210</v>
      </c>
      <c r="S148" s="496">
        <v>21481</v>
      </c>
      <c r="T148" s="495">
        <f t="shared" si="48"/>
        <v>4511010</v>
      </c>
      <c r="U148" s="537"/>
      <c r="V148" s="669"/>
      <c r="W148" s="296"/>
      <c r="X148" s="296"/>
      <c r="Y148" s="495">
        <f t="shared" si="49"/>
        <v>0</v>
      </c>
    </row>
    <row r="149" spans="1:25">
      <c r="A149" s="564">
        <f t="shared" si="57"/>
        <v>144</v>
      </c>
      <c r="B149" s="566" t="s">
        <v>877</v>
      </c>
      <c r="C149" s="673">
        <f t="shared" si="56"/>
        <v>1875780</v>
      </c>
      <c r="D149" s="680">
        <f t="shared" si="61"/>
        <v>96734.868998131264</v>
      </c>
      <c r="E149" s="680">
        <f t="shared" si="61"/>
        <v>24115.975744632164</v>
      </c>
      <c r="F149" s="680">
        <f t="shared" si="61"/>
        <v>111947.67552724916</v>
      </c>
      <c r="G149" s="680">
        <f t="shared" si="61"/>
        <v>12874.292361084626</v>
      </c>
      <c r="H149" s="680">
        <f t="shared" si="61"/>
        <v>5806.4147057701848</v>
      </c>
      <c r="I149" s="680">
        <f t="shared" si="61"/>
        <v>24501.870065977651</v>
      </c>
      <c r="J149" s="666">
        <f t="shared" si="60"/>
        <v>2151761</v>
      </c>
      <c r="K149" s="680">
        <v>203</v>
      </c>
      <c r="L149" s="680">
        <f t="shared" si="47"/>
        <v>10599.807881773399</v>
      </c>
      <c r="M149" s="668">
        <v>12255</v>
      </c>
      <c r="N149" s="668"/>
      <c r="O149" s="556" t="s">
        <v>539</v>
      </c>
      <c r="P149" s="669">
        <v>40723</v>
      </c>
      <c r="Q149" s="670"/>
      <c r="R149" s="572">
        <v>102</v>
      </c>
      <c r="S149" s="496">
        <v>18390</v>
      </c>
      <c r="T149" s="495">
        <f t="shared" si="48"/>
        <v>1875780</v>
      </c>
      <c r="U149" s="537"/>
      <c r="V149" s="669"/>
      <c r="W149" s="296"/>
      <c r="X149" s="296"/>
      <c r="Y149" s="495">
        <f t="shared" si="49"/>
        <v>0</v>
      </c>
    </row>
    <row r="150" spans="1:25">
      <c r="A150" s="564">
        <f t="shared" si="57"/>
        <v>145</v>
      </c>
      <c r="B150" s="566" t="s">
        <v>886</v>
      </c>
      <c r="C150" s="673">
        <f t="shared" si="56"/>
        <v>156843</v>
      </c>
      <c r="D150" s="680">
        <f t="shared" si="61"/>
        <v>4288.7380343999084</v>
      </c>
      <c r="E150" s="680">
        <f t="shared" si="61"/>
        <v>1069.1811906487167</v>
      </c>
      <c r="F150" s="680">
        <f t="shared" si="61"/>
        <v>4963.197437168682</v>
      </c>
      <c r="G150" s="680">
        <f t="shared" si="61"/>
        <v>570.78143472788986</v>
      </c>
      <c r="H150" s="680">
        <f t="shared" si="61"/>
        <v>257.42725296518057</v>
      </c>
      <c r="I150" s="680">
        <f t="shared" si="61"/>
        <v>1086.2898058807825</v>
      </c>
      <c r="J150" s="666">
        <f t="shared" si="60"/>
        <v>169079</v>
      </c>
      <c r="K150" s="680">
        <v>9</v>
      </c>
      <c r="L150" s="680">
        <f t="shared" si="47"/>
        <v>18786.555555555555</v>
      </c>
      <c r="M150" s="668">
        <v>19640</v>
      </c>
      <c r="N150" s="668"/>
      <c r="O150" s="556" t="s">
        <v>467</v>
      </c>
      <c r="P150" s="669">
        <v>40723</v>
      </c>
      <c r="Q150" s="670"/>
      <c r="R150" s="572">
        <v>9</v>
      </c>
      <c r="S150" s="496">
        <v>17427</v>
      </c>
      <c r="T150" s="495">
        <f t="shared" si="48"/>
        <v>156843</v>
      </c>
      <c r="U150" s="537"/>
      <c r="V150" s="669"/>
      <c r="W150" s="296"/>
      <c r="X150" s="296"/>
      <c r="Y150" s="495">
        <f t="shared" si="49"/>
        <v>0</v>
      </c>
    </row>
    <row r="151" spans="1:25">
      <c r="A151" s="564">
        <f t="shared" si="57"/>
        <v>146</v>
      </c>
      <c r="B151" s="566" t="s">
        <v>728</v>
      </c>
      <c r="C151" s="673">
        <f t="shared" si="56"/>
        <v>14079</v>
      </c>
      <c r="D151" s="680">
        <f t="shared" si="61"/>
        <v>476.52644826665647</v>
      </c>
      <c r="E151" s="680">
        <f t="shared" si="61"/>
        <v>118.79791007207963</v>
      </c>
      <c r="F151" s="680">
        <f t="shared" si="61"/>
        <v>551.46638190763133</v>
      </c>
      <c r="G151" s="680">
        <f t="shared" si="61"/>
        <v>63.420159414209984</v>
      </c>
      <c r="H151" s="680">
        <f t="shared" si="61"/>
        <v>28.603028107242288</v>
      </c>
      <c r="I151" s="680">
        <f t="shared" si="61"/>
        <v>120.69886732008695</v>
      </c>
      <c r="J151" s="666">
        <f t="shared" si="60"/>
        <v>15439</v>
      </c>
      <c r="K151" s="680">
        <v>1</v>
      </c>
      <c r="L151" s="680">
        <f t="shared" si="47"/>
        <v>15439</v>
      </c>
      <c r="M151" s="668">
        <v>16417</v>
      </c>
      <c r="N151" s="668"/>
      <c r="O151" s="566" t="s">
        <v>358</v>
      </c>
      <c r="P151" s="669">
        <v>40723</v>
      </c>
      <c r="Q151" s="670"/>
      <c r="R151" s="572">
        <f>K151</f>
        <v>1</v>
      </c>
      <c r="S151" s="496">
        <v>14079</v>
      </c>
      <c r="T151" s="495">
        <f t="shared" si="48"/>
        <v>14079</v>
      </c>
      <c r="U151" s="537"/>
      <c r="V151" s="669"/>
      <c r="W151" s="296"/>
      <c r="X151" s="296"/>
      <c r="Y151" s="495">
        <f t="shared" si="49"/>
        <v>0</v>
      </c>
    </row>
    <row r="152" spans="1:25">
      <c r="A152" s="564">
        <f t="shared" si="57"/>
        <v>147</v>
      </c>
      <c r="B152" s="566" t="s">
        <v>887</v>
      </c>
      <c r="C152" s="673">
        <f t="shared" si="56"/>
        <v>53349</v>
      </c>
      <c r="D152" s="680">
        <f t="shared" si="61"/>
        <v>1429.5793447999695</v>
      </c>
      <c r="E152" s="680">
        <f t="shared" si="61"/>
        <v>356.39373021623891</v>
      </c>
      <c r="F152" s="680">
        <f t="shared" si="61"/>
        <v>1654.399145722894</v>
      </c>
      <c r="G152" s="680">
        <f t="shared" si="61"/>
        <v>190.26047824262994</v>
      </c>
      <c r="H152" s="680">
        <f t="shared" si="61"/>
        <v>85.809084321726857</v>
      </c>
      <c r="I152" s="680">
        <f t="shared" si="61"/>
        <v>362.09660196026084</v>
      </c>
      <c r="J152" s="666">
        <f t="shared" si="60"/>
        <v>57428</v>
      </c>
      <c r="K152" s="680">
        <v>3</v>
      </c>
      <c r="L152" s="680">
        <f t="shared" si="47"/>
        <v>19142.666666666668</v>
      </c>
      <c r="M152" s="668">
        <v>20389</v>
      </c>
      <c r="N152" s="668"/>
      <c r="O152" s="556" t="s">
        <v>560</v>
      </c>
      <c r="P152" s="669">
        <v>40723</v>
      </c>
      <c r="Q152" s="670"/>
      <c r="R152" s="572">
        <v>1.5</v>
      </c>
      <c r="S152" s="496">
        <v>35566</v>
      </c>
      <c r="T152" s="495">
        <f t="shared" si="48"/>
        <v>53349</v>
      </c>
      <c r="U152" s="537"/>
      <c r="V152" s="669"/>
      <c r="W152" s="296"/>
      <c r="X152" s="296"/>
      <c r="Y152" s="495">
        <f t="shared" si="49"/>
        <v>0</v>
      </c>
    </row>
    <row r="153" spans="1:25">
      <c r="A153" s="564">
        <f t="shared" si="57"/>
        <v>148</v>
      </c>
      <c r="B153" s="566" t="s">
        <v>727</v>
      </c>
      <c r="C153" s="673">
        <f t="shared" si="56"/>
        <v>132027.5</v>
      </c>
      <c r="D153" s="680">
        <f t="shared" si="61"/>
        <v>5241.7909309332208</v>
      </c>
      <c r="E153" s="680">
        <f t="shared" si="61"/>
        <v>1306.7770107928759</v>
      </c>
      <c r="F153" s="680">
        <f t="shared" si="61"/>
        <v>6066.1302009839446</v>
      </c>
      <c r="G153" s="680">
        <f t="shared" si="61"/>
        <v>697.62175355630984</v>
      </c>
      <c r="H153" s="680">
        <f t="shared" si="61"/>
        <v>314.63330917966516</v>
      </c>
      <c r="I153" s="680">
        <f t="shared" si="61"/>
        <v>1327.6875405209564</v>
      </c>
      <c r="J153" s="666">
        <f t="shared" si="60"/>
        <v>146982</v>
      </c>
      <c r="K153" s="680">
        <v>11</v>
      </c>
      <c r="L153" s="680">
        <f t="shared" si="47"/>
        <v>13362</v>
      </c>
      <c r="M153" s="668">
        <v>14129</v>
      </c>
      <c r="N153" s="668"/>
      <c r="O153" s="567" t="s">
        <v>534</v>
      </c>
      <c r="P153" s="669">
        <v>40723</v>
      </c>
      <c r="Q153" s="670"/>
      <c r="R153" s="572">
        <f>K153/2</f>
        <v>5.5</v>
      </c>
      <c r="S153" s="496">
        <v>24005</v>
      </c>
      <c r="T153" s="495">
        <f t="shared" si="48"/>
        <v>132027.5</v>
      </c>
      <c r="U153" s="537"/>
      <c r="V153" s="669"/>
      <c r="W153" s="296"/>
      <c r="X153" s="296"/>
      <c r="Y153" s="495">
        <f t="shared" si="49"/>
        <v>0</v>
      </c>
    </row>
    <row r="154" spans="1:25">
      <c r="A154" s="564">
        <f t="shared" si="57"/>
        <v>149</v>
      </c>
      <c r="B154" s="566" t="s">
        <v>851</v>
      </c>
      <c r="C154" s="673">
        <f t="shared" si="56"/>
        <v>187382</v>
      </c>
      <c r="D154" s="680">
        <f t="shared" si="61"/>
        <v>12389.687654933068</v>
      </c>
      <c r="E154" s="680">
        <f t="shared" si="61"/>
        <v>3088.7456618740703</v>
      </c>
      <c r="F154" s="680">
        <f t="shared" si="61"/>
        <v>14338.125929598415</v>
      </c>
      <c r="G154" s="680">
        <f t="shared" si="61"/>
        <v>1648.9241447694596</v>
      </c>
      <c r="H154" s="680">
        <f t="shared" si="61"/>
        <v>743.6787307882995</v>
      </c>
      <c r="I154" s="680">
        <f t="shared" si="61"/>
        <v>3138.1705503222606</v>
      </c>
      <c r="J154" s="666">
        <f t="shared" si="60"/>
        <v>222729</v>
      </c>
      <c r="K154" s="680">
        <v>26</v>
      </c>
      <c r="L154" s="680">
        <f t="shared" si="47"/>
        <v>8566.5</v>
      </c>
      <c r="M154" s="668">
        <v>10433</v>
      </c>
      <c r="N154" s="668"/>
      <c r="O154" s="556" t="s">
        <v>612</v>
      </c>
      <c r="P154" s="669">
        <v>40723</v>
      </c>
      <c r="Q154" s="670"/>
      <c r="R154" s="572">
        <f>K154</f>
        <v>26</v>
      </c>
      <c r="S154" s="496">
        <v>7207</v>
      </c>
      <c r="T154" s="495">
        <f t="shared" si="48"/>
        <v>187382</v>
      </c>
      <c r="U154" s="537"/>
      <c r="V154" s="669"/>
      <c r="W154" s="296"/>
      <c r="X154" s="296"/>
      <c r="Y154" s="495">
        <f t="shared" si="49"/>
        <v>0</v>
      </c>
    </row>
    <row r="155" spans="1:25">
      <c r="A155" s="564">
        <f t="shared" si="57"/>
        <v>150</v>
      </c>
      <c r="B155" s="566" t="s">
        <v>888</v>
      </c>
      <c r="C155" s="673">
        <f t="shared" si="56"/>
        <v>333200</v>
      </c>
      <c r="D155" s="680">
        <f t="shared" si="61"/>
        <v>9530.5289653331292</v>
      </c>
      <c r="E155" s="680">
        <f t="shared" si="61"/>
        <v>2375.9582014415928</v>
      </c>
      <c r="F155" s="680">
        <f t="shared" si="61"/>
        <v>11029.327638152627</v>
      </c>
      <c r="G155" s="680">
        <f t="shared" si="61"/>
        <v>1268.4031882841996</v>
      </c>
      <c r="H155" s="680">
        <f t="shared" si="61"/>
        <v>572.06056214484579</v>
      </c>
      <c r="I155" s="680">
        <f t="shared" si="61"/>
        <v>2413.9773464017389</v>
      </c>
      <c r="J155" s="666">
        <f t="shared" si="60"/>
        <v>360390</v>
      </c>
      <c r="K155" s="680">
        <v>20</v>
      </c>
      <c r="L155" s="680">
        <f t="shared" si="47"/>
        <v>18019.5</v>
      </c>
      <c r="M155" s="668">
        <v>19208</v>
      </c>
      <c r="N155" s="668"/>
      <c r="O155" s="567" t="s">
        <v>572</v>
      </c>
      <c r="P155" s="669">
        <v>40723</v>
      </c>
      <c r="Q155" s="670"/>
      <c r="R155" s="572">
        <v>20</v>
      </c>
      <c r="S155" s="496">
        <v>16660</v>
      </c>
      <c r="T155" s="495">
        <f t="shared" si="48"/>
        <v>333200</v>
      </c>
      <c r="U155" s="537"/>
      <c r="V155" s="669"/>
      <c r="W155" s="296"/>
      <c r="X155" s="296"/>
      <c r="Y155" s="495">
        <f t="shared" si="49"/>
        <v>0</v>
      </c>
    </row>
    <row r="156" spans="1:25">
      <c r="A156" s="564">
        <f t="shared" si="57"/>
        <v>151</v>
      </c>
      <c r="B156" s="566" t="s">
        <v>889</v>
      </c>
      <c r="C156" s="673">
        <f t="shared" si="56"/>
        <v>1129632</v>
      </c>
      <c r="D156" s="680">
        <f t="shared" ref="D156:I168" si="62">IF($K$170&lt;&gt;0,D$170/$K$170*$K156,0)</f>
        <v>29068.113344266047</v>
      </c>
      <c r="E156" s="680">
        <f t="shared" si="62"/>
        <v>7246.6725143968579</v>
      </c>
      <c r="F156" s="680">
        <f t="shared" si="62"/>
        <v>33639.449296365514</v>
      </c>
      <c r="G156" s="680">
        <f t="shared" si="62"/>
        <v>3868.6297242668088</v>
      </c>
      <c r="H156" s="680">
        <f t="shared" si="62"/>
        <v>1744.7847145417795</v>
      </c>
      <c r="I156" s="680">
        <f t="shared" si="62"/>
        <v>7362.6309065253035</v>
      </c>
      <c r="J156" s="666">
        <f t="shared" si="60"/>
        <v>1212562</v>
      </c>
      <c r="K156" s="680">
        <v>61</v>
      </c>
      <c r="L156" s="680">
        <f t="shared" ref="L156:L168" si="63">IF(K156&lt;&gt;"",J156/K156,"")</f>
        <v>19878.065573770491</v>
      </c>
      <c r="M156" s="668">
        <v>21962</v>
      </c>
      <c r="N156" s="668"/>
      <c r="O156" s="567" t="s">
        <v>568</v>
      </c>
      <c r="P156" s="669">
        <v>40723</v>
      </c>
      <c r="Q156" s="670"/>
      <c r="R156" s="572">
        <v>32</v>
      </c>
      <c r="S156" s="496">
        <v>35301</v>
      </c>
      <c r="T156" s="495">
        <f t="shared" ref="T156:T168" si="64">R156*S156</f>
        <v>1129632</v>
      </c>
      <c r="U156" s="537"/>
      <c r="V156" s="669"/>
      <c r="W156" s="296"/>
      <c r="X156" s="296"/>
      <c r="Y156" s="495">
        <f t="shared" ref="Y156:Y168" si="65">W156*X156</f>
        <v>0</v>
      </c>
    </row>
    <row r="157" spans="1:25">
      <c r="A157" s="564">
        <f t="shared" si="57"/>
        <v>152</v>
      </c>
      <c r="B157" s="566" t="s">
        <v>732</v>
      </c>
      <c r="C157" s="673">
        <f t="shared" si="56"/>
        <v>155715</v>
      </c>
      <c r="D157" s="680">
        <f t="shared" si="62"/>
        <v>66713.702757331906</v>
      </c>
      <c r="E157" s="680">
        <f t="shared" si="62"/>
        <v>16631.707410091149</v>
      </c>
      <c r="F157" s="680">
        <f t="shared" si="62"/>
        <v>77205.29346706839</v>
      </c>
      <c r="G157" s="680">
        <f t="shared" si="62"/>
        <v>8878.8223179893976</v>
      </c>
      <c r="H157" s="680">
        <f t="shared" si="62"/>
        <v>4004.4239350139205</v>
      </c>
      <c r="I157" s="680">
        <f t="shared" si="62"/>
        <v>16897.841424812173</v>
      </c>
      <c r="J157" s="666">
        <f t="shared" si="60"/>
        <v>346047</v>
      </c>
      <c r="K157" s="680">
        <v>140</v>
      </c>
      <c r="L157" s="680">
        <f t="shared" si="63"/>
        <v>2471.7642857142855</v>
      </c>
      <c r="M157" s="668">
        <v>3065</v>
      </c>
      <c r="N157" s="668"/>
      <c r="O157" s="556" t="s">
        <v>364</v>
      </c>
      <c r="P157" s="669">
        <v>40723</v>
      </c>
      <c r="Q157" s="670"/>
      <c r="R157" s="572">
        <f>K157/4</f>
        <v>35</v>
      </c>
      <c r="S157" s="678">
        <v>4449</v>
      </c>
      <c r="T157" s="495">
        <f t="shared" si="64"/>
        <v>155715</v>
      </c>
      <c r="U157" s="537"/>
      <c r="V157" s="669"/>
      <c r="W157" s="296"/>
      <c r="X157" s="296"/>
      <c r="Y157" s="495">
        <f t="shared" si="65"/>
        <v>0</v>
      </c>
    </row>
    <row r="158" spans="1:25">
      <c r="A158" s="564">
        <f t="shared" si="57"/>
        <v>153</v>
      </c>
      <c r="B158" s="566" t="s">
        <v>882</v>
      </c>
      <c r="C158" s="673">
        <f t="shared" si="56"/>
        <v>632800</v>
      </c>
      <c r="D158" s="680">
        <f t="shared" si="62"/>
        <v>19061.057930666258</v>
      </c>
      <c r="E158" s="680">
        <f t="shared" si="62"/>
        <v>4751.9164028831856</v>
      </c>
      <c r="F158" s="680">
        <f t="shared" si="62"/>
        <v>22058.655276305253</v>
      </c>
      <c r="G158" s="680">
        <f t="shared" si="62"/>
        <v>2536.8063765683992</v>
      </c>
      <c r="H158" s="680">
        <f t="shared" si="62"/>
        <v>1144.1211242896916</v>
      </c>
      <c r="I158" s="680">
        <f t="shared" si="62"/>
        <v>4827.9546928034779</v>
      </c>
      <c r="J158" s="666">
        <f t="shared" si="60"/>
        <v>687181</v>
      </c>
      <c r="K158" s="680">
        <v>40</v>
      </c>
      <c r="L158" s="680">
        <f t="shared" si="63"/>
        <v>17179.525000000001</v>
      </c>
      <c r="M158" s="668">
        <v>18185</v>
      </c>
      <c r="N158" s="668"/>
      <c r="O158" s="556" t="s">
        <v>598</v>
      </c>
      <c r="P158" s="669">
        <v>40723</v>
      </c>
      <c r="Q158" s="670"/>
      <c r="R158" s="572">
        <v>20</v>
      </c>
      <c r="S158" s="496">
        <v>31640</v>
      </c>
      <c r="T158" s="495">
        <f t="shared" si="64"/>
        <v>632800</v>
      </c>
      <c r="U158" s="537"/>
      <c r="V158" s="669"/>
      <c r="W158" s="296"/>
      <c r="X158" s="296"/>
      <c r="Y158" s="495">
        <f t="shared" si="65"/>
        <v>0</v>
      </c>
    </row>
    <row r="159" spans="1:25">
      <c r="A159" s="713">
        <f t="shared" si="57"/>
        <v>154</v>
      </c>
      <c r="B159" s="558" t="s">
        <v>720</v>
      </c>
      <c r="C159" s="673">
        <f t="shared" si="56"/>
        <v>1152240</v>
      </c>
      <c r="D159" s="674">
        <f t="shared" si="62"/>
        <v>45270.012585332363</v>
      </c>
      <c r="E159" s="674">
        <f t="shared" si="62"/>
        <v>11285.801456847565</v>
      </c>
      <c r="F159" s="674">
        <f t="shared" si="62"/>
        <v>52389.306281224977</v>
      </c>
      <c r="G159" s="674">
        <f t="shared" si="62"/>
        <v>6024.9151443499486</v>
      </c>
      <c r="H159" s="674">
        <f t="shared" si="62"/>
        <v>2717.2876701880173</v>
      </c>
      <c r="I159" s="674">
        <f t="shared" si="62"/>
        <v>11466.39239540826</v>
      </c>
      <c r="J159" s="666">
        <f t="shared" si="60"/>
        <v>1281394</v>
      </c>
      <c r="K159" s="674">
        <v>95</v>
      </c>
      <c r="L159" s="674">
        <f t="shared" si="63"/>
        <v>13488.357894736842</v>
      </c>
      <c r="M159" s="668">
        <v>14591</v>
      </c>
      <c r="N159" s="668"/>
      <c r="O159" s="567" t="s">
        <v>534</v>
      </c>
      <c r="P159" s="669">
        <v>40723</v>
      </c>
      <c r="Q159" s="670"/>
      <c r="R159" s="572">
        <v>48</v>
      </c>
      <c r="S159" s="496">
        <v>24005</v>
      </c>
      <c r="T159" s="495">
        <f t="shared" si="64"/>
        <v>1152240</v>
      </c>
      <c r="U159" s="537"/>
      <c r="V159" s="669"/>
      <c r="W159" s="296"/>
      <c r="X159" s="296"/>
      <c r="Y159" s="495">
        <f t="shared" si="65"/>
        <v>0</v>
      </c>
    </row>
    <row r="160" spans="1:25">
      <c r="A160" s="564">
        <f>IF(B160&lt;&gt;"",A159+1,"")</f>
        <v>155</v>
      </c>
      <c r="B160" s="566" t="s">
        <v>855</v>
      </c>
      <c r="C160" s="513">
        <f t="shared" ref="C160:C164" si="66">T160</f>
        <v>9184000</v>
      </c>
      <c r="D160" s="680">
        <f t="shared" si="62"/>
        <v>953052.89653331297</v>
      </c>
      <c r="E160" s="680">
        <f t="shared" si="62"/>
        <v>237595.82014415925</v>
      </c>
      <c r="F160" s="680">
        <f t="shared" si="62"/>
        <v>1102932.7638152626</v>
      </c>
      <c r="G160" s="680">
        <f t="shared" si="62"/>
        <v>126840.31882841997</v>
      </c>
      <c r="H160" s="680">
        <f t="shared" si="62"/>
        <v>57206.056214484575</v>
      </c>
      <c r="I160" s="680">
        <f t="shared" si="62"/>
        <v>241397.73464017391</v>
      </c>
      <c r="J160" s="666">
        <f t="shared" si="60"/>
        <v>11903026</v>
      </c>
      <c r="K160" s="680">
        <v>2000</v>
      </c>
      <c r="L160" s="680">
        <f t="shared" si="63"/>
        <v>5951.5129999999999</v>
      </c>
      <c r="M160" s="668">
        <v>7229</v>
      </c>
      <c r="N160" s="668"/>
      <c r="O160" s="556" t="s">
        <v>455</v>
      </c>
      <c r="P160" s="669">
        <v>40723</v>
      </c>
      <c r="Q160" s="670"/>
      <c r="R160" s="572">
        <f>K160</f>
        <v>2000</v>
      </c>
      <c r="S160" s="496">
        <v>4592</v>
      </c>
      <c r="T160" s="495">
        <f t="shared" si="64"/>
        <v>9184000</v>
      </c>
      <c r="U160" s="537"/>
      <c r="V160" s="669"/>
      <c r="W160" s="296"/>
      <c r="X160" s="296"/>
      <c r="Y160" s="495">
        <f t="shared" si="65"/>
        <v>0</v>
      </c>
    </row>
    <row r="161" spans="1:25">
      <c r="A161" s="713">
        <f t="shared" si="57"/>
        <v>156</v>
      </c>
      <c r="B161" s="558" t="s">
        <v>890</v>
      </c>
      <c r="C161" s="513">
        <f t="shared" si="66"/>
        <v>3672765</v>
      </c>
      <c r="D161" s="674">
        <f t="shared" si="62"/>
        <v>145817.09316959689</v>
      </c>
      <c r="E161" s="674">
        <f t="shared" si="62"/>
        <v>36352.160482056366</v>
      </c>
      <c r="F161" s="674">
        <f t="shared" si="62"/>
        <v>168748.71286373519</v>
      </c>
      <c r="G161" s="674">
        <f t="shared" si="62"/>
        <v>19406.568780748254</v>
      </c>
      <c r="H161" s="674">
        <f t="shared" si="62"/>
        <v>8752.5266008161398</v>
      </c>
      <c r="I161" s="674">
        <f t="shared" si="62"/>
        <v>36933.853399946609</v>
      </c>
      <c r="J161" s="666">
        <f t="shared" si="60"/>
        <v>4088776</v>
      </c>
      <c r="K161" s="674">
        <v>306</v>
      </c>
      <c r="L161" s="674">
        <f t="shared" si="63"/>
        <v>13362.013071895424</v>
      </c>
      <c r="M161" s="668">
        <v>14330</v>
      </c>
      <c r="N161" s="668"/>
      <c r="O161" s="567" t="s">
        <v>534</v>
      </c>
      <c r="P161" s="669">
        <v>40723</v>
      </c>
      <c r="Q161" s="670"/>
      <c r="R161" s="572">
        <f>K161/2</f>
        <v>153</v>
      </c>
      <c r="S161" s="496">
        <v>24005</v>
      </c>
      <c r="T161" s="495">
        <f t="shared" si="64"/>
        <v>3672765</v>
      </c>
      <c r="U161" s="537"/>
      <c r="V161" s="669"/>
      <c r="W161" s="296"/>
      <c r="X161" s="296"/>
      <c r="Y161" s="495">
        <f t="shared" si="65"/>
        <v>0</v>
      </c>
    </row>
    <row r="162" spans="1:25">
      <c r="A162" s="564">
        <f>IF(B162&lt;&gt;"",A161+1,"")</f>
        <v>157</v>
      </c>
      <c r="B162" s="566" t="s">
        <v>777</v>
      </c>
      <c r="C162" s="513">
        <f t="shared" si="66"/>
        <v>2394484</v>
      </c>
      <c r="D162" s="680">
        <f t="shared" si="62"/>
        <v>186321.84127226268</v>
      </c>
      <c r="E162" s="680">
        <f t="shared" si="62"/>
        <v>46449.982838183132</v>
      </c>
      <c r="F162" s="680">
        <f t="shared" si="62"/>
        <v>215623.35532588384</v>
      </c>
      <c r="G162" s="680">
        <f t="shared" si="62"/>
        <v>24797.282330956103</v>
      </c>
      <c r="H162" s="680">
        <f t="shared" si="62"/>
        <v>11183.783989931735</v>
      </c>
      <c r="I162" s="680">
        <f t="shared" si="62"/>
        <v>47193.257122153998</v>
      </c>
      <c r="J162" s="666">
        <f t="shared" si="60"/>
        <v>2926054</v>
      </c>
      <c r="K162" s="680">
        <v>391</v>
      </c>
      <c r="L162" s="680">
        <f t="shared" si="63"/>
        <v>7483.5140664961637</v>
      </c>
      <c r="M162" s="668">
        <v>9760</v>
      </c>
      <c r="N162" s="668"/>
      <c r="O162" s="556" t="s">
        <v>362</v>
      </c>
      <c r="P162" s="669">
        <v>40723</v>
      </c>
      <c r="Q162" s="670"/>
      <c r="R162" s="572">
        <f>K162</f>
        <v>391</v>
      </c>
      <c r="S162" s="496">
        <v>6124</v>
      </c>
      <c r="T162" s="495">
        <f t="shared" si="64"/>
        <v>2394484</v>
      </c>
      <c r="U162" s="537"/>
      <c r="V162" s="669"/>
      <c r="W162" s="296"/>
      <c r="X162" s="296"/>
      <c r="Y162" s="495">
        <f t="shared" si="65"/>
        <v>0</v>
      </c>
    </row>
    <row r="163" spans="1:25">
      <c r="A163" s="564">
        <f t="shared" si="57"/>
        <v>158</v>
      </c>
      <c r="B163" s="566" t="s">
        <v>770</v>
      </c>
      <c r="C163" s="513">
        <f t="shared" si="66"/>
        <v>1789722</v>
      </c>
      <c r="D163" s="680">
        <f t="shared" si="62"/>
        <v>141528.35513519697</v>
      </c>
      <c r="E163" s="680">
        <f t="shared" si="62"/>
        <v>35282.979291407653</v>
      </c>
      <c r="F163" s="680">
        <f t="shared" si="62"/>
        <v>163785.5154265665</v>
      </c>
      <c r="G163" s="680">
        <f t="shared" si="62"/>
        <v>18835.787346020366</v>
      </c>
      <c r="H163" s="680">
        <f t="shared" si="62"/>
        <v>8495.099347850959</v>
      </c>
      <c r="I163" s="680">
        <f t="shared" si="62"/>
        <v>35847.563594065825</v>
      </c>
      <c r="J163" s="666">
        <f t="shared" si="60"/>
        <v>2193497</v>
      </c>
      <c r="K163" s="680">
        <v>297</v>
      </c>
      <c r="L163" s="680">
        <f t="shared" si="63"/>
        <v>7385.5117845117848</v>
      </c>
      <c r="M163" s="668">
        <v>7500</v>
      </c>
      <c r="N163" s="668"/>
      <c r="O163" s="566" t="s">
        <v>456</v>
      </c>
      <c r="P163" s="669">
        <v>40723</v>
      </c>
      <c r="Q163" s="670"/>
      <c r="R163" s="572">
        <f>K163</f>
        <v>297</v>
      </c>
      <c r="S163" s="496">
        <v>6026</v>
      </c>
      <c r="T163" s="495">
        <f t="shared" si="64"/>
        <v>1789722</v>
      </c>
      <c r="U163" s="537"/>
      <c r="V163" s="669"/>
      <c r="W163" s="296"/>
      <c r="X163" s="296"/>
      <c r="Y163" s="495">
        <f t="shared" si="65"/>
        <v>0</v>
      </c>
    </row>
    <row r="164" spans="1:25">
      <c r="A164" s="564">
        <f t="shared" si="57"/>
        <v>159</v>
      </c>
      <c r="B164" s="566" t="s">
        <v>892</v>
      </c>
      <c r="C164" s="513">
        <f t="shared" si="66"/>
        <v>608626</v>
      </c>
      <c r="D164" s="680">
        <f t="shared" si="62"/>
        <v>48129.171274932305</v>
      </c>
      <c r="E164" s="680">
        <f t="shared" si="62"/>
        <v>11998.588917280043</v>
      </c>
      <c r="F164" s="680">
        <f t="shared" si="62"/>
        <v>55698.104572670767</v>
      </c>
      <c r="G164" s="680">
        <f t="shared" si="62"/>
        <v>6405.436100835208</v>
      </c>
      <c r="H164" s="680">
        <f t="shared" si="62"/>
        <v>2888.9058388314711</v>
      </c>
      <c r="I164" s="680">
        <f t="shared" si="62"/>
        <v>12190.585599328782</v>
      </c>
      <c r="J164" s="666">
        <f t="shared" si="60"/>
        <v>745937</v>
      </c>
      <c r="K164" s="680">
        <v>101</v>
      </c>
      <c r="L164" s="680">
        <f t="shared" si="63"/>
        <v>7385.5148514851489</v>
      </c>
      <c r="M164" s="668">
        <v>8800</v>
      </c>
      <c r="N164" s="668"/>
      <c r="O164" s="566" t="s">
        <v>456</v>
      </c>
      <c r="P164" s="669">
        <v>40723</v>
      </c>
      <c r="Q164" s="670"/>
      <c r="R164" s="572">
        <f>K164</f>
        <v>101</v>
      </c>
      <c r="S164" s="496">
        <v>6026</v>
      </c>
      <c r="T164" s="495">
        <f t="shared" si="64"/>
        <v>608626</v>
      </c>
      <c r="U164" s="537"/>
      <c r="V164" s="669"/>
      <c r="W164" s="296"/>
      <c r="X164" s="296"/>
      <c r="Y164" s="495">
        <f t="shared" si="65"/>
        <v>0</v>
      </c>
    </row>
    <row r="165" spans="1:25">
      <c r="A165" s="564">
        <f t="shared" si="57"/>
        <v>160</v>
      </c>
      <c r="B165" s="566" t="s">
        <v>891</v>
      </c>
      <c r="C165" s="513">
        <f t="shared" ref="C165:C168" si="67">T165</f>
        <v>620678</v>
      </c>
      <c r="D165" s="680">
        <f t="shared" si="62"/>
        <v>49082.224171465619</v>
      </c>
      <c r="E165" s="680">
        <f t="shared" si="62"/>
        <v>12236.184737424202</v>
      </c>
      <c r="F165" s="680">
        <f t="shared" si="62"/>
        <v>56801.037336486028</v>
      </c>
      <c r="G165" s="680">
        <f t="shared" si="62"/>
        <v>6532.2764196636281</v>
      </c>
      <c r="H165" s="680">
        <f t="shared" si="62"/>
        <v>2946.1118950459559</v>
      </c>
      <c r="I165" s="680">
        <f t="shared" si="62"/>
        <v>12431.983333968956</v>
      </c>
      <c r="J165" s="666">
        <f t="shared" si="60"/>
        <v>760708</v>
      </c>
      <c r="K165" s="680">
        <v>103</v>
      </c>
      <c r="L165" s="680">
        <f t="shared" si="63"/>
        <v>7385.5145631067962</v>
      </c>
      <c r="M165" s="668">
        <v>7630</v>
      </c>
      <c r="N165" s="668"/>
      <c r="O165" s="566" t="s">
        <v>456</v>
      </c>
      <c r="P165" s="669">
        <v>40723</v>
      </c>
      <c r="Q165" s="670"/>
      <c r="R165" s="572">
        <f>K165</f>
        <v>103</v>
      </c>
      <c r="S165" s="496">
        <v>6026</v>
      </c>
      <c r="T165" s="495">
        <f t="shared" si="64"/>
        <v>620678</v>
      </c>
      <c r="U165" s="537"/>
      <c r="V165" s="669"/>
      <c r="W165" s="296"/>
      <c r="X165" s="296"/>
      <c r="Y165" s="495">
        <f t="shared" si="65"/>
        <v>0</v>
      </c>
    </row>
    <row r="166" spans="1:25">
      <c r="A166" s="564">
        <f t="shared" si="57"/>
        <v>161</v>
      </c>
      <c r="B166" s="566" t="s">
        <v>767</v>
      </c>
      <c r="C166" s="513">
        <f t="shared" si="67"/>
        <v>1653190</v>
      </c>
      <c r="D166" s="680">
        <f t="shared" si="62"/>
        <v>51941.382861065555</v>
      </c>
      <c r="E166" s="680">
        <f t="shared" si="62"/>
        <v>12948.972197856679</v>
      </c>
      <c r="F166" s="680">
        <f t="shared" si="62"/>
        <v>60109.835627931818</v>
      </c>
      <c r="G166" s="680">
        <f t="shared" si="62"/>
        <v>6912.7973761488884</v>
      </c>
      <c r="H166" s="680">
        <f t="shared" si="62"/>
        <v>3117.7300636894092</v>
      </c>
      <c r="I166" s="680">
        <f t="shared" si="62"/>
        <v>13156.176537889478</v>
      </c>
      <c r="J166" s="666">
        <f t="shared" si="60"/>
        <v>1801377</v>
      </c>
      <c r="K166" s="680">
        <v>109</v>
      </c>
      <c r="L166" s="680">
        <f t="shared" si="63"/>
        <v>16526.394495412846</v>
      </c>
      <c r="M166" s="668">
        <v>18940</v>
      </c>
      <c r="N166" s="668"/>
      <c r="O166" s="567" t="s">
        <v>593</v>
      </c>
      <c r="P166" s="669">
        <v>40723</v>
      </c>
      <c r="Q166" s="670"/>
      <c r="R166" s="572">
        <v>55</v>
      </c>
      <c r="S166" s="496">
        <v>30058</v>
      </c>
      <c r="T166" s="495">
        <f t="shared" si="64"/>
        <v>1653190</v>
      </c>
      <c r="U166" s="537"/>
      <c r="V166" s="669"/>
      <c r="W166" s="296"/>
      <c r="X166" s="296"/>
      <c r="Y166" s="495">
        <f t="shared" si="65"/>
        <v>0</v>
      </c>
    </row>
    <row r="167" spans="1:25">
      <c r="A167" s="564">
        <f t="shared" si="57"/>
        <v>162</v>
      </c>
      <c r="B167" s="566" t="s">
        <v>893</v>
      </c>
      <c r="C167" s="513">
        <f t="shared" si="67"/>
        <v>2104544</v>
      </c>
      <c r="D167" s="680">
        <f t="shared" si="62"/>
        <v>49558.750619732273</v>
      </c>
      <c r="E167" s="680">
        <f t="shared" si="62"/>
        <v>12354.982647496281</v>
      </c>
      <c r="F167" s="680">
        <f t="shared" si="62"/>
        <v>57352.503718393658</v>
      </c>
      <c r="G167" s="680">
        <f t="shared" si="62"/>
        <v>6595.6965790778386</v>
      </c>
      <c r="H167" s="680">
        <f t="shared" si="62"/>
        <v>2974.714923153198</v>
      </c>
      <c r="I167" s="680">
        <f t="shared" si="62"/>
        <v>12552.682201289042</v>
      </c>
      <c r="J167" s="666">
        <f t="shared" si="60"/>
        <v>2245933</v>
      </c>
      <c r="K167" s="680">
        <v>104</v>
      </c>
      <c r="L167" s="680">
        <f t="shared" si="63"/>
        <v>21595.509615384617</v>
      </c>
      <c r="M167" s="668">
        <v>23100</v>
      </c>
      <c r="N167" s="668"/>
      <c r="O167" s="556" t="s">
        <v>549</v>
      </c>
      <c r="P167" s="669">
        <v>40723</v>
      </c>
      <c r="Q167" s="670"/>
      <c r="R167" s="683">
        <v>104</v>
      </c>
      <c r="S167" s="300">
        <v>20236</v>
      </c>
      <c r="T167" s="495">
        <f t="shared" si="64"/>
        <v>2104544</v>
      </c>
      <c r="U167" s="537"/>
      <c r="V167" s="669"/>
      <c r="W167" s="296"/>
      <c r="X167" s="296"/>
      <c r="Y167" s="495">
        <f t="shared" si="65"/>
        <v>0</v>
      </c>
    </row>
    <row r="168" spans="1:25">
      <c r="A168" s="564">
        <f t="shared" si="57"/>
        <v>163</v>
      </c>
      <c r="B168" s="566" t="s">
        <v>855</v>
      </c>
      <c r="C168" s="513">
        <f t="shared" si="67"/>
        <v>4688228</v>
      </c>
      <c r="D168" s="680">
        <f t="shared" si="62"/>
        <v>370737.57675145875</v>
      </c>
      <c r="E168" s="680">
        <f t="shared" si="62"/>
        <v>92424.774036077957</v>
      </c>
      <c r="F168" s="680">
        <f t="shared" si="62"/>
        <v>429040.84512413718</v>
      </c>
      <c r="G168" s="680">
        <f t="shared" si="62"/>
        <v>49340.884024255371</v>
      </c>
      <c r="H168" s="680">
        <f t="shared" si="62"/>
        <v>22253.1558674345</v>
      </c>
      <c r="I168" s="680">
        <f t="shared" si="62"/>
        <v>93903.71877502765</v>
      </c>
      <c r="J168" s="666">
        <f t="shared" si="60"/>
        <v>5745929</v>
      </c>
      <c r="K168" s="680">
        <v>778</v>
      </c>
      <c r="L168" s="680">
        <f t="shared" si="63"/>
        <v>7385.5128534704372</v>
      </c>
      <c r="M168" s="668">
        <v>7229</v>
      </c>
      <c r="N168" s="668"/>
      <c r="O168" s="566" t="s">
        <v>456</v>
      </c>
      <c r="P168" s="669">
        <v>40724</v>
      </c>
      <c r="Q168" s="670"/>
      <c r="R168" s="572">
        <f>K168</f>
        <v>778</v>
      </c>
      <c r="S168" s="496">
        <v>6026</v>
      </c>
      <c r="T168" s="495">
        <f t="shared" si="64"/>
        <v>4688228</v>
      </c>
      <c r="U168" s="537"/>
      <c r="V168" s="669"/>
      <c r="W168" s="296"/>
      <c r="X168" s="296"/>
      <c r="Y168" s="495">
        <f t="shared" si="65"/>
        <v>0</v>
      </c>
    </row>
    <row r="169" spans="1:25" s="691" customFormat="1">
      <c r="A169" s="679"/>
      <c r="B169" s="684"/>
      <c r="C169" s="685"/>
      <c r="D169" s="686"/>
      <c r="E169" s="687"/>
      <c r="F169" s="687"/>
      <c r="G169" s="570"/>
      <c r="H169" s="687"/>
      <c r="I169" s="456"/>
      <c r="J169" s="686"/>
      <c r="K169" s="688"/>
      <c r="L169" s="687"/>
      <c r="M169" s="668"/>
      <c r="N169" s="668"/>
      <c r="O169" s="537"/>
      <c r="P169" s="669"/>
      <c r="Q169" s="670"/>
      <c r="R169" s="689"/>
      <c r="S169" s="496"/>
      <c r="T169" s="513"/>
      <c r="U169" s="537"/>
      <c r="V169" s="669"/>
      <c r="W169" s="496"/>
      <c r="X169" s="496"/>
      <c r="Y169" s="690"/>
    </row>
    <row r="170" spans="1:25" s="715" customFormat="1">
      <c r="A170" s="694"/>
      <c r="B170" s="714" t="s">
        <v>235</v>
      </c>
      <c r="C170" s="694">
        <f>SUM(C6:C169)</f>
        <v>259568928</v>
      </c>
      <c r="D170" s="694">
        <v>12495000</v>
      </c>
      <c r="E170" s="694">
        <f>$Y$170</f>
        <v>3115000</v>
      </c>
      <c r="F170" s="694">
        <v>14460000</v>
      </c>
      <c r="G170" s="694">
        <v>1662940</v>
      </c>
      <c r="H170" s="694">
        <v>750000</v>
      </c>
      <c r="I170" s="694">
        <v>3164845</v>
      </c>
      <c r="J170" s="694">
        <f>ROUND(SUM(J6:J169),0)</f>
        <v>295216715</v>
      </c>
      <c r="K170" s="694">
        <f>ROUND(SUM(K6:K169),0)</f>
        <v>26221</v>
      </c>
      <c r="L170" s="694"/>
      <c r="M170" s="650"/>
      <c r="N170" s="650"/>
      <c r="O170" s="695"/>
      <c r="P170" s="696"/>
      <c r="Q170" s="696"/>
      <c r="R170" s="699"/>
      <c r="S170" s="520"/>
      <c r="T170" s="373">
        <f>SUM(T6:T169)</f>
        <v>259568928</v>
      </c>
      <c r="U170" s="695"/>
      <c r="V170" s="696"/>
      <c r="W170" s="699"/>
      <c r="X170" s="520"/>
      <c r="Y170" s="373">
        <f>SUM(Y6:Y169)</f>
        <v>3115000</v>
      </c>
    </row>
    <row r="171" spans="1:25" s="649" customFormat="1">
      <c r="A171" s="700"/>
      <c r="B171" s="701"/>
      <c r="C171" s="641"/>
      <c r="D171" s="641"/>
      <c r="E171" s="641"/>
      <c r="F171" s="641"/>
      <c r="G171" s="641"/>
      <c r="H171" s="641"/>
      <c r="I171" s="641"/>
      <c r="J171" s="641">
        <v>324946305</v>
      </c>
      <c r="K171" s="641"/>
      <c r="L171" s="641"/>
      <c r="M171" s="650"/>
      <c r="N171" s="650"/>
      <c r="O171" s="643"/>
      <c r="P171" s="644"/>
      <c r="Q171" s="645"/>
      <c r="R171" s="646"/>
      <c r="S171" s="647"/>
      <c r="T171" s="648"/>
      <c r="U171" s="643"/>
      <c r="V171" s="644"/>
      <c r="W171" s="647"/>
      <c r="X171" s="647"/>
      <c r="Y171" s="702"/>
    </row>
    <row r="172" spans="1:25" s="649" customFormat="1">
      <c r="A172" s="700"/>
      <c r="B172" s="701"/>
      <c r="C172" s="641"/>
      <c r="D172" s="641"/>
      <c r="E172" s="641"/>
      <c r="F172" s="641"/>
      <c r="G172" s="641"/>
      <c r="H172" s="641"/>
      <c r="I172" s="641"/>
      <c r="J172" s="641"/>
      <c r="K172" s="641"/>
      <c r="L172" s="641"/>
      <c r="M172" s="650"/>
      <c r="N172" s="650"/>
      <c r="O172" s="643"/>
      <c r="P172" s="644"/>
      <c r="Q172" s="645"/>
      <c r="R172" s="646"/>
      <c r="S172" s="647"/>
      <c r="T172" s="648"/>
      <c r="U172" s="643"/>
      <c r="V172" s="644"/>
      <c r="W172" s="647"/>
      <c r="X172" s="647"/>
      <c r="Y172" s="702"/>
    </row>
    <row r="173" spans="1:25" s="649" customFormat="1">
      <c r="A173" s="700"/>
      <c r="B173" s="701"/>
      <c r="C173" s="641"/>
      <c r="D173" s="641"/>
      <c r="E173" s="641"/>
      <c r="F173" s="641"/>
      <c r="G173" s="641"/>
      <c r="H173" s="641"/>
      <c r="I173" s="641"/>
      <c r="J173" s="641">
        <f>J171-J170</f>
        <v>29729590</v>
      </c>
      <c r="K173" s="641"/>
      <c r="L173" s="641"/>
      <c r="M173" s="650"/>
      <c r="N173" s="650"/>
      <c r="O173" s="703"/>
      <c r="P173" s="644"/>
      <c r="Q173" s="645"/>
      <c r="R173" s="646"/>
      <c r="S173" s="647"/>
      <c r="T173" s="702"/>
      <c r="U173" s="643"/>
      <c r="V173" s="644"/>
      <c r="W173" s="647"/>
      <c r="X173" s="647"/>
      <c r="Y173" s="702"/>
    </row>
    <row r="174" spans="1:25">
      <c r="O174" s="643"/>
      <c r="P174" s="644"/>
      <c r="Q174" s="645"/>
      <c r="R174" s="646"/>
      <c r="S174" s="647"/>
      <c r="T174" s="648"/>
      <c r="U174" s="643"/>
      <c r="V174" s="644"/>
      <c r="W174" s="647"/>
      <c r="X174" s="647"/>
      <c r="Y174" s="702"/>
    </row>
    <row r="175" spans="1:25" ht="18" customHeight="1">
      <c r="A175" s="232" t="str">
        <f>TH!$A$1</f>
        <v>Đơn vị: CÔNG TY TNHH SX TM KIM DUNG PHÁT</v>
      </c>
      <c r="B175" s="649"/>
      <c r="C175" s="300"/>
      <c r="D175" s="300"/>
      <c r="E175" s="300"/>
      <c r="F175" s="300"/>
      <c r="G175" s="300"/>
      <c r="H175" s="300"/>
      <c r="I175" s="300"/>
      <c r="J175" s="300"/>
      <c r="K175" s="236"/>
      <c r="L175" s="300"/>
      <c r="M175" s="650"/>
      <c r="N175" s="650"/>
      <c r="O175" s="643"/>
      <c r="P175" s="644"/>
      <c r="Q175" s="645"/>
      <c r="R175" s="646"/>
      <c r="S175" s="647"/>
      <c r="T175" s="648"/>
      <c r="U175" s="643"/>
      <c r="V175" s="644"/>
      <c r="W175" s="647"/>
      <c r="X175" s="647"/>
      <c r="Y175" s="702"/>
    </row>
    <row r="176" spans="1:25" ht="18.75" customHeight="1">
      <c r="A176" s="641" t="s">
        <v>749</v>
      </c>
      <c r="B176" s="641"/>
      <c r="C176" s="641"/>
      <c r="D176" s="641"/>
      <c r="E176" s="641"/>
      <c r="F176" s="641"/>
      <c r="G176" s="641"/>
      <c r="H176" s="641"/>
      <c r="I176" s="641"/>
      <c r="J176" s="641"/>
      <c r="K176" s="641"/>
      <c r="L176" s="641"/>
      <c r="M176" s="650"/>
      <c r="N176" s="650"/>
      <c r="O176" s="643"/>
      <c r="P176" s="644"/>
      <c r="Q176" s="645"/>
      <c r="R176" s="646"/>
      <c r="S176" s="647"/>
      <c r="T176" s="648"/>
      <c r="U176" s="643"/>
      <c r="V176" s="644"/>
      <c r="W176" s="647"/>
      <c r="X176" s="647"/>
      <c r="Y176" s="702"/>
    </row>
    <row r="177" spans="1:25" ht="12.75" customHeight="1">
      <c r="A177" s="653"/>
      <c r="B177" s="654"/>
      <c r="C177" s="654"/>
      <c r="D177" s="654"/>
      <c r="E177" s="654"/>
      <c r="F177" s="654"/>
      <c r="G177" s="654"/>
      <c r="H177" s="654"/>
      <c r="I177" s="654"/>
      <c r="J177" s="654"/>
      <c r="K177" s="655"/>
      <c r="L177" s="654"/>
      <c r="M177" s="650"/>
      <c r="N177" s="650"/>
      <c r="O177" s="643"/>
      <c r="P177" s="644"/>
      <c r="Q177" s="645"/>
      <c r="R177" s="646"/>
      <c r="S177" s="647"/>
      <c r="T177" s="648"/>
      <c r="U177" s="643"/>
      <c r="V177" s="644"/>
      <c r="W177" s="647"/>
      <c r="X177" s="647"/>
      <c r="Y177" s="638"/>
    </row>
    <row r="178" spans="1:25" s="664" customFormat="1" ht="30.75" customHeight="1">
      <c r="A178" s="656" t="s">
        <v>32</v>
      </c>
      <c r="B178" s="657" t="s">
        <v>225</v>
      </c>
      <c r="C178" s="658" t="s">
        <v>228</v>
      </c>
      <c r="D178" s="658" t="s">
        <v>756</v>
      </c>
      <c r="E178" s="658" t="s">
        <v>229</v>
      </c>
      <c r="F178" s="658" t="s">
        <v>747</v>
      </c>
      <c r="G178" s="658" t="s">
        <v>230</v>
      </c>
      <c r="H178" s="659" t="s">
        <v>231</v>
      </c>
      <c r="I178" s="658" t="s">
        <v>746</v>
      </c>
      <c r="J178" s="658" t="s">
        <v>232</v>
      </c>
      <c r="K178" s="660" t="s">
        <v>226</v>
      </c>
      <c r="L178" s="658" t="s">
        <v>233</v>
      </c>
      <c r="M178" s="661"/>
      <c r="N178" s="661"/>
      <c r="O178" s="657" t="s">
        <v>225</v>
      </c>
      <c r="P178" s="658" t="s">
        <v>219</v>
      </c>
      <c r="Q178" s="662"/>
      <c r="R178" s="663" t="s">
        <v>185</v>
      </c>
      <c r="S178" s="658" t="s">
        <v>227</v>
      </c>
      <c r="T178" s="658" t="s">
        <v>234</v>
      </c>
      <c r="U178" s="657" t="s">
        <v>225</v>
      </c>
      <c r="V178" s="658" t="s">
        <v>219</v>
      </c>
      <c r="W178" s="658" t="s">
        <v>185</v>
      </c>
      <c r="X178" s="658" t="s">
        <v>227</v>
      </c>
      <c r="Y178" s="657" t="s">
        <v>234</v>
      </c>
    </row>
    <row r="179" spans="1:25" ht="13.5" customHeight="1">
      <c r="A179" s="564">
        <f>IF(B179&lt;&gt;"",ROW()-(ROW()-1),"")</f>
        <v>1</v>
      </c>
      <c r="B179" s="566" t="s">
        <v>933</v>
      </c>
      <c r="C179" s="513">
        <f>T179</f>
        <v>747224</v>
      </c>
      <c r="D179" s="680">
        <f t="shared" ref="D179:I188" si="68">IF($K$333&lt;&gt;0,D$333/$K$333*$K179,0)</f>
        <v>89944.470152707087</v>
      </c>
      <c r="E179" s="680">
        <f t="shared" si="68"/>
        <v>23726.834798704305</v>
      </c>
      <c r="F179" s="680">
        <f t="shared" si="68"/>
        <v>50356.035631652012</v>
      </c>
      <c r="G179" s="680">
        <f t="shared" si="68"/>
        <v>9149.9490976399811</v>
      </c>
      <c r="H179" s="680">
        <f t="shared" si="68"/>
        <v>87266.697516581829</v>
      </c>
      <c r="I179" s="680">
        <f t="shared" si="68"/>
        <v>15133.455961746105</v>
      </c>
      <c r="J179" s="513">
        <f t="shared" ref="J179:J188" si="69">SUM(C179:I179)+1</f>
        <v>1022802.4431590312</v>
      </c>
      <c r="K179" s="680">
        <v>124</v>
      </c>
      <c r="L179" s="680">
        <f>IF(K179&lt;&gt;"",J179/K179,"")</f>
        <v>8248.4067996696067</v>
      </c>
      <c r="M179" s="668">
        <v>10748</v>
      </c>
      <c r="N179" s="668"/>
      <c r="O179" s="566" t="s">
        <v>456</v>
      </c>
      <c r="P179" s="672">
        <v>40739</v>
      </c>
      <c r="Q179" s="670"/>
      <c r="R179" s="572">
        <f>K179</f>
        <v>124</v>
      </c>
      <c r="S179" s="496">
        <v>6026</v>
      </c>
      <c r="T179" s="513">
        <f t="shared" ref="T179:T180" si="70">ROUND(R179*S179,0)</f>
        <v>747224</v>
      </c>
      <c r="U179" s="671" t="s">
        <v>365</v>
      </c>
      <c r="V179" s="669">
        <v>40725</v>
      </c>
      <c r="W179" s="496">
        <v>50</v>
      </c>
      <c r="X179" s="295">
        <v>23500</v>
      </c>
      <c r="Y179" s="513">
        <f t="shared" ref="Y179:Y332" si="71">ROUND(W179*X179,0)</f>
        <v>1175000</v>
      </c>
    </row>
    <row r="180" spans="1:25" ht="13.5" customHeight="1">
      <c r="A180" s="564">
        <f>IF(B180&lt;&gt;"",A179+1,"")</f>
        <v>2</v>
      </c>
      <c r="B180" s="566" t="s">
        <v>934</v>
      </c>
      <c r="C180" s="513">
        <f t="shared" ref="C180:C226" si="72">T180</f>
        <v>10949708</v>
      </c>
      <c r="D180" s="680">
        <f t="shared" si="68"/>
        <v>937163.35030078678</v>
      </c>
      <c r="E180" s="680">
        <f t="shared" si="68"/>
        <v>247218.31096714485</v>
      </c>
      <c r="F180" s="680">
        <f t="shared" si="68"/>
        <v>524677.40351689036</v>
      </c>
      <c r="G180" s="680">
        <f t="shared" si="68"/>
        <v>95336.56640444239</v>
      </c>
      <c r="H180" s="680">
        <f t="shared" si="68"/>
        <v>909262.68702761072</v>
      </c>
      <c r="I180" s="680">
        <f t="shared" si="68"/>
        <v>157680.84760141908</v>
      </c>
      <c r="J180" s="513">
        <f t="shared" si="69"/>
        <v>13821048.165818296</v>
      </c>
      <c r="K180" s="680">
        <v>1292</v>
      </c>
      <c r="L180" s="680">
        <f t="shared" ref="L180:L183" si="73">IF(K180&lt;&gt;"",J180/K180,"")</f>
        <v>10697.405701097752</v>
      </c>
      <c r="M180" s="668">
        <v>14010</v>
      </c>
      <c r="N180" s="668"/>
      <c r="O180" s="567" t="s">
        <v>587</v>
      </c>
      <c r="P180" s="669">
        <v>40739</v>
      </c>
      <c r="Q180" s="670"/>
      <c r="R180" s="572">
        <v>487</v>
      </c>
      <c r="S180" s="496">
        <v>22484</v>
      </c>
      <c r="T180" s="513">
        <f t="shared" si="70"/>
        <v>10949708</v>
      </c>
      <c r="U180" s="671" t="s">
        <v>365</v>
      </c>
      <c r="V180" s="669">
        <v>40745</v>
      </c>
      <c r="W180" s="496">
        <v>50</v>
      </c>
      <c r="X180" s="496">
        <v>24000</v>
      </c>
      <c r="Y180" s="513">
        <f t="shared" si="71"/>
        <v>1200000</v>
      </c>
    </row>
    <row r="181" spans="1:25" ht="13.5" customHeight="1">
      <c r="A181" s="564">
        <f t="shared" ref="A181:A244" si="74">IF(B181&lt;&gt;"",A180+1,"")</f>
        <v>3</v>
      </c>
      <c r="B181" s="566" t="s">
        <v>935</v>
      </c>
      <c r="C181" s="513">
        <f t="shared" si="72"/>
        <v>428805</v>
      </c>
      <c r="D181" s="680">
        <f t="shared" si="68"/>
        <v>19584.683017121704</v>
      </c>
      <c r="E181" s="680">
        <f t="shared" si="68"/>
        <v>5166.3269319759374</v>
      </c>
      <c r="F181" s="680">
        <f t="shared" si="68"/>
        <v>10964.62066173068</v>
      </c>
      <c r="G181" s="680">
        <f t="shared" si="68"/>
        <v>1992.3276260990283</v>
      </c>
      <c r="H181" s="680">
        <f t="shared" si="68"/>
        <v>19001.619620546044</v>
      </c>
      <c r="I181" s="680">
        <f t="shared" si="68"/>
        <v>3295.1879916705229</v>
      </c>
      <c r="J181" s="513">
        <f t="shared" si="69"/>
        <v>488810.76584914397</v>
      </c>
      <c r="K181" s="680">
        <v>27</v>
      </c>
      <c r="L181" s="680">
        <f t="shared" si="73"/>
        <v>18104.102438857182</v>
      </c>
      <c r="M181" s="668">
        <v>18287</v>
      </c>
      <c r="N181" s="668"/>
      <c r="O181" s="567" t="s">
        <v>605</v>
      </c>
      <c r="P181" s="669">
        <v>40739</v>
      </c>
      <c r="Q181" s="670"/>
      <c r="R181" s="572">
        <v>13</v>
      </c>
      <c r="S181" s="496">
        <v>32985</v>
      </c>
      <c r="T181" s="513">
        <f t="shared" ref="T181:T332" si="75">ROUND(R181*S181,0)</f>
        <v>428805</v>
      </c>
      <c r="U181" s="537" t="s">
        <v>317</v>
      </c>
      <c r="V181" s="669">
        <v>40725</v>
      </c>
      <c r="W181" s="496">
        <v>28</v>
      </c>
      <c r="X181" s="296">
        <v>42000</v>
      </c>
      <c r="Y181" s="513">
        <f t="shared" si="71"/>
        <v>1176000</v>
      </c>
    </row>
    <row r="182" spans="1:25" ht="13.5" customHeight="1">
      <c r="A182" s="564">
        <f t="shared" si="74"/>
        <v>4</v>
      </c>
      <c r="B182" s="566" t="s">
        <v>936</v>
      </c>
      <c r="C182" s="513">
        <f t="shared" si="72"/>
        <v>266940</v>
      </c>
      <c r="D182" s="680">
        <f t="shared" si="68"/>
        <v>87043.035631652019</v>
      </c>
      <c r="E182" s="680">
        <f t="shared" si="68"/>
        <v>22961.453031004166</v>
      </c>
      <c r="F182" s="680">
        <f t="shared" si="68"/>
        <v>48731.647385469689</v>
      </c>
      <c r="G182" s="680">
        <f t="shared" si="68"/>
        <v>8854.789449329015</v>
      </c>
      <c r="H182" s="680">
        <f t="shared" si="68"/>
        <v>84451.642757982423</v>
      </c>
      <c r="I182" s="680">
        <f t="shared" si="68"/>
        <v>14645.279962980101</v>
      </c>
      <c r="J182" s="513">
        <f t="shared" si="69"/>
        <v>533628.84821841738</v>
      </c>
      <c r="K182" s="680">
        <v>120</v>
      </c>
      <c r="L182" s="680">
        <f t="shared" si="73"/>
        <v>4446.9070684868111</v>
      </c>
      <c r="M182" s="668">
        <v>4504</v>
      </c>
      <c r="N182" s="668"/>
      <c r="O182" s="556" t="s">
        <v>364</v>
      </c>
      <c r="P182" s="669">
        <v>40739</v>
      </c>
      <c r="Q182" s="670"/>
      <c r="R182" s="572">
        <f>K182/2</f>
        <v>60</v>
      </c>
      <c r="S182" s="496">
        <f>4449</f>
        <v>4449</v>
      </c>
      <c r="T182" s="513">
        <f t="shared" si="75"/>
        <v>266940</v>
      </c>
      <c r="U182" s="537" t="s">
        <v>452</v>
      </c>
      <c r="V182" s="669">
        <v>40725</v>
      </c>
      <c r="W182" s="496">
        <v>6413.5</v>
      </c>
      <c r="X182" s="496">
        <v>220</v>
      </c>
      <c r="Y182" s="513">
        <f t="shared" si="71"/>
        <v>1410970</v>
      </c>
    </row>
    <row r="183" spans="1:25" ht="13.5" customHeight="1">
      <c r="A183" s="564">
        <f>IF(B183&lt;&gt;"",A182+1,"")</f>
        <v>5</v>
      </c>
      <c r="B183" s="566" t="s">
        <v>937</v>
      </c>
      <c r="C183" s="513">
        <f t="shared" si="72"/>
        <v>266940</v>
      </c>
      <c r="D183" s="680">
        <f t="shared" si="68"/>
        <v>435215.17815826007</v>
      </c>
      <c r="E183" s="680">
        <f t="shared" si="68"/>
        <v>114807.26515502084</v>
      </c>
      <c r="F183" s="680">
        <f t="shared" si="68"/>
        <v>243658.23692734845</v>
      </c>
      <c r="G183" s="680">
        <f t="shared" si="68"/>
        <v>44273.947246645075</v>
      </c>
      <c r="H183" s="680">
        <f t="shared" si="68"/>
        <v>422258.21378991212</v>
      </c>
      <c r="I183" s="680">
        <f t="shared" si="68"/>
        <v>73226.399814900506</v>
      </c>
      <c r="J183" s="513">
        <f t="shared" si="69"/>
        <v>1600380.2410920872</v>
      </c>
      <c r="K183" s="680">
        <v>600</v>
      </c>
      <c r="L183" s="680">
        <f t="shared" si="73"/>
        <v>2667.3004018201455</v>
      </c>
      <c r="M183" s="668">
        <v>2538</v>
      </c>
      <c r="N183" s="668"/>
      <c r="O183" s="556" t="s">
        <v>364</v>
      </c>
      <c r="P183" s="669">
        <v>40739</v>
      </c>
      <c r="Q183" s="670"/>
      <c r="R183" s="572">
        <f>K183/10</f>
        <v>60</v>
      </c>
      <c r="S183" s="496">
        <f>4449</f>
        <v>4449</v>
      </c>
      <c r="T183" s="513">
        <f t="shared" si="75"/>
        <v>266940</v>
      </c>
      <c r="U183" s="537"/>
      <c r="V183" s="669"/>
      <c r="W183" s="496"/>
      <c r="X183" s="496"/>
      <c r="Y183" s="513">
        <f t="shared" si="71"/>
        <v>0</v>
      </c>
    </row>
    <row r="184" spans="1:25" ht="13.5" customHeight="1">
      <c r="A184" s="564">
        <f t="shared" si="74"/>
        <v>6</v>
      </c>
      <c r="B184" s="566" t="s">
        <v>938</v>
      </c>
      <c r="C184" s="513">
        <f t="shared" si="72"/>
        <v>78064</v>
      </c>
      <c r="D184" s="680">
        <f t="shared" si="68"/>
        <v>123310.96714484037</v>
      </c>
      <c r="E184" s="680">
        <f t="shared" si="68"/>
        <v>32528.725127255901</v>
      </c>
      <c r="F184" s="680">
        <f t="shared" si="68"/>
        <v>69036.500462748721</v>
      </c>
      <c r="G184" s="680">
        <f t="shared" si="68"/>
        <v>12544.285053216105</v>
      </c>
      <c r="H184" s="680">
        <f t="shared" si="68"/>
        <v>119639.8272404751</v>
      </c>
      <c r="I184" s="680">
        <f t="shared" si="68"/>
        <v>20747.479947555144</v>
      </c>
      <c r="J184" s="513">
        <f t="shared" si="69"/>
        <v>455872.78497609135</v>
      </c>
      <c r="K184" s="680">
        <v>170</v>
      </c>
      <c r="L184" s="680">
        <f t="shared" ref="L184:L210" si="76">IF(K184&lt;&gt;"",J184/K184,"")</f>
        <v>2681.6046175064198</v>
      </c>
      <c r="M184" s="668">
        <v>2333</v>
      </c>
      <c r="N184" s="668"/>
      <c r="O184" s="566" t="s">
        <v>455</v>
      </c>
      <c r="P184" s="669">
        <v>40739</v>
      </c>
      <c r="Q184" s="670"/>
      <c r="R184" s="572">
        <f>K184/10</f>
        <v>17</v>
      </c>
      <c r="S184" s="496">
        <v>4592</v>
      </c>
      <c r="T184" s="513">
        <f t="shared" si="75"/>
        <v>78064</v>
      </c>
      <c r="U184" s="537"/>
      <c r="V184" s="669"/>
      <c r="W184" s="496"/>
      <c r="X184" s="496"/>
      <c r="Y184" s="513"/>
    </row>
    <row r="185" spans="1:25" ht="13.5" customHeight="1">
      <c r="A185" s="564">
        <f t="shared" si="74"/>
        <v>7</v>
      </c>
      <c r="B185" s="566" t="s">
        <v>939</v>
      </c>
      <c r="C185" s="513">
        <f t="shared" si="72"/>
        <v>444897</v>
      </c>
      <c r="D185" s="680">
        <f t="shared" si="68"/>
        <v>72535.863026376683</v>
      </c>
      <c r="E185" s="680">
        <f t="shared" si="68"/>
        <v>19134.544192503472</v>
      </c>
      <c r="F185" s="680">
        <f t="shared" si="68"/>
        <v>40609.706154558073</v>
      </c>
      <c r="G185" s="680">
        <f t="shared" si="68"/>
        <v>7378.9912077741792</v>
      </c>
      <c r="H185" s="680">
        <f t="shared" si="68"/>
        <v>70376.368964985348</v>
      </c>
      <c r="I185" s="680">
        <f t="shared" si="68"/>
        <v>12204.399969150085</v>
      </c>
      <c r="J185" s="513">
        <f t="shared" si="69"/>
        <v>667137.87351534783</v>
      </c>
      <c r="K185" s="680">
        <v>100</v>
      </c>
      <c r="L185" s="680">
        <f t="shared" si="76"/>
        <v>6671.3787351534784</v>
      </c>
      <c r="M185" s="668">
        <v>6577</v>
      </c>
      <c r="N185" s="668"/>
      <c r="O185" s="556" t="s">
        <v>364</v>
      </c>
      <c r="P185" s="669">
        <v>40739</v>
      </c>
      <c r="Q185" s="670"/>
      <c r="R185" s="572">
        <f>K185</f>
        <v>100</v>
      </c>
      <c r="S185" s="496">
        <v>4448.97</v>
      </c>
      <c r="T185" s="513">
        <f t="shared" si="75"/>
        <v>444897</v>
      </c>
      <c r="U185" s="537"/>
      <c r="V185" s="669"/>
      <c r="W185" s="496"/>
      <c r="X185" s="496"/>
      <c r="Y185" s="513"/>
    </row>
    <row r="186" spans="1:25" ht="13.5" customHeight="1">
      <c r="A186" s="564">
        <f t="shared" si="74"/>
        <v>8</v>
      </c>
      <c r="B186" s="566" t="s">
        <v>939</v>
      </c>
      <c r="C186" s="513">
        <f t="shared" si="72"/>
        <v>26694</v>
      </c>
      <c r="D186" s="680">
        <f t="shared" si="68"/>
        <v>43521.51781582601</v>
      </c>
      <c r="E186" s="680">
        <f t="shared" si="68"/>
        <v>11480.726515502083</v>
      </c>
      <c r="F186" s="680">
        <f t="shared" si="68"/>
        <v>24365.823692734844</v>
      </c>
      <c r="G186" s="680">
        <f t="shared" si="68"/>
        <v>4427.3947246645075</v>
      </c>
      <c r="H186" s="680">
        <f t="shared" si="68"/>
        <v>42225.821378991212</v>
      </c>
      <c r="I186" s="680">
        <f t="shared" si="68"/>
        <v>7322.6399814900506</v>
      </c>
      <c r="J186" s="513">
        <f t="shared" si="69"/>
        <v>160038.92410920869</v>
      </c>
      <c r="K186" s="680">
        <v>60</v>
      </c>
      <c r="L186" s="680">
        <f t="shared" si="76"/>
        <v>2667.3154018201449</v>
      </c>
      <c r="M186" s="668">
        <v>2711</v>
      </c>
      <c r="N186" s="668"/>
      <c r="O186" s="556" t="s">
        <v>364</v>
      </c>
      <c r="P186" s="669">
        <v>40739</v>
      </c>
      <c r="Q186" s="670"/>
      <c r="R186" s="572">
        <f>K186/10</f>
        <v>6</v>
      </c>
      <c r="S186" s="496">
        <f>4449</f>
        <v>4449</v>
      </c>
      <c r="T186" s="513">
        <f t="shared" si="75"/>
        <v>26694</v>
      </c>
      <c r="U186" s="537"/>
      <c r="V186" s="669"/>
      <c r="W186" s="496"/>
      <c r="X186" s="496"/>
      <c r="Y186" s="513"/>
    </row>
    <row r="187" spans="1:25" ht="13.5" customHeight="1">
      <c r="A187" s="564">
        <f t="shared" si="74"/>
        <v>9</v>
      </c>
      <c r="B187" s="566" t="s">
        <v>717</v>
      </c>
      <c r="C187" s="513">
        <f t="shared" si="72"/>
        <v>71925</v>
      </c>
      <c r="D187" s="680">
        <f t="shared" si="68"/>
        <v>4352.151781582601</v>
      </c>
      <c r="E187" s="680">
        <f t="shared" si="68"/>
        <v>1148.0726515502083</v>
      </c>
      <c r="F187" s="680">
        <f t="shared" si="68"/>
        <v>2436.5823692734843</v>
      </c>
      <c r="G187" s="680">
        <f t="shared" si="68"/>
        <v>442.73947246645071</v>
      </c>
      <c r="H187" s="680">
        <f t="shared" si="68"/>
        <v>4222.5821378991213</v>
      </c>
      <c r="I187" s="680">
        <f t="shared" si="68"/>
        <v>732.26399814900503</v>
      </c>
      <c r="J187" s="513">
        <f t="shared" si="69"/>
        <v>85260.39241092086</v>
      </c>
      <c r="K187" s="680">
        <v>6</v>
      </c>
      <c r="L187" s="680">
        <f t="shared" si="76"/>
        <v>14210.065401820144</v>
      </c>
      <c r="M187" s="668">
        <v>17330</v>
      </c>
      <c r="N187" s="668"/>
      <c r="O187" s="567" t="s">
        <v>603</v>
      </c>
      <c r="P187" s="669">
        <v>40741</v>
      </c>
      <c r="Q187" s="670"/>
      <c r="R187" s="572">
        <f>K187/2</f>
        <v>3</v>
      </c>
      <c r="S187" s="496">
        <v>23975</v>
      </c>
      <c r="T187" s="513">
        <f t="shared" si="75"/>
        <v>71925</v>
      </c>
      <c r="U187" s="537"/>
      <c r="V187" s="669"/>
      <c r="W187" s="496"/>
      <c r="X187" s="496"/>
      <c r="Y187" s="513"/>
    </row>
    <row r="188" spans="1:25" ht="13.5" customHeight="1">
      <c r="A188" s="564">
        <f t="shared" si="74"/>
        <v>10</v>
      </c>
      <c r="B188" s="566" t="s">
        <v>718</v>
      </c>
      <c r="C188" s="513">
        <f t="shared" si="72"/>
        <v>799900</v>
      </c>
      <c r="D188" s="680">
        <f t="shared" si="68"/>
        <v>36267.931513188341</v>
      </c>
      <c r="E188" s="680">
        <f t="shared" si="68"/>
        <v>9567.272096251736</v>
      </c>
      <c r="F188" s="680">
        <f t="shared" si="68"/>
        <v>20304.853077279036</v>
      </c>
      <c r="G188" s="680">
        <f t="shared" si="68"/>
        <v>3689.4956038870896</v>
      </c>
      <c r="H188" s="680">
        <f t="shared" si="68"/>
        <v>35188.184482492674</v>
      </c>
      <c r="I188" s="680">
        <f t="shared" si="68"/>
        <v>6102.1999845750424</v>
      </c>
      <c r="J188" s="513">
        <f t="shared" si="69"/>
        <v>911020.93675767386</v>
      </c>
      <c r="K188" s="680">
        <v>50</v>
      </c>
      <c r="L188" s="680">
        <f t="shared" si="76"/>
        <v>18220.418735153478</v>
      </c>
      <c r="M188" s="668">
        <v>19814</v>
      </c>
      <c r="N188" s="668"/>
      <c r="O188" s="556" t="s">
        <v>376</v>
      </c>
      <c r="P188" s="669">
        <v>40741</v>
      </c>
      <c r="Q188" s="670"/>
      <c r="R188" s="572">
        <v>50</v>
      </c>
      <c r="S188" s="496">
        <v>15998</v>
      </c>
      <c r="T188" s="513">
        <f t="shared" si="75"/>
        <v>799900</v>
      </c>
      <c r="U188" s="537"/>
      <c r="V188" s="669"/>
      <c r="W188" s="496"/>
      <c r="X188" s="496"/>
      <c r="Y188" s="513"/>
    </row>
    <row r="189" spans="1:25" ht="13.5" customHeight="1">
      <c r="A189" s="564">
        <f t="shared" si="74"/>
        <v>11</v>
      </c>
      <c r="B189" s="566" t="s">
        <v>940</v>
      </c>
      <c r="C189" s="513">
        <f t="shared" si="72"/>
        <v>2166626</v>
      </c>
      <c r="D189" s="680">
        <f t="shared" ref="D189:I198" si="77">IF($K$333&lt;&gt;0,D$333/$K$333*$K189,0)</f>
        <v>87768.39426191579</v>
      </c>
      <c r="E189" s="680">
        <f t="shared" si="77"/>
        <v>23152.7984729292</v>
      </c>
      <c r="F189" s="680">
        <f t="shared" si="77"/>
        <v>49137.74444701527</v>
      </c>
      <c r="G189" s="680">
        <f t="shared" si="77"/>
        <v>8928.579361406757</v>
      </c>
      <c r="H189" s="680">
        <f t="shared" si="77"/>
        <v>85155.406447632282</v>
      </c>
      <c r="I189" s="680">
        <f t="shared" si="77"/>
        <v>14767.323962671602</v>
      </c>
      <c r="J189" s="513">
        <f t="shared" ref="J189:J220" si="78">SUM(C189:I189)</f>
        <v>2435536.2469535707</v>
      </c>
      <c r="K189" s="680">
        <v>121</v>
      </c>
      <c r="L189" s="680">
        <f t="shared" si="76"/>
        <v>20128.398735153478</v>
      </c>
      <c r="M189" s="668">
        <v>21646</v>
      </c>
      <c r="N189" s="668"/>
      <c r="O189" s="567" t="s">
        <v>567</v>
      </c>
      <c r="P189" s="669">
        <v>40741</v>
      </c>
      <c r="Q189" s="670"/>
      <c r="R189" s="572">
        <f>K189/2</f>
        <v>60.5</v>
      </c>
      <c r="S189" s="496">
        <v>35812</v>
      </c>
      <c r="T189" s="513">
        <f t="shared" si="75"/>
        <v>2166626</v>
      </c>
      <c r="U189" s="537"/>
      <c r="V189" s="669"/>
      <c r="W189" s="496"/>
      <c r="X189" s="496"/>
      <c r="Y189" s="513"/>
    </row>
    <row r="190" spans="1:25" ht="13.5" customHeight="1">
      <c r="A190" s="564">
        <f t="shared" si="74"/>
        <v>12</v>
      </c>
      <c r="B190" s="566" t="s">
        <v>719</v>
      </c>
      <c r="C190" s="513">
        <f t="shared" si="72"/>
        <v>1342356</v>
      </c>
      <c r="D190" s="680">
        <f t="shared" si="77"/>
        <v>60204.766311892643</v>
      </c>
      <c r="E190" s="680">
        <f t="shared" si="77"/>
        <v>15881.671679777883</v>
      </c>
      <c r="F190" s="680">
        <f t="shared" si="77"/>
        <v>33706.056108283199</v>
      </c>
      <c r="G190" s="680">
        <f t="shared" si="77"/>
        <v>6124.5627024525684</v>
      </c>
      <c r="H190" s="680">
        <f t="shared" si="77"/>
        <v>58412.386240937842</v>
      </c>
      <c r="I190" s="680">
        <f t="shared" si="77"/>
        <v>10129.65197439457</v>
      </c>
      <c r="J190" s="513">
        <f t="shared" si="78"/>
        <v>1526815.0950177384</v>
      </c>
      <c r="K190" s="680">
        <v>83</v>
      </c>
      <c r="L190" s="680">
        <f t="shared" si="76"/>
        <v>18395.362590575161</v>
      </c>
      <c r="M190" s="668">
        <v>19248</v>
      </c>
      <c r="N190" s="668"/>
      <c r="O190" s="556" t="s">
        <v>465</v>
      </c>
      <c r="P190" s="669">
        <v>40741</v>
      </c>
      <c r="Q190" s="670"/>
      <c r="R190" s="572">
        <v>83</v>
      </c>
      <c r="S190" s="496">
        <v>16172.963855421687</v>
      </c>
      <c r="T190" s="513">
        <f t="shared" si="75"/>
        <v>1342356</v>
      </c>
      <c r="U190" s="537"/>
      <c r="V190" s="669"/>
      <c r="W190" s="496"/>
      <c r="X190" s="496"/>
      <c r="Y190" s="513"/>
    </row>
    <row r="191" spans="1:25" ht="13.5" customHeight="1">
      <c r="A191" s="564">
        <f t="shared" si="74"/>
        <v>13</v>
      </c>
      <c r="B191" s="566" t="s">
        <v>720</v>
      </c>
      <c r="C191" s="513">
        <f t="shared" si="72"/>
        <v>8087</v>
      </c>
      <c r="D191" s="680">
        <f t="shared" si="77"/>
        <v>725.35863026376683</v>
      </c>
      <c r="E191" s="680">
        <f t="shared" si="77"/>
        <v>191.34544192503472</v>
      </c>
      <c r="F191" s="680">
        <f t="shared" si="77"/>
        <v>406.09706154558074</v>
      </c>
      <c r="G191" s="680">
        <f t="shared" si="77"/>
        <v>73.789912077741789</v>
      </c>
      <c r="H191" s="680">
        <f t="shared" si="77"/>
        <v>703.76368964985352</v>
      </c>
      <c r="I191" s="680">
        <f t="shared" si="77"/>
        <v>122.04399969150084</v>
      </c>
      <c r="J191" s="513">
        <f t="shared" si="78"/>
        <v>10309.398735153478</v>
      </c>
      <c r="K191" s="680">
        <v>1</v>
      </c>
      <c r="L191" s="680">
        <f t="shared" si="76"/>
        <v>10309.398735153478</v>
      </c>
      <c r="M191" s="668">
        <v>14591</v>
      </c>
      <c r="N191" s="668"/>
      <c r="O191" s="556" t="s">
        <v>465</v>
      </c>
      <c r="P191" s="669">
        <v>40741</v>
      </c>
      <c r="Q191" s="670"/>
      <c r="R191" s="572">
        <f t="shared" ref="R191:R197" si="79">K191/2</f>
        <v>0.5</v>
      </c>
      <c r="S191" s="496">
        <v>16173</v>
      </c>
      <c r="T191" s="513">
        <f t="shared" si="75"/>
        <v>8087</v>
      </c>
      <c r="U191" s="537"/>
      <c r="V191" s="669"/>
      <c r="W191" s="496"/>
      <c r="X191" s="496"/>
      <c r="Y191" s="513"/>
    </row>
    <row r="192" spans="1:25" ht="13.5" customHeight="1">
      <c r="A192" s="564">
        <f t="shared" si="74"/>
        <v>14</v>
      </c>
      <c r="B192" s="566" t="s">
        <v>941</v>
      </c>
      <c r="C192" s="513">
        <f t="shared" si="72"/>
        <v>1432480</v>
      </c>
      <c r="D192" s="680">
        <f t="shared" si="77"/>
        <v>58028.690421101346</v>
      </c>
      <c r="E192" s="680">
        <f t="shared" si="77"/>
        <v>15307.635354002778</v>
      </c>
      <c r="F192" s="680">
        <f t="shared" si="77"/>
        <v>32487.76492364646</v>
      </c>
      <c r="G192" s="680">
        <f t="shared" si="77"/>
        <v>5903.1929662193434</v>
      </c>
      <c r="H192" s="680">
        <f t="shared" si="77"/>
        <v>56301.09517198828</v>
      </c>
      <c r="I192" s="680">
        <f t="shared" si="77"/>
        <v>9763.5199753200668</v>
      </c>
      <c r="J192" s="513">
        <f t="shared" si="78"/>
        <v>1610271.8988122779</v>
      </c>
      <c r="K192" s="680">
        <v>80</v>
      </c>
      <c r="L192" s="680">
        <f t="shared" si="76"/>
        <v>20128.398735153474</v>
      </c>
      <c r="M192" s="668">
        <v>20979</v>
      </c>
      <c r="N192" s="668"/>
      <c r="O192" s="567" t="s">
        <v>567</v>
      </c>
      <c r="P192" s="669">
        <v>40741</v>
      </c>
      <c r="Q192" s="670"/>
      <c r="R192" s="572">
        <f t="shared" si="79"/>
        <v>40</v>
      </c>
      <c r="S192" s="496">
        <v>35812</v>
      </c>
      <c r="T192" s="513">
        <f t="shared" si="75"/>
        <v>1432480</v>
      </c>
      <c r="U192" s="537"/>
      <c r="V192" s="669"/>
      <c r="W192" s="496"/>
      <c r="X192" s="496"/>
      <c r="Y192" s="513"/>
    </row>
    <row r="193" spans="1:25" ht="13.5" customHeight="1">
      <c r="A193" s="564">
        <f t="shared" si="74"/>
        <v>15</v>
      </c>
      <c r="B193" s="566" t="s">
        <v>942</v>
      </c>
      <c r="C193" s="513">
        <f t="shared" si="72"/>
        <v>2307162</v>
      </c>
      <c r="D193" s="680">
        <f t="shared" si="77"/>
        <v>113155.94632114762</v>
      </c>
      <c r="E193" s="680">
        <f t="shared" si="77"/>
        <v>29849.888940305416</v>
      </c>
      <c r="F193" s="680">
        <f t="shared" si="77"/>
        <v>63351.141601110598</v>
      </c>
      <c r="G193" s="680">
        <f t="shared" si="77"/>
        <v>11511.226284127719</v>
      </c>
      <c r="H193" s="680">
        <f t="shared" si="77"/>
        <v>109787.13558537715</v>
      </c>
      <c r="I193" s="680">
        <f t="shared" si="77"/>
        <v>19038.863951874133</v>
      </c>
      <c r="J193" s="513">
        <f t="shared" si="78"/>
        <v>2653856.2026839424</v>
      </c>
      <c r="K193" s="680">
        <v>156</v>
      </c>
      <c r="L193" s="680">
        <f t="shared" si="76"/>
        <v>17011.898735153478</v>
      </c>
      <c r="M193" s="668">
        <v>18287</v>
      </c>
      <c r="N193" s="668"/>
      <c r="O193" s="556" t="s">
        <v>542</v>
      </c>
      <c r="P193" s="669">
        <v>40741</v>
      </c>
      <c r="Q193" s="670"/>
      <c r="R193" s="572">
        <f t="shared" si="79"/>
        <v>78</v>
      </c>
      <c r="S193" s="496">
        <v>29579</v>
      </c>
      <c r="T193" s="513">
        <f t="shared" si="75"/>
        <v>2307162</v>
      </c>
      <c r="U193" s="537"/>
      <c r="V193" s="669"/>
      <c r="W193" s="496"/>
      <c r="X193" s="496"/>
      <c r="Y193" s="513"/>
    </row>
    <row r="194" spans="1:25" ht="13.5" customHeight="1">
      <c r="A194" s="564">
        <f>IF(B194&lt;&gt;"",A193+1,"")</f>
        <v>16</v>
      </c>
      <c r="B194" s="566" t="s">
        <v>943</v>
      </c>
      <c r="C194" s="513">
        <f t="shared" si="72"/>
        <v>3233915</v>
      </c>
      <c r="D194" s="680">
        <f t="shared" si="77"/>
        <v>442468.76446089777</v>
      </c>
      <c r="E194" s="680">
        <f t="shared" si="77"/>
        <v>116720.71957427118</v>
      </c>
      <c r="F194" s="680">
        <f t="shared" si="77"/>
        <v>247719.20754280424</v>
      </c>
      <c r="G194" s="680">
        <f t="shared" si="77"/>
        <v>45011.846367422491</v>
      </c>
      <c r="H194" s="680">
        <f t="shared" si="77"/>
        <v>429295.85068641067</v>
      </c>
      <c r="I194" s="680">
        <f t="shared" si="77"/>
        <v>74446.839811815516</v>
      </c>
      <c r="J194" s="513">
        <f t="shared" si="78"/>
        <v>4589578.2284436226</v>
      </c>
      <c r="K194" s="680">
        <v>610</v>
      </c>
      <c r="L194" s="680">
        <f t="shared" si="76"/>
        <v>7523.8987351534797</v>
      </c>
      <c r="M194" s="668">
        <v>9338</v>
      </c>
      <c r="N194" s="668"/>
      <c r="O194" s="556" t="s">
        <v>496</v>
      </c>
      <c r="P194" s="669">
        <v>40741</v>
      </c>
      <c r="Q194" s="670"/>
      <c r="R194" s="572">
        <f t="shared" si="79"/>
        <v>305</v>
      </c>
      <c r="S194" s="300">
        <v>10603</v>
      </c>
      <c r="T194" s="513">
        <f t="shared" si="75"/>
        <v>3233915</v>
      </c>
      <c r="U194" s="537"/>
      <c r="V194" s="669"/>
      <c r="W194" s="496"/>
      <c r="X194" s="496"/>
      <c r="Y194" s="513"/>
    </row>
    <row r="195" spans="1:25" ht="13.5" customHeight="1">
      <c r="A195" s="564">
        <f t="shared" si="74"/>
        <v>17</v>
      </c>
      <c r="B195" s="566" t="s">
        <v>944</v>
      </c>
      <c r="C195" s="513">
        <f t="shared" si="72"/>
        <v>848208</v>
      </c>
      <c r="D195" s="680">
        <f t="shared" si="77"/>
        <v>118958.81536325776</v>
      </c>
      <c r="E195" s="680">
        <f t="shared" si="77"/>
        <v>31380.652475705694</v>
      </c>
      <c r="F195" s="680">
        <f t="shared" si="77"/>
        <v>66599.918093475237</v>
      </c>
      <c r="G195" s="680">
        <f t="shared" si="77"/>
        <v>12101.545580749653</v>
      </c>
      <c r="H195" s="680">
        <f t="shared" si="77"/>
        <v>115417.24510257598</v>
      </c>
      <c r="I195" s="680">
        <f t="shared" si="77"/>
        <v>20015.215949406138</v>
      </c>
      <c r="J195" s="513">
        <f t="shared" si="78"/>
        <v>1212681.3925651705</v>
      </c>
      <c r="K195" s="680">
        <v>164</v>
      </c>
      <c r="L195" s="680">
        <f t="shared" si="76"/>
        <v>7394.3987351534788</v>
      </c>
      <c r="M195" s="668">
        <v>7868</v>
      </c>
      <c r="N195" s="668"/>
      <c r="O195" s="556" t="s">
        <v>555</v>
      </c>
      <c r="P195" s="669">
        <v>40744</v>
      </c>
      <c r="Q195" s="670"/>
      <c r="R195" s="572">
        <f t="shared" si="79"/>
        <v>82</v>
      </c>
      <c r="S195" s="496">
        <v>10344</v>
      </c>
      <c r="T195" s="513">
        <f t="shared" si="75"/>
        <v>848208</v>
      </c>
      <c r="U195" s="537"/>
      <c r="V195" s="669"/>
      <c r="W195" s="496"/>
      <c r="X195" s="496"/>
      <c r="Y195" s="513"/>
    </row>
    <row r="196" spans="1:25" ht="13.5" customHeight="1">
      <c r="A196" s="564">
        <f t="shared" si="74"/>
        <v>18</v>
      </c>
      <c r="B196" s="566" t="s">
        <v>945</v>
      </c>
      <c r="C196" s="513">
        <f t="shared" si="72"/>
        <v>5172</v>
      </c>
      <c r="D196" s="680">
        <f t="shared" si="77"/>
        <v>725.35863026376683</v>
      </c>
      <c r="E196" s="680">
        <f t="shared" si="77"/>
        <v>191.34544192503472</v>
      </c>
      <c r="F196" s="680">
        <f t="shared" si="77"/>
        <v>406.09706154558074</v>
      </c>
      <c r="G196" s="680">
        <f t="shared" si="77"/>
        <v>73.789912077741789</v>
      </c>
      <c r="H196" s="680">
        <f t="shared" si="77"/>
        <v>703.76368964985352</v>
      </c>
      <c r="I196" s="680">
        <f t="shared" si="77"/>
        <v>122.04399969150084</v>
      </c>
      <c r="J196" s="513">
        <f t="shared" si="78"/>
        <v>7394.3987351534788</v>
      </c>
      <c r="K196" s="680">
        <v>1</v>
      </c>
      <c r="L196" s="680">
        <f t="shared" si="76"/>
        <v>7394.3987351534788</v>
      </c>
      <c r="M196" s="668">
        <v>8450</v>
      </c>
      <c r="N196" s="668"/>
      <c r="O196" s="556" t="s">
        <v>555</v>
      </c>
      <c r="P196" s="669">
        <v>40744</v>
      </c>
      <c r="Q196" s="670"/>
      <c r="R196" s="572">
        <f t="shared" si="79"/>
        <v>0.5</v>
      </c>
      <c r="S196" s="496">
        <v>10344</v>
      </c>
      <c r="T196" s="513">
        <f t="shared" si="75"/>
        <v>5172</v>
      </c>
      <c r="U196" s="537"/>
      <c r="V196" s="669"/>
      <c r="W196" s="496"/>
      <c r="X196" s="496"/>
      <c r="Y196" s="513"/>
    </row>
    <row r="197" spans="1:25" ht="13.5" customHeight="1">
      <c r="A197" s="564">
        <f t="shared" si="74"/>
        <v>19</v>
      </c>
      <c r="B197" s="566" t="s">
        <v>946</v>
      </c>
      <c r="C197" s="513">
        <f t="shared" si="72"/>
        <v>2225</v>
      </c>
      <c r="D197" s="680">
        <f t="shared" si="77"/>
        <v>725.35863026376683</v>
      </c>
      <c r="E197" s="680">
        <f t="shared" si="77"/>
        <v>191.34544192503472</v>
      </c>
      <c r="F197" s="680">
        <f t="shared" si="77"/>
        <v>406.09706154558074</v>
      </c>
      <c r="G197" s="680">
        <f t="shared" si="77"/>
        <v>73.789912077741789</v>
      </c>
      <c r="H197" s="680">
        <f t="shared" si="77"/>
        <v>703.76368964985352</v>
      </c>
      <c r="I197" s="680">
        <f t="shared" si="77"/>
        <v>122.04399969150084</v>
      </c>
      <c r="J197" s="513">
        <f t="shared" si="78"/>
        <v>4447.3987351534788</v>
      </c>
      <c r="K197" s="680">
        <v>1</v>
      </c>
      <c r="L197" s="680">
        <f t="shared" si="76"/>
        <v>4447.3987351534788</v>
      </c>
      <c r="M197" s="668">
        <v>4751</v>
      </c>
      <c r="N197" s="668"/>
      <c r="O197" s="556" t="s">
        <v>364</v>
      </c>
      <c r="P197" s="669">
        <v>40744</v>
      </c>
      <c r="Q197" s="670"/>
      <c r="R197" s="572">
        <f t="shared" si="79"/>
        <v>0.5</v>
      </c>
      <c r="S197" s="496">
        <f>4449</f>
        <v>4449</v>
      </c>
      <c r="T197" s="513">
        <f t="shared" si="75"/>
        <v>2225</v>
      </c>
      <c r="U197" s="537"/>
      <c r="V197" s="669"/>
      <c r="W197" s="496"/>
      <c r="X197" s="496"/>
      <c r="Y197" s="513"/>
    </row>
    <row r="198" spans="1:25" ht="13.5" customHeight="1">
      <c r="A198" s="564">
        <f t="shared" si="74"/>
        <v>20</v>
      </c>
      <c r="B198" s="566" t="s">
        <v>947</v>
      </c>
      <c r="C198" s="513">
        <f t="shared" si="72"/>
        <v>4449</v>
      </c>
      <c r="D198" s="680">
        <f t="shared" si="77"/>
        <v>725.35863026376683</v>
      </c>
      <c r="E198" s="680">
        <f t="shared" si="77"/>
        <v>191.34544192503472</v>
      </c>
      <c r="F198" s="680">
        <f t="shared" si="77"/>
        <v>406.09706154558074</v>
      </c>
      <c r="G198" s="680">
        <f t="shared" si="77"/>
        <v>73.789912077741789</v>
      </c>
      <c r="H198" s="680">
        <f t="shared" si="77"/>
        <v>703.76368964985352</v>
      </c>
      <c r="I198" s="680">
        <f t="shared" si="77"/>
        <v>122.04399969150084</v>
      </c>
      <c r="J198" s="513">
        <f t="shared" si="78"/>
        <v>6671.3987351534788</v>
      </c>
      <c r="K198" s="680">
        <v>1</v>
      </c>
      <c r="L198" s="680">
        <f t="shared" si="76"/>
        <v>6671.3987351534788</v>
      </c>
      <c r="M198" s="668">
        <v>6560</v>
      </c>
      <c r="N198" s="668"/>
      <c r="O198" s="556" t="s">
        <v>364</v>
      </c>
      <c r="P198" s="669">
        <v>40744</v>
      </c>
      <c r="Q198" s="670"/>
      <c r="R198" s="572">
        <f>K198</f>
        <v>1</v>
      </c>
      <c r="S198" s="496">
        <f>4449</f>
        <v>4449</v>
      </c>
      <c r="T198" s="513">
        <f t="shared" si="75"/>
        <v>4449</v>
      </c>
      <c r="U198" s="537"/>
      <c r="V198" s="669"/>
      <c r="W198" s="496"/>
      <c r="X198" s="496"/>
      <c r="Y198" s="513"/>
    </row>
    <row r="199" spans="1:25" ht="13.5" customHeight="1">
      <c r="A199" s="564">
        <f t="shared" si="74"/>
        <v>21</v>
      </c>
      <c r="B199" s="566" t="s">
        <v>948</v>
      </c>
      <c r="C199" s="513">
        <f t="shared" si="72"/>
        <v>33741</v>
      </c>
      <c r="D199" s="680">
        <f t="shared" ref="D199:I208" si="80">IF($K$333&lt;&gt;0,D$333/$K$333*$K199,0)</f>
        <v>4352.151781582601</v>
      </c>
      <c r="E199" s="680">
        <f t="shared" si="80"/>
        <v>1148.0726515502083</v>
      </c>
      <c r="F199" s="680">
        <f t="shared" si="80"/>
        <v>2436.5823692734843</v>
      </c>
      <c r="G199" s="680">
        <f t="shared" si="80"/>
        <v>442.73947246645071</v>
      </c>
      <c r="H199" s="680">
        <f t="shared" si="80"/>
        <v>4222.5821378991213</v>
      </c>
      <c r="I199" s="680">
        <f t="shared" si="80"/>
        <v>732.26399814900503</v>
      </c>
      <c r="J199" s="513">
        <f t="shared" si="78"/>
        <v>47075.392410920875</v>
      </c>
      <c r="K199" s="680">
        <v>6</v>
      </c>
      <c r="L199" s="680">
        <f t="shared" si="76"/>
        <v>7845.8987351534788</v>
      </c>
      <c r="M199" s="668">
        <v>9594</v>
      </c>
      <c r="N199" s="668"/>
      <c r="O199" s="556" t="s">
        <v>529</v>
      </c>
      <c r="P199" s="669">
        <v>40744</v>
      </c>
      <c r="Q199" s="670"/>
      <c r="R199" s="572">
        <v>3</v>
      </c>
      <c r="S199" s="496">
        <v>11247</v>
      </c>
      <c r="T199" s="513">
        <f t="shared" si="75"/>
        <v>33741</v>
      </c>
      <c r="U199" s="537"/>
      <c r="V199" s="669"/>
      <c r="W199" s="496"/>
      <c r="X199" s="496"/>
      <c r="Y199" s="513"/>
    </row>
    <row r="200" spans="1:25" ht="13.5" customHeight="1">
      <c r="A200" s="564">
        <f t="shared" si="74"/>
        <v>22</v>
      </c>
      <c r="B200" s="566" t="s">
        <v>949</v>
      </c>
      <c r="C200" s="513">
        <f t="shared" si="72"/>
        <v>4449</v>
      </c>
      <c r="D200" s="680">
        <f t="shared" si="80"/>
        <v>725.35863026376683</v>
      </c>
      <c r="E200" s="680">
        <f t="shared" si="80"/>
        <v>191.34544192503472</v>
      </c>
      <c r="F200" s="680">
        <f t="shared" si="80"/>
        <v>406.09706154558074</v>
      </c>
      <c r="G200" s="680">
        <f t="shared" si="80"/>
        <v>73.789912077741789</v>
      </c>
      <c r="H200" s="680">
        <f t="shared" si="80"/>
        <v>703.76368964985352</v>
      </c>
      <c r="I200" s="680">
        <f t="shared" si="80"/>
        <v>122.04399969150084</v>
      </c>
      <c r="J200" s="513">
        <f t="shared" si="78"/>
        <v>6671.3987351534788</v>
      </c>
      <c r="K200" s="680">
        <v>1</v>
      </c>
      <c r="L200" s="680">
        <f t="shared" si="76"/>
        <v>6671.3987351534788</v>
      </c>
      <c r="M200" s="668">
        <v>7094</v>
      </c>
      <c r="N200" s="668"/>
      <c r="O200" s="556" t="s">
        <v>364</v>
      </c>
      <c r="P200" s="669">
        <v>40744</v>
      </c>
      <c r="Q200" s="670"/>
      <c r="R200" s="572">
        <f>K200</f>
        <v>1</v>
      </c>
      <c r="S200" s="496">
        <f>4449</f>
        <v>4449</v>
      </c>
      <c r="T200" s="513">
        <f t="shared" si="75"/>
        <v>4449</v>
      </c>
      <c r="U200" s="537"/>
      <c r="V200" s="669"/>
      <c r="W200" s="496"/>
      <c r="X200" s="496"/>
      <c r="Y200" s="513"/>
    </row>
    <row r="201" spans="1:25" ht="13.5" customHeight="1">
      <c r="A201" s="564">
        <f t="shared" si="74"/>
        <v>23</v>
      </c>
      <c r="B201" s="566" t="s">
        <v>721</v>
      </c>
      <c r="C201" s="513">
        <f t="shared" si="72"/>
        <v>18078</v>
      </c>
      <c r="D201" s="680">
        <f t="shared" si="80"/>
        <v>2176.0758907913005</v>
      </c>
      <c r="E201" s="680">
        <f t="shared" si="80"/>
        <v>574.03632577510416</v>
      </c>
      <c r="F201" s="680">
        <f t="shared" si="80"/>
        <v>1218.2911846367422</v>
      </c>
      <c r="G201" s="680">
        <f t="shared" si="80"/>
        <v>221.36973623322535</v>
      </c>
      <c r="H201" s="680">
        <f t="shared" si="80"/>
        <v>2111.2910689495607</v>
      </c>
      <c r="I201" s="680">
        <f t="shared" si="80"/>
        <v>366.13199907450252</v>
      </c>
      <c r="J201" s="513">
        <f t="shared" si="78"/>
        <v>24745.196205460437</v>
      </c>
      <c r="K201" s="680">
        <v>3</v>
      </c>
      <c r="L201" s="680">
        <f t="shared" si="76"/>
        <v>8248.3987351534797</v>
      </c>
      <c r="M201" s="668">
        <v>9263</v>
      </c>
      <c r="N201" s="668"/>
      <c r="O201" s="566" t="s">
        <v>456</v>
      </c>
      <c r="P201" s="669">
        <v>40744</v>
      </c>
      <c r="Q201" s="670"/>
      <c r="R201" s="572">
        <f>K201</f>
        <v>3</v>
      </c>
      <c r="S201" s="496">
        <v>6026</v>
      </c>
      <c r="T201" s="513">
        <f t="shared" si="75"/>
        <v>18078</v>
      </c>
      <c r="U201" s="537"/>
      <c r="V201" s="669"/>
      <c r="W201" s="496"/>
      <c r="X201" s="496"/>
      <c r="Y201" s="513"/>
    </row>
    <row r="202" spans="1:25" ht="13.5" customHeight="1">
      <c r="A202" s="564">
        <f t="shared" si="74"/>
        <v>24</v>
      </c>
      <c r="B202" s="566" t="s">
        <v>722</v>
      </c>
      <c r="C202" s="513">
        <f t="shared" si="72"/>
        <v>78540</v>
      </c>
      <c r="D202" s="680">
        <f t="shared" si="80"/>
        <v>8704.3035631652019</v>
      </c>
      <c r="E202" s="680">
        <f t="shared" si="80"/>
        <v>2296.1453031004166</v>
      </c>
      <c r="F202" s="680">
        <f t="shared" si="80"/>
        <v>4873.1647385469687</v>
      </c>
      <c r="G202" s="680">
        <f t="shared" si="80"/>
        <v>885.47894493290141</v>
      </c>
      <c r="H202" s="680">
        <f t="shared" si="80"/>
        <v>8445.1642757982427</v>
      </c>
      <c r="I202" s="680">
        <f t="shared" si="80"/>
        <v>1464.5279962980101</v>
      </c>
      <c r="J202" s="513">
        <f t="shared" si="78"/>
        <v>105208.78482184175</v>
      </c>
      <c r="K202" s="680">
        <v>12</v>
      </c>
      <c r="L202" s="680">
        <f t="shared" si="76"/>
        <v>8767.3987351534797</v>
      </c>
      <c r="M202" s="668">
        <v>10595</v>
      </c>
      <c r="N202" s="668"/>
      <c r="O202" s="567" t="s">
        <v>579</v>
      </c>
      <c r="P202" s="669">
        <v>40744</v>
      </c>
      <c r="Q202" s="670"/>
      <c r="R202" s="572">
        <f>K202/2</f>
        <v>6</v>
      </c>
      <c r="S202" s="677">
        <v>13090</v>
      </c>
      <c r="T202" s="513">
        <f t="shared" si="75"/>
        <v>78540</v>
      </c>
      <c r="U202" s="537"/>
      <c r="V202" s="669"/>
      <c r="W202" s="496"/>
      <c r="X202" s="496"/>
      <c r="Y202" s="513"/>
    </row>
    <row r="203" spans="1:25" ht="13.5" customHeight="1">
      <c r="A203" s="564">
        <f t="shared" si="74"/>
        <v>25</v>
      </c>
      <c r="B203" s="566" t="s">
        <v>723</v>
      </c>
      <c r="C203" s="513">
        <f t="shared" si="72"/>
        <v>40757</v>
      </c>
      <c r="D203" s="680">
        <f t="shared" si="80"/>
        <v>3626.7931513188341</v>
      </c>
      <c r="E203" s="680">
        <f t="shared" si="80"/>
        <v>956.7272096251736</v>
      </c>
      <c r="F203" s="680">
        <f t="shared" si="80"/>
        <v>2030.4853077279038</v>
      </c>
      <c r="G203" s="680">
        <f t="shared" si="80"/>
        <v>368.94956038870896</v>
      </c>
      <c r="H203" s="680">
        <f t="shared" si="80"/>
        <v>3518.8184482492675</v>
      </c>
      <c r="I203" s="680">
        <f t="shared" si="80"/>
        <v>610.21999845750418</v>
      </c>
      <c r="J203" s="513">
        <f t="shared" si="78"/>
        <v>51868.9936757674</v>
      </c>
      <c r="K203" s="680">
        <v>5</v>
      </c>
      <c r="L203" s="680">
        <f t="shared" si="76"/>
        <v>10373.798735153479</v>
      </c>
      <c r="M203" s="668">
        <v>11321</v>
      </c>
      <c r="N203" s="668"/>
      <c r="O203" s="567" t="s">
        <v>578</v>
      </c>
      <c r="P203" s="669">
        <v>40745</v>
      </c>
      <c r="Q203" s="670"/>
      <c r="R203" s="572">
        <f>K203/2</f>
        <v>2.5</v>
      </c>
      <c r="S203" s="496">
        <v>16302.8</v>
      </c>
      <c r="T203" s="513">
        <f t="shared" si="75"/>
        <v>40757</v>
      </c>
      <c r="U203" s="537"/>
      <c r="V203" s="669"/>
      <c r="W203" s="496"/>
      <c r="X203" s="496"/>
      <c r="Y203" s="513"/>
    </row>
    <row r="204" spans="1:25" ht="13.5" customHeight="1">
      <c r="A204" s="564">
        <f t="shared" si="74"/>
        <v>26</v>
      </c>
      <c r="B204" s="566" t="s">
        <v>724</v>
      </c>
      <c r="C204" s="513">
        <f t="shared" si="72"/>
        <v>8152</v>
      </c>
      <c r="D204" s="680">
        <f t="shared" si="80"/>
        <v>725.35863026376683</v>
      </c>
      <c r="E204" s="680">
        <f t="shared" si="80"/>
        <v>191.34544192503472</v>
      </c>
      <c r="F204" s="680">
        <f t="shared" si="80"/>
        <v>406.09706154558074</v>
      </c>
      <c r="G204" s="680">
        <f t="shared" si="80"/>
        <v>73.789912077741789</v>
      </c>
      <c r="H204" s="680">
        <f t="shared" si="80"/>
        <v>703.76368964985352</v>
      </c>
      <c r="I204" s="680">
        <f t="shared" si="80"/>
        <v>122.04399969150084</v>
      </c>
      <c r="J204" s="513">
        <f t="shared" si="78"/>
        <v>10374.398735153478</v>
      </c>
      <c r="K204" s="680">
        <v>1</v>
      </c>
      <c r="L204" s="680">
        <f t="shared" si="76"/>
        <v>10374.398735153478</v>
      </c>
      <c r="M204" s="668">
        <v>10253</v>
      </c>
      <c r="N204" s="668"/>
      <c r="O204" s="567" t="s">
        <v>578</v>
      </c>
      <c r="P204" s="669">
        <v>40745</v>
      </c>
      <c r="Q204" s="670"/>
      <c r="R204" s="572">
        <f>K204/2</f>
        <v>0.5</v>
      </c>
      <c r="S204" s="496">
        <v>16303</v>
      </c>
      <c r="T204" s="513">
        <f t="shared" si="75"/>
        <v>8152</v>
      </c>
      <c r="U204" s="537"/>
      <c r="V204" s="669"/>
      <c r="W204" s="496"/>
      <c r="X204" s="496"/>
      <c r="Y204" s="513"/>
    </row>
    <row r="205" spans="1:25" ht="13.5" customHeight="1">
      <c r="A205" s="564">
        <f t="shared" si="74"/>
        <v>27</v>
      </c>
      <c r="B205" s="566" t="s">
        <v>725</v>
      </c>
      <c r="C205" s="513">
        <f t="shared" si="72"/>
        <v>8087</v>
      </c>
      <c r="D205" s="680">
        <f t="shared" si="80"/>
        <v>725.35863026376683</v>
      </c>
      <c r="E205" s="680">
        <f t="shared" si="80"/>
        <v>191.34544192503472</v>
      </c>
      <c r="F205" s="680">
        <f t="shared" si="80"/>
        <v>406.09706154558074</v>
      </c>
      <c r="G205" s="680">
        <f t="shared" si="80"/>
        <v>73.789912077741789</v>
      </c>
      <c r="H205" s="680">
        <f t="shared" si="80"/>
        <v>703.76368964985352</v>
      </c>
      <c r="I205" s="680">
        <f t="shared" si="80"/>
        <v>122.04399969150084</v>
      </c>
      <c r="J205" s="513">
        <f t="shared" si="78"/>
        <v>10309.398735153478</v>
      </c>
      <c r="K205" s="680">
        <v>1</v>
      </c>
      <c r="L205" s="680">
        <f t="shared" si="76"/>
        <v>10309.398735153478</v>
      </c>
      <c r="M205" s="668">
        <v>12564</v>
      </c>
      <c r="N205" s="668"/>
      <c r="O205" s="556" t="s">
        <v>465</v>
      </c>
      <c r="P205" s="669">
        <v>40745</v>
      </c>
      <c r="Q205" s="670"/>
      <c r="R205" s="572">
        <f>K205/2</f>
        <v>0.5</v>
      </c>
      <c r="S205" s="496">
        <v>16173</v>
      </c>
      <c r="T205" s="513">
        <f t="shared" si="75"/>
        <v>8087</v>
      </c>
      <c r="U205" s="537"/>
      <c r="V205" s="669"/>
      <c r="W205" s="496"/>
      <c r="X205" s="496"/>
      <c r="Y205" s="513"/>
    </row>
    <row r="206" spans="1:25" ht="13.5" customHeight="1">
      <c r="A206" s="564">
        <f t="shared" si="74"/>
        <v>28</v>
      </c>
      <c r="B206" s="566" t="s">
        <v>950</v>
      </c>
      <c r="C206" s="513">
        <f t="shared" si="72"/>
        <v>215154</v>
      </c>
      <c r="D206" s="680">
        <f t="shared" si="80"/>
        <v>13056.455344747803</v>
      </c>
      <c r="E206" s="680">
        <f t="shared" si="80"/>
        <v>3444.217954650625</v>
      </c>
      <c r="F206" s="680">
        <f t="shared" si="80"/>
        <v>7309.7471078204535</v>
      </c>
      <c r="G206" s="680">
        <f t="shared" si="80"/>
        <v>1328.2184173993521</v>
      </c>
      <c r="H206" s="680">
        <f t="shared" si="80"/>
        <v>12667.746413697363</v>
      </c>
      <c r="I206" s="680">
        <f t="shared" si="80"/>
        <v>2196.791994447015</v>
      </c>
      <c r="J206" s="513">
        <f t="shared" si="78"/>
        <v>255157.17723276262</v>
      </c>
      <c r="K206" s="680">
        <v>18</v>
      </c>
      <c r="L206" s="680">
        <f t="shared" si="76"/>
        <v>14175.39873515348</v>
      </c>
      <c r="M206" s="668">
        <v>14438</v>
      </c>
      <c r="N206" s="668"/>
      <c r="O206" s="567" t="s">
        <v>599</v>
      </c>
      <c r="P206" s="669">
        <v>40745</v>
      </c>
      <c r="Q206" s="670"/>
      <c r="R206" s="572">
        <v>9</v>
      </c>
      <c r="S206" s="496">
        <v>23906</v>
      </c>
      <c r="T206" s="513">
        <f t="shared" si="75"/>
        <v>215154</v>
      </c>
      <c r="U206" s="537"/>
      <c r="V206" s="669"/>
      <c r="W206" s="496"/>
      <c r="X206" s="496"/>
      <c r="Y206" s="513"/>
    </row>
    <row r="207" spans="1:25" ht="13.5" customHeight="1">
      <c r="A207" s="564">
        <f t="shared" si="74"/>
        <v>29</v>
      </c>
      <c r="B207" s="566" t="s">
        <v>726</v>
      </c>
      <c r="C207" s="513">
        <f t="shared" si="72"/>
        <v>1892898</v>
      </c>
      <c r="D207" s="680">
        <f t="shared" si="80"/>
        <v>120409.53262378529</v>
      </c>
      <c r="E207" s="680">
        <f t="shared" si="80"/>
        <v>31763.343359555765</v>
      </c>
      <c r="F207" s="680">
        <f t="shared" si="80"/>
        <v>67412.112216566398</v>
      </c>
      <c r="G207" s="680">
        <f t="shared" si="80"/>
        <v>12249.125404905137</v>
      </c>
      <c r="H207" s="680">
        <f t="shared" si="80"/>
        <v>116824.77248187568</v>
      </c>
      <c r="I207" s="680">
        <f t="shared" si="80"/>
        <v>20259.30394878914</v>
      </c>
      <c r="J207" s="513">
        <f t="shared" si="78"/>
        <v>2261816.1900354773</v>
      </c>
      <c r="K207" s="680">
        <v>166</v>
      </c>
      <c r="L207" s="680">
        <f t="shared" si="76"/>
        <v>13625.398735153478</v>
      </c>
      <c r="M207" s="668">
        <v>15618</v>
      </c>
      <c r="N207" s="668"/>
      <c r="O207" s="556" t="s">
        <v>470</v>
      </c>
      <c r="P207" s="669">
        <v>40745</v>
      </c>
      <c r="Q207" s="670"/>
      <c r="R207" s="572">
        <f>K207/2</f>
        <v>83</v>
      </c>
      <c r="S207" s="677">
        <v>22806</v>
      </c>
      <c r="T207" s="513">
        <f t="shared" si="75"/>
        <v>1892898</v>
      </c>
      <c r="U207" s="537"/>
      <c r="V207" s="669"/>
      <c r="W207" s="496"/>
      <c r="X207" s="496"/>
      <c r="Y207" s="513"/>
    </row>
    <row r="208" spans="1:25" ht="13.5" customHeight="1">
      <c r="A208" s="564">
        <f t="shared" si="74"/>
        <v>30</v>
      </c>
      <c r="B208" s="566" t="s">
        <v>951</v>
      </c>
      <c r="C208" s="513">
        <f t="shared" si="72"/>
        <v>14280</v>
      </c>
      <c r="D208" s="680">
        <f t="shared" si="80"/>
        <v>1450.7172605275337</v>
      </c>
      <c r="E208" s="680">
        <f t="shared" si="80"/>
        <v>382.69088385006944</v>
      </c>
      <c r="F208" s="680">
        <f t="shared" si="80"/>
        <v>812.19412309116149</v>
      </c>
      <c r="G208" s="680">
        <f t="shared" si="80"/>
        <v>147.57982415548358</v>
      </c>
      <c r="H208" s="680">
        <f t="shared" si="80"/>
        <v>1407.527379299707</v>
      </c>
      <c r="I208" s="680">
        <f t="shared" si="80"/>
        <v>244.08799938300169</v>
      </c>
      <c r="J208" s="513">
        <f t="shared" si="78"/>
        <v>18724.797470306956</v>
      </c>
      <c r="K208" s="680">
        <v>2</v>
      </c>
      <c r="L208" s="680">
        <f t="shared" si="76"/>
        <v>9362.3987351534779</v>
      </c>
      <c r="M208" s="668">
        <v>10026</v>
      </c>
      <c r="N208" s="668"/>
      <c r="O208" s="567" t="s">
        <v>581</v>
      </c>
      <c r="P208" s="669">
        <v>40745</v>
      </c>
      <c r="Q208" s="670"/>
      <c r="R208" s="572">
        <f>K208/2</f>
        <v>1</v>
      </c>
      <c r="S208" s="677">
        <v>14280</v>
      </c>
      <c r="T208" s="513">
        <f t="shared" si="75"/>
        <v>14280</v>
      </c>
      <c r="U208" s="537"/>
      <c r="V208" s="669"/>
      <c r="W208" s="496"/>
      <c r="X208" s="496"/>
      <c r="Y208" s="513"/>
    </row>
    <row r="209" spans="1:25" ht="13.5" customHeight="1">
      <c r="A209" s="564">
        <f t="shared" si="74"/>
        <v>31</v>
      </c>
      <c r="B209" s="566" t="s">
        <v>952</v>
      </c>
      <c r="C209" s="513">
        <f t="shared" si="72"/>
        <v>8152</v>
      </c>
      <c r="D209" s="680">
        <f t="shared" ref="D209:I218" si="81">IF($K$333&lt;&gt;0,D$333/$K$333*$K209,0)</f>
        <v>725.35863026376683</v>
      </c>
      <c r="E209" s="680">
        <f t="shared" si="81"/>
        <v>191.34544192503472</v>
      </c>
      <c r="F209" s="680">
        <f t="shared" si="81"/>
        <v>406.09706154558074</v>
      </c>
      <c r="G209" s="680">
        <f t="shared" si="81"/>
        <v>73.789912077741789</v>
      </c>
      <c r="H209" s="680">
        <f t="shared" si="81"/>
        <v>703.76368964985352</v>
      </c>
      <c r="I209" s="680">
        <f t="shared" si="81"/>
        <v>122.04399969150084</v>
      </c>
      <c r="J209" s="513">
        <f t="shared" si="78"/>
        <v>10374.398735153478</v>
      </c>
      <c r="K209" s="680">
        <v>1</v>
      </c>
      <c r="L209" s="680">
        <f t="shared" si="76"/>
        <v>10374.398735153478</v>
      </c>
      <c r="M209" s="668">
        <v>10723</v>
      </c>
      <c r="N209" s="668"/>
      <c r="O209" s="567" t="s">
        <v>578</v>
      </c>
      <c r="P209" s="669">
        <v>40745</v>
      </c>
      <c r="Q209" s="670"/>
      <c r="R209" s="572">
        <f t="shared" ref="R209" si="82">K209/2</f>
        <v>0.5</v>
      </c>
      <c r="S209" s="496">
        <v>16303</v>
      </c>
      <c r="T209" s="513">
        <f t="shared" si="75"/>
        <v>8152</v>
      </c>
      <c r="U209" s="537"/>
      <c r="V209" s="669"/>
      <c r="W209" s="496"/>
      <c r="X209" s="496"/>
      <c r="Y209" s="513"/>
    </row>
    <row r="210" spans="1:25" ht="13.5" customHeight="1">
      <c r="A210" s="564">
        <f t="shared" si="74"/>
        <v>32</v>
      </c>
      <c r="B210" s="566" t="s">
        <v>727</v>
      </c>
      <c r="C210" s="513">
        <f t="shared" si="72"/>
        <v>42412</v>
      </c>
      <c r="D210" s="680">
        <f t="shared" si="81"/>
        <v>2901.4345210550673</v>
      </c>
      <c r="E210" s="680">
        <f t="shared" si="81"/>
        <v>765.38176770013888</v>
      </c>
      <c r="F210" s="680">
        <f t="shared" si="81"/>
        <v>1624.388246182323</v>
      </c>
      <c r="G210" s="680">
        <f t="shared" si="81"/>
        <v>295.15964831096716</v>
      </c>
      <c r="H210" s="680">
        <f t="shared" si="81"/>
        <v>2815.0547585994141</v>
      </c>
      <c r="I210" s="680">
        <f t="shared" si="81"/>
        <v>488.17599876600337</v>
      </c>
      <c r="J210" s="513">
        <f t="shared" si="78"/>
        <v>51301.594940613912</v>
      </c>
      <c r="K210" s="680">
        <v>4</v>
      </c>
      <c r="L210" s="680">
        <f t="shared" si="76"/>
        <v>12825.398735153478</v>
      </c>
      <c r="M210" s="668">
        <v>14010</v>
      </c>
      <c r="N210" s="668"/>
      <c r="O210" s="556" t="s">
        <v>496</v>
      </c>
      <c r="P210" s="669">
        <v>40745</v>
      </c>
      <c r="Q210" s="670"/>
      <c r="R210" s="572">
        <f>K210</f>
        <v>4</v>
      </c>
      <c r="S210" s="496">
        <v>10603</v>
      </c>
      <c r="T210" s="513">
        <f t="shared" si="75"/>
        <v>42412</v>
      </c>
      <c r="U210" s="537"/>
      <c r="V210" s="669"/>
      <c r="W210" s="496"/>
      <c r="X210" s="496"/>
      <c r="Y210" s="513"/>
    </row>
    <row r="211" spans="1:25" ht="13.5" customHeight="1">
      <c r="A211" s="564">
        <f t="shared" si="74"/>
        <v>33</v>
      </c>
      <c r="B211" s="566" t="s">
        <v>953</v>
      </c>
      <c r="C211" s="513">
        <f t="shared" si="72"/>
        <v>35574</v>
      </c>
      <c r="D211" s="680">
        <f t="shared" si="81"/>
        <v>2176.0758907913005</v>
      </c>
      <c r="E211" s="680">
        <f t="shared" si="81"/>
        <v>574.03632577510416</v>
      </c>
      <c r="F211" s="680">
        <f t="shared" si="81"/>
        <v>1218.2911846367422</v>
      </c>
      <c r="G211" s="680">
        <f t="shared" si="81"/>
        <v>221.36973623322535</v>
      </c>
      <c r="H211" s="680">
        <f t="shared" si="81"/>
        <v>2111.2910689495607</v>
      </c>
      <c r="I211" s="680">
        <f t="shared" si="81"/>
        <v>366.13199907450252</v>
      </c>
      <c r="J211" s="513">
        <f t="shared" si="78"/>
        <v>42241.19620546043</v>
      </c>
      <c r="K211" s="680">
        <v>3</v>
      </c>
      <c r="L211" s="680">
        <f t="shared" ref="L211:L274" si="83">IF(K211&lt;&gt;"",J211/K211,"")</f>
        <v>14080.398735153476</v>
      </c>
      <c r="M211" s="668">
        <v>15054</v>
      </c>
      <c r="N211" s="668"/>
      <c r="O211" s="556" t="s">
        <v>469</v>
      </c>
      <c r="P211" s="669">
        <v>40745</v>
      </c>
      <c r="Q211" s="670"/>
      <c r="R211" s="572">
        <f>K211/2</f>
        <v>1.5</v>
      </c>
      <c r="S211" s="677">
        <v>23716</v>
      </c>
      <c r="T211" s="513">
        <f t="shared" si="75"/>
        <v>35574</v>
      </c>
      <c r="U211" s="537"/>
      <c r="V211" s="669"/>
      <c r="W211" s="496"/>
      <c r="X211" s="496"/>
      <c r="Y211" s="513"/>
    </row>
    <row r="212" spans="1:25" ht="13.5" customHeight="1">
      <c r="A212" s="564">
        <f t="shared" si="74"/>
        <v>34</v>
      </c>
      <c r="B212" s="566" t="s">
        <v>728</v>
      </c>
      <c r="C212" s="513">
        <f t="shared" si="72"/>
        <v>35574</v>
      </c>
      <c r="D212" s="680">
        <f t="shared" si="81"/>
        <v>2176.0758907913005</v>
      </c>
      <c r="E212" s="680">
        <f t="shared" si="81"/>
        <v>574.03632577510416</v>
      </c>
      <c r="F212" s="680">
        <f t="shared" si="81"/>
        <v>1218.2911846367422</v>
      </c>
      <c r="G212" s="680">
        <f t="shared" si="81"/>
        <v>221.36973623322535</v>
      </c>
      <c r="H212" s="680">
        <f t="shared" si="81"/>
        <v>2111.2910689495607</v>
      </c>
      <c r="I212" s="680">
        <f t="shared" si="81"/>
        <v>366.13199907450252</v>
      </c>
      <c r="J212" s="513">
        <f t="shared" si="78"/>
        <v>42241.19620546043</v>
      </c>
      <c r="K212" s="680">
        <v>3</v>
      </c>
      <c r="L212" s="680">
        <f t="shared" si="83"/>
        <v>14080.398735153476</v>
      </c>
      <c r="M212" s="668">
        <v>16284</v>
      </c>
      <c r="N212" s="668"/>
      <c r="O212" s="556" t="s">
        <v>469</v>
      </c>
      <c r="P212" s="669">
        <v>40745</v>
      </c>
      <c r="Q212" s="670"/>
      <c r="R212" s="572">
        <f>K212/2</f>
        <v>1.5</v>
      </c>
      <c r="S212" s="677">
        <v>23716</v>
      </c>
      <c r="T212" s="513">
        <f>ROUND(R212*S212,0)</f>
        <v>35574</v>
      </c>
      <c r="U212" s="537"/>
      <c r="V212" s="669"/>
      <c r="W212" s="496"/>
      <c r="X212" s="496"/>
      <c r="Y212" s="513"/>
    </row>
    <row r="213" spans="1:25" ht="13.5" customHeight="1">
      <c r="A213" s="564">
        <f t="shared" si="74"/>
        <v>35</v>
      </c>
      <c r="B213" s="566" t="s">
        <v>954</v>
      </c>
      <c r="C213" s="513">
        <f t="shared" si="72"/>
        <v>1231524</v>
      </c>
      <c r="D213" s="680">
        <f t="shared" si="81"/>
        <v>77613.373438223047</v>
      </c>
      <c r="E213" s="680">
        <f t="shared" si="81"/>
        <v>20473.962285978716</v>
      </c>
      <c r="F213" s="680">
        <f t="shared" si="81"/>
        <v>43452.385585377138</v>
      </c>
      <c r="G213" s="680">
        <f t="shared" si="81"/>
        <v>7895.5205923183712</v>
      </c>
      <c r="H213" s="680">
        <f t="shared" si="81"/>
        <v>75302.714792534331</v>
      </c>
      <c r="I213" s="680">
        <f t="shared" si="81"/>
        <v>13058.707966990591</v>
      </c>
      <c r="J213" s="513">
        <f t="shared" si="78"/>
        <v>1469320.6646614221</v>
      </c>
      <c r="K213" s="680">
        <v>107</v>
      </c>
      <c r="L213" s="680">
        <f t="shared" si="83"/>
        <v>13731.968828611421</v>
      </c>
      <c r="M213" s="668">
        <v>16832</v>
      </c>
      <c r="N213" s="668"/>
      <c r="O213" s="556" t="s">
        <v>470</v>
      </c>
      <c r="P213" s="669">
        <v>40745</v>
      </c>
      <c r="Q213" s="670"/>
      <c r="R213" s="572">
        <v>54</v>
      </c>
      <c r="S213" s="677">
        <v>22806</v>
      </c>
      <c r="T213" s="513">
        <f>ROUND(R213*S213,0)</f>
        <v>1231524</v>
      </c>
      <c r="U213" s="537"/>
      <c r="V213" s="669"/>
      <c r="W213" s="496"/>
      <c r="X213" s="496"/>
      <c r="Y213" s="513"/>
    </row>
    <row r="214" spans="1:25" ht="13.5" customHeight="1">
      <c r="A214" s="564">
        <f>IF(B214&lt;&gt;"",A213+1,"")</f>
        <v>36</v>
      </c>
      <c r="B214" s="566" t="s">
        <v>955</v>
      </c>
      <c r="C214" s="513">
        <f t="shared" si="72"/>
        <v>695893</v>
      </c>
      <c r="D214" s="680">
        <f t="shared" si="81"/>
        <v>60204.766311892643</v>
      </c>
      <c r="E214" s="680">
        <f t="shared" si="81"/>
        <v>15881.671679777883</v>
      </c>
      <c r="F214" s="680">
        <f t="shared" si="81"/>
        <v>33706.056108283199</v>
      </c>
      <c r="G214" s="680">
        <f t="shared" si="81"/>
        <v>6124.5627024525684</v>
      </c>
      <c r="H214" s="680">
        <f t="shared" si="81"/>
        <v>58412.386240937842</v>
      </c>
      <c r="I214" s="680">
        <f t="shared" si="81"/>
        <v>10129.65197439457</v>
      </c>
      <c r="J214" s="513">
        <f t="shared" si="78"/>
        <v>880352.09501773876</v>
      </c>
      <c r="K214" s="680">
        <v>83</v>
      </c>
      <c r="L214" s="680">
        <f t="shared" si="83"/>
        <v>10606.651747201671</v>
      </c>
      <c r="M214" s="668">
        <v>11079</v>
      </c>
      <c r="N214" s="668"/>
      <c r="O214" s="556" t="s">
        <v>528</v>
      </c>
      <c r="P214" s="669">
        <v>40745</v>
      </c>
      <c r="Q214" s="670"/>
      <c r="R214" s="572">
        <v>41</v>
      </c>
      <c r="S214" s="496">
        <v>16973</v>
      </c>
      <c r="T214" s="513">
        <f>ROUND(R214*S214,0)</f>
        <v>695893</v>
      </c>
      <c r="U214" s="537"/>
      <c r="V214" s="669"/>
      <c r="W214" s="496"/>
      <c r="X214" s="496"/>
      <c r="Y214" s="513"/>
    </row>
    <row r="215" spans="1:25" ht="13.5" customHeight="1">
      <c r="A215" s="564">
        <f t="shared" si="74"/>
        <v>37</v>
      </c>
      <c r="B215" s="566" t="s">
        <v>956</v>
      </c>
      <c r="C215" s="513">
        <f t="shared" si="72"/>
        <v>263772</v>
      </c>
      <c r="D215" s="680">
        <f t="shared" si="81"/>
        <v>36993.290143452105</v>
      </c>
      <c r="E215" s="680">
        <f t="shared" si="81"/>
        <v>9758.6175381767716</v>
      </c>
      <c r="F215" s="680">
        <f t="shared" si="81"/>
        <v>20710.950138824617</v>
      </c>
      <c r="G215" s="680">
        <f t="shared" si="81"/>
        <v>3763.2855159648311</v>
      </c>
      <c r="H215" s="680">
        <f t="shared" si="81"/>
        <v>35891.948172142533</v>
      </c>
      <c r="I215" s="680">
        <f t="shared" si="81"/>
        <v>6224.2439842665426</v>
      </c>
      <c r="J215" s="513">
        <f t="shared" si="78"/>
        <v>377114.33549282746</v>
      </c>
      <c r="K215" s="680">
        <v>51</v>
      </c>
      <c r="L215" s="680">
        <f t="shared" si="83"/>
        <v>7394.3987351534797</v>
      </c>
      <c r="M215" s="668">
        <v>8450</v>
      </c>
      <c r="N215" s="668"/>
      <c r="O215" s="556" t="s">
        <v>555</v>
      </c>
      <c r="P215" s="669">
        <v>40745</v>
      </c>
      <c r="Q215" s="670"/>
      <c r="R215" s="572">
        <f>K215/2</f>
        <v>25.5</v>
      </c>
      <c r="S215" s="496">
        <v>10344</v>
      </c>
      <c r="T215" s="513">
        <f t="shared" si="75"/>
        <v>263772</v>
      </c>
      <c r="U215" s="537"/>
      <c r="V215" s="669"/>
      <c r="W215" s="496"/>
      <c r="X215" s="496"/>
      <c r="Y215" s="513"/>
    </row>
    <row r="216" spans="1:25" ht="13.5" customHeight="1">
      <c r="A216" s="564">
        <f t="shared" si="74"/>
        <v>38</v>
      </c>
      <c r="B216" s="566" t="s">
        <v>948</v>
      </c>
      <c r="C216" s="513">
        <f t="shared" si="72"/>
        <v>542340</v>
      </c>
      <c r="D216" s="680">
        <f t="shared" si="81"/>
        <v>65282.276723739014</v>
      </c>
      <c r="E216" s="680">
        <f t="shared" si="81"/>
        <v>17221.089773253123</v>
      </c>
      <c r="F216" s="680">
        <f t="shared" si="81"/>
        <v>36548.735539102265</v>
      </c>
      <c r="G216" s="680">
        <f t="shared" si="81"/>
        <v>6641.0920869967613</v>
      </c>
      <c r="H216" s="680">
        <f t="shared" si="81"/>
        <v>63338.732068486817</v>
      </c>
      <c r="I216" s="680">
        <f t="shared" si="81"/>
        <v>10983.959972235076</v>
      </c>
      <c r="J216" s="513">
        <f t="shared" si="78"/>
        <v>742355.88616381295</v>
      </c>
      <c r="K216" s="680">
        <v>90</v>
      </c>
      <c r="L216" s="680">
        <f t="shared" si="83"/>
        <v>8248.3987351534779</v>
      </c>
      <c r="M216" s="668">
        <v>9594</v>
      </c>
      <c r="N216" s="668"/>
      <c r="O216" s="566" t="s">
        <v>456</v>
      </c>
      <c r="P216" s="669">
        <v>40745</v>
      </c>
      <c r="Q216" s="670"/>
      <c r="R216" s="572">
        <f>K216</f>
        <v>90</v>
      </c>
      <c r="S216" s="496">
        <v>6026</v>
      </c>
      <c r="T216" s="513">
        <f t="shared" si="75"/>
        <v>542340</v>
      </c>
      <c r="U216" s="537"/>
      <c r="V216" s="669"/>
      <c r="W216" s="496"/>
      <c r="X216" s="496"/>
      <c r="Y216" s="513"/>
    </row>
    <row r="217" spans="1:25" ht="13.5" customHeight="1">
      <c r="A217" s="564">
        <f t="shared" si="74"/>
        <v>39</v>
      </c>
      <c r="B217" s="566" t="s">
        <v>950</v>
      </c>
      <c r="C217" s="513">
        <f t="shared" si="72"/>
        <v>7187425</v>
      </c>
      <c r="D217" s="680">
        <f t="shared" si="81"/>
        <v>485264.92364646</v>
      </c>
      <c r="E217" s="680">
        <f t="shared" si="81"/>
        <v>128010.10064784823</v>
      </c>
      <c r="F217" s="680">
        <f t="shared" si="81"/>
        <v>271678.93417399353</v>
      </c>
      <c r="G217" s="680">
        <f t="shared" si="81"/>
        <v>49365.451180009259</v>
      </c>
      <c r="H217" s="680">
        <f t="shared" si="81"/>
        <v>470817.90837575198</v>
      </c>
      <c r="I217" s="680">
        <f t="shared" si="81"/>
        <v>81647.435793614059</v>
      </c>
      <c r="J217" s="513">
        <f t="shared" si="78"/>
        <v>8674209.7538176775</v>
      </c>
      <c r="K217" s="680">
        <v>669</v>
      </c>
      <c r="L217" s="680">
        <f t="shared" si="83"/>
        <v>12965.933862208785</v>
      </c>
      <c r="M217" s="668">
        <v>14438</v>
      </c>
      <c r="N217" s="668"/>
      <c r="O217" s="556" t="s">
        <v>608</v>
      </c>
      <c r="P217" s="669">
        <v>40745</v>
      </c>
      <c r="Q217" s="670"/>
      <c r="R217" s="572">
        <v>335</v>
      </c>
      <c r="S217" s="704">
        <v>21455</v>
      </c>
      <c r="T217" s="513">
        <f t="shared" si="75"/>
        <v>7187425</v>
      </c>
      <c r="U217" s="537"/>
      <c r="V217" s="669"/>
      <c r="W217" s="496"/>
      <c r="X217" s="496"/>
      <c r="Y217" s="513"/>
    </row>
    <row r="218" spans="1:25" ht="13.5" customHeight="1">
      <c r="A218" s="564">
        <f>IF(B218&lt;&gt;"",A217+1,"")</f>
        <v>40</v>
      </c>
      <c r="B218" s="566" t="s">
        <v>722</v>
      </c>
      <c r="C218" s="513">
        <f t="shared" si="72"/>
        <v>1060576</v>
      </c>
      <c r="D218" s="680">
        <f t="shared" si="81"/>
        <v>127663.11892642296</v>
      </c>
      <c r="E218" s="680">
        <f t="shared" si="81"/>
        <v>33676.797778806111</v>
      </c>
      <c r="F218" s="680">
        <f t="shared" si="81"/>
        <v>71473.082832022206</v>
      </c>
      <c r="G218" s="680">
        <f t="shared" si="81"/>
        <v>12987.024525682555</v>
      </c>
      <c r="H218" s="680">
        <f t="shared" si="81"/>
        <v>123862.40937837421</v>
      </c>
      <c r="I218" s="680">
        <f t="shared" si="81"/>
        <v>21479.743945704147</v>
      </c>
      <c r="J218" s="513">
        <f t="shared" si="78"/>
        <v>1451718.1773870119</v>
      </c>
      <c r="K218" s="680">
        <v>176</v>
      </c>
      <c r="L218" s="680">
        <f t="shared" si="83"/>
        <v>8248.3987351534761</v>
      </c>
      <c r="M218" s="668">
        <v>10595</v>
      </c>
      <c r="N218" s="668"/>
      <c r="O218" s="566" t="s">
        <v>456</v>
      </c>
      <c r="P218" s="669">
        <v>40745</v>
      </c>
      <c r="Q218" s="670"/>
      <c r="R218" s="572">
        <f>K218</f>
        <v>176</v>
      </c>
      <c r="S218" s="496">
        <v>6026</v>
      </c>
      <c r="T218" s="513">
        <f t="shared" si="75"/>
        <v>1060576</v>
      </c>
      <c r="U218" s="537"/>
      <c r="V218" s="669"/>
      <c r="W218" s="496"/>
      <c r="X218" s="496"/>
      <c r="Y218" s="513"/>
    </row>
    <row r="219" spans="1:25" ht="13.5" customHeight="1">
      <c r="A219" s="564">
        <f t="shared" si="74"/>
        <v>41</v>
      </c>
      <c r="B219" s="566" t="s">
        <v>943</v>
      </c>
      <c r="C219" s="513">
        <f t="shared" si="72"/>
        <v>301300</v>
      </c>
      <c r="D219" s="680">
        <f t="shared" ref="D219:I228" si="84">IF($K$333&lt;&gt;0,D$333/$K$333*$K219,0)</f>
        <v>36267.931513188341</v>
      </c>
      <c r="E219" s="680">
        <f t="shared" si="84"/>
        <v>9567.272096251736</v>
      </c>
      <c r="F219" s="680">
        <f t="shared" si="84"/>
        <v>20304.853077279036</v>
      </c>
      <c r="G219" s="680">
        <f t="shared" si="84"/>
        <v>3689.4956038870896</v>
      </c>
      <c r="H219" s="680">
        <f t="shared" si="84"/>
        <v>35188.184482492674</v>
      </c>
      <c r="I219" s="680">
        <f t="shared" si="84"/>
        <v>6102.1999845750424</v>
      </c>
      <c r="J219" s="513">
        <f t="shared" si="78"/>
        <v>412419.93675767392</v>
      </c>
      <c r="K219" s="680">
        <v>50</v>
      </c>
      <c r="L219" s="680">
        <f t="shared" si="83"/>
        <v>8248.3987351534779</v>
      </c>
      <c r="M219" s="668">
        <v>9793</v>
      </c>
      <c r="N219" s="668"/>
      <c r="O219" s="566" t="s">
        <v>456</v>
      </c>
      <c r="P219" s="669">
        <v>40746</v>
      </c>
      <c r="Q219" s="670"/>
      <c r="R219" s="572">
        <f>K219</f>
        <v>50</v>
      </c>
      <c r="S219" s="496">
        <v>6026</v>
      </c>
      <c r="T219" s="513">
        <f t="shared" si="75"/>
        <v>301300</v>
      </c>
      <c r="U219" s="537"/>
      <c r="V219" s="669"/>
      <c r="W219" s="496"/>
      <c r="X219" s="496"/>
      <c r="Y219" s="513"/>
    </row>
    <row r="220" spans="1:25" ht="13.5" customHeight="1">
      <c r="A220" s="564">
        <f t="shared" si="74"/>
        <v>42</v>
      </c>
      <c r="B220" s="566" t="s">
        <v>727</v>
      </c>
      <c r="C220" s="513">
        <f t="shared" si="72"/>
        <v>544824</v>
      </c>
      <c r="D220" s="680">
        <f t="shared" si="84"/>
        <v>33366.496992133274</v>
      </c>
      <c r="E220" s="680">
        <f t="shared" si="84"/>
        <v>8801.8903285515971</v>
      </c>
      <c r="F220" s="680">
        <f t="shared" si="84"/>
        <v>18680.464831096713</v>
      </c>
      <c r="G220" s="680">
        <f t="shared" si="84"/>
        <v>3394.3359555761222</v>
      </c>
      <c r="H220" s="680">
        <f t="shared" si="84"/>
        <v>32373.12972389326</v>
      </c>
      <c r="I220" s="680">
        <f t="shared" si="84"/>
        <v>5614.023985809039</v>
      </c>
      <c r="J220" s="513">
        <f t="shared" si="78"/>
        <v>647054.34181706014</v>
      </c>
      <c r="K220" s="680">
        <v>46</v>
      </c>
      <c r="L220" s="680">
        <f t="shared" si="83"/>
        <v>14066.398735153482</v>
      </c>
      <c r="M220" s="668">
        <v>14010</v>
      </c>
      <c r="N220" s="668"/>
      <c r="O220" s="567" t="s">
        <v>601</v>
      </c>
      <c r="P220" s="669">
        <v>40746</v>
      </c>
      <c r="Q220" s="670"/>
      <c r="R220" s="572">
        <v>23</v>
      </c>
      <c r="S220" s="704">
        <v>23688</v>
      </c>
      <c r="T220" s="513">
        <f t="shared" si="75"/>
        <v>544824</v>
      </c>
      <c r="U220" s="537"/>
      <c r="V220" s="669"/>
      <c r="W220" s="496"/>
      <c r="X220" s="496"/>
      <c r="Y220" s="513"/>
    </row>
    <row r="221" spans="1:25" ht="13.5" customHeight="1">
      <c r="A221" s="564">
        <f t="shared" si="74"/>
        <v>43</v>
      </c>
      <c r="B221" s="566" t="s">
        <v>957</v>
      </c>
      <c r="C221" s="513">
        <f t="shared" si="72"/>
        <v>577082</v>
      </c>
      <c r="D221" s="680">
        <f t="shared" si="84"/>
        <v>49324.386857936144</v>
      </c>
      <c r="E221" s="680">
        <f t="shared" si="84"/>
        <v>13011.490050902361</v>
      </c>
      <c r="F221" s="680">
        <f t="shared" si="84"/>
        <v>27614.600185099491</v>
      </c>
      <c r="G221" s="680">
        <f t="shared" si="84"/>
        <v>5017.7140212864415</v>
      </c>
      <c r="H221" s="680">
        <f t="shared" si="84"/>
        <v>47855.930896190039</v>
      </c>
      <c r="I221" s="680">
        <f t="shared" si="84"/>
        <v>8298.9919790220574</v>
      </c>
      <c r="J221" s="513">
        <f t="shared" ref="J221:J252" si="85">SUM(C221:I221)</f>
        <v>728205.11399043654</v>
      </c>
      <c r="K221" s="680">
        <v>68</v>
      </c>
      <c r="L221" s="680">
        <f t="shared" si="83"/>
        <v>10708.898735153478</v>
      </c>
      <c r="M221" s="668">
        <v>11067</v>
      </c>
      <c r="N221" s="668"/>
      <c r="O221" s="556" t="s">
        <v>528</v>
      </c>
      <c r="P221" s="669">
        <v>40746</v>
      </c>
      <c r="Q221" s="670"/>
      <c r="R221" s="572">
        <f t="shared" ref="R221" si="86">K221/2</f>
        <v>34</v>
      </c>
      <c r="S221" s="496">
        <v>16973</v>
      </c>
      <c r="T221" s="513">
        <f t="shared" si="75"/>
        <v>577082</v>
      </c>
      <c r="U221" s="537"/>
      <c r="V221" s="669"/>
      <c r="W221" s="496"/>
      <c r="X221" s="496"/>
      <c r="Y221" s="513"/>
    </row>
    <row r="222" spans="1:25" ht="13.5" customHeight="1">
      <c r="A222" s="564">
        <f t="shared" si="74"/>
        <v>44</v>
      </c>
      <c r="B222" s="566" t="s">
        <v>729</v>
      </c>
      <c r="C222" s="513">
        <f t="shared" si="72"/>
        <v>570150</v>
      </c>
      <c r="D222" s="680">
        <f t="shared" si="84"/>
        <v>36267.931513188341</v>
      </c>
      <c r="E222" s="680">
        <f t="shared" si="84"/>
        <v>9567.272096251736</v>
      </c>
      <c r="F222" s="680">
        <f t="shared" si="84"/>
        <v>20304.853077279036</v>
      </c>
      <c r="G222" s="680">
        <f t="shared" si="84"/>
        <v>3689.4956038870896</v>
      </c>
      <c r="H222" s="680">
        <f t="shared" si="84"/>
        <v>35188.184482492674</v>
      </c>
      <c r="I222" s="680">
        <f t="shared" si="84"/>
        <v>6102.1999845750424</v>
      </c>
      <c r="J222" s="513">
        <f t="shared" si="85"/>
        <v>681269.93675767386</v>
      </c>
      <c r="K222" s="680">
        <v>50</v>
      </c>
      <c r="L222" s="680">
        <f t="shared" si="83"/>
        <v>13625.398735153478</v>
      </c>
      <c r="M222" s="668">
        <v>16713</v>
      </c>
      <c r="N222" s="668"/>
      <c r="O222" s="556" t="s">
        <v>470</v>
      </c>
      <c r="P222" s="669">
        <v>40746</v>
      </c>
      <c r="Q222" s="670"/>
      <c r="R222" s="572">
        <f>K222/2</f>
        <v>25</v>
      </c>
      <c r="S222" s="677">
        <v>22806</v>
      </c>
      <c r="T222" s="513">
        <f t="shared" si="75"/>
        <v>570150</v>
      </c>
      <c r="U222" s="537"/>
      <c r="V222" s="669"/>
      <c r="W222" s="496"/>
      <c r="X222" s="496"/>
      <c r="Y222" s="513"/>
    </row>
    <row r="223" spans="1:25" ht="13.5" customHeight="1">
      <c r="A223" s="564">
        <f t="shared" si="74"/>
        <v>45</v>
      </c>
      <c r="B223" s="566" t="s">
        <v>730</v>
      </c>
      <c r="C223" s="513">
        <f t="shared" si="72"/>
        <v>16303</v>
      </c>
      <c r="D223" s="680">
        <f t="shared" si="84"/>
        <v>1450.7172605275337</v>
      </c>
      <c r="E223" s="680">
        <f t="shared" si="84"/>
        <v>382.69088385006944</v>
      </c>
      <c r="F223" s="680">
        <f t="shared" si="84"/>
        <v>812.19412309116149</v>
      </c>
      <c r="G223" s="680">
        <f t="shared" si="84"/>
        <v>147.57982415548358</v>
      </c>
      <c r="H223" s="680">
        <f t="shared" si="84"/>
        <v>1407.527379299707</v>
      </c>
      <c r="I223" s="680">
        <f t="shared" si="84"/>
        <v>244.08799938300169</v>
      </c>
      <c r="J223" s="513">
        <f t="shared" si="85"/>
        <v>20747.797470306956</v>
      </c>
      <c r="K223" s="680">
        <v>2</v>
      </c>
      <c r="L223" s="680">
        <f t="shared" si="83"/>
        <v>10373.898735153478</v>
      </c>
      <c r="M223" s="668">
        <v>12207</v>
      </c>
      <c r="N223" s="668"/>
      <c r="O223" s="567" t="s">
        <v>578</v>
      </c>
      <c r="P223" s="669">
        <v>40746</v>
      </c>
      <c r="Q223" s="670"/>
      <c r="R223" s="572">
        <f>K223/2</f>
        <v>1</v>
      </c>
      <c r="S223" s="496">
        <v>16303</v>
      </c>
      <c r="T223" s="513">
        <f t="shared" si="75"/>
        <v>16303</v>
      </c>
      <c r="U223" s="537"/>
      <c r="V223" s="669"/>
      <c r="W223" s="496"/>
      <c r="X223" s="496"/>
      <c r="Y223" s="513"/>
    </row>
    <row r="224" spans="1:25" ht="13.5" customHeight="1">
      <c r="A224" s="564">
        <f t="shared" si="74"/>
        <v>46</v>
      </c>
      <c r="B224" s="566" t="s">
        <v>958</v>
      </c>
      <c r="C224" s="513">
        <f t="shared" si="72"/>
        <v>11858</v>
      </c>
      <c r="D224" s="680">
        <f t="shared" si="84"/>
        <v>725.35863026376683</v>
      </c>
      <c r="E224" s="680">
        <f t="shared" si="84"/>
        <v>191.34544192503472</v>
      </c>
      <c r="F224" s="680">
        <f t="shared" si="84"/>
        <v>406.09706154558074</v>
      </c>
      <c r="G224" s="680">
        <f t="shared" si="84"/>
        <v>73.789912077741789</v>
      </c>
      <c r="H224" s="680">
        <f t="shared" si="84"/>
        <v>703.76368964985352</v>
      </c>
      <c r="I224" s="680">
        <f t="shared" si="84"/>
        <v>122.04399969150084</v>
      </c>
      <c r="J224" s="513">
        <f t="shared" si="85"/>
        <v>14080.398735153478</v>
      </c>
      <c r="K224" s="680">
        <v>1</v>
      </c>
      <c r="L224" s="680">
        <f t="shared" si="83"/>
        <v>14080.398735153478</v>
      </c>
      <c r="M224" s="668">
        <v>13099</v>
      </c>
      <c r="N224" s="668"/>
      <c r="O224" s="556" t="s">
        <v>469</v>
      </c>
      <c r="P224" s="669">
        <v>40746</v>
      </c>
      <c r="Q224" s="670"/>
      <c r="R224" s="572">
        <f>K224/2</f>
        <v>0.5</v>
      </c>
      <c r="S224" s="677">
        <v>23716</v>
      </c>
      <c r="T224" s="513">
        <f t="shared" si="75"/>
        <v>11858</v>
      </c>
      <c r="U224" s="537"/>
      <c r="V224" s="669"/>
      <c r="W224" s="496"/>
      <c r="X224" s="496"/>
      <c r="Y224" s="513"/>
    </row>
    <row r="225" spans="1:25" ht="13.5" customHeight="1">
      <c r="A225" s="564">
        <f t="shared" si="74"/>
        <v>47</v>
      </c>
      <c r="B225" s="566" t="s">
        <v>731</v>
      </c>
      <c r="C225" s="513">
        <f t="shared" si="72"/>
        <v>40757</v>
      </c>
      <c r="D225" s="680">
        <f t="shared" si="84"/>
        <v>3626.7931513188341</v>
      </c>
      <c r="E225" s="680">
        <f t="shared" si="84"/>
        <v>956.7272096251736</v>
      </c>
      <c r="F225" s="680">
        <f t="shared" si="84"/>
        <v>2030.4853077279038</v>
      </c>
      <c r="G225" s="680">
        <f t="shared" si="84"/>
        <v>368.94956038870896</v>
      </c>
      <c r="H225" s="680">
        <f t="shared" si="84"/>
        <v>3518.8184482492675</v>
      </c>
      <c r="I225" s="680">
        <f t="shared" si="84"/>
        <v>610.21999845750418</v>
      </c>
      <c r="J225" s="513">
        <f t="shared" si="85"/>
        <v>51868.9936757674</v>
      </c>
      <c r="K225" s="680">
        <v>5</v>
      </c>
      <c r="L225" s="680">
        <f t="shared" si="83"/>
        <v>10373.798735153479</v>
      </c>
      <c r="M225" s="668">
        <v>12179</v>
      </c>
      <c r="N225" s="668"/>
      <c r="O225" s="567" t="s">
        <v>578</v>
      </c>
      <c r="P225" s="669">
        <v>40746</v>
      </c>
      <c r="Q225" s="670"/>
      <c r="R225" s="572">
        <f>K225/2</f>
        <v>2.5</v>
      </c>
      <c r="S225" s="496">
        <v>16302.8</v>
      </c>
      <c r="T225" s="513">
        <f t="shared" si="75"/>
        <v>40757</v>
      </c>
      <c r="U225" s="537"/>
      <c r="V225" s="669"/>
      <c r="W225" s="496"/>
      <c r="X225" s="496"/>
      <c r="Y225" s="513"/>
    </row>
    <row r="226" spans="1:25" ht="13.5" customHeight="1">
      <c r="A226" s="564">
        <f t="shared" si="74"/>
        <v>48</v>
      </c>
      <c r="B226" s="566" t="s">
        <v>724</v>
      </c>
      <c r="C226" s="513">
        <f t="shared" si="72"/>
        <v>43608</v>
      </c>
      <c r="D226" s="680">
        <f t="shared" si="84"/>
        <v>4352.151781582601</v>
      </c>
      <c r="E226" s="680">
        <f t="shared" si="84"/>
        <v>1148.0726515502083</v>
      </c>
      <c r="F226" s="680">
        <f t="shared" si="84"/>
        <v>2436.5823692734843</v>
      </c>
      <c r="G226" s="680">
        <f t="shared" si="84"/>
        <v>442.73947246645071</v>
      </c>
      <c r="H226" s="680">
        <f t="shared" si="84"/>
        <v>4222.5821378991213</v>
      </c>
      <c r="I226" s="680">
        <f t="shared" si="84"/>
        <v>732.26399814900503</v>
      </c>
      <c r="J226" s="513">
        <f t="shared" si="85"/>
        <v>56942.392410920875</v>
      </c>
      <c r="K226" s="680">
        <v>6</v>
      </c>
      <c r="L226" s="680">
        <f t="shared" si="83"/>
        <v>9490.3987351534797</v>
      </c>
      <c r="M226" s="668">
        <v>10253</v>
      </c>
      <c r="N226" s="668"/>
      <c r="O226" s="556" t="s">
        <v>500</v>
      </c>
      <c r="P226" s="669">
        <v>40746</v>
      </c>
      <c r="Q226" s="670"/>
      <c r="R226" s="572">
        <f>K226</f>
        <v>6</v>
      </c>
      <c r="S226" s="677">
        <v>7268</v>
      </c>
      <c r="T226" s="513">
        <f t="shared" si="75"/>
        <v>43608</v>
      </c>
      <c r="U226" s="537"/>
      <c r="V226" s="669"/>
      <c r="W226" s="496"/>
      <c r="X226" s="496"/>
      <c r="Y226" s="513"/>
    </row>
    <row r="227" spans="1:25" ht="13.5" customHeight="1">
      <c r="A227" s="564">
        <f t="shared" si="74"/>
        <v>49</v>
      </c>
      <c r="B227" s="566" t="s">
        <v>953</v>
      </c>
      <c r="C227" s="513">
        <f t="shared" ref="C227:C274" si="87">T227</f>
        <v>114030</v>
      </c>
      <c r="D227" s="680">
        <f t="shared" si="84"/>
        <v>7253.5863026376683</v>
      </c>
      <c r="E227" s="680">
        <f t="shared" si="84"/>
        <v>1913.4544192503472</v>
      </c>
      <c r="F227" s="680">
        <f t="shared" si="84"/>
        <v>4060.9706154558075</v>
      </c>
      <c r="G227" s="680">
        <f t="shared" si="84"/>
        <v>737.89912077741792</v>
      </c>
      <c r="H227" s="680">
        <f t="shared" si="84"/>
        <v>7037.636896498535</v>
      </c>
      <c r="I227" s="680">
        <f t="shared" si="84"/>
        <v>1220.4399969150084</v>
      </c>
      <c r="J227" s="513">
        <f t="shared" si="85"/>
        <v>136253.9873515348</v>
      </c>
      <c r="K227" s="680">
        <v>10</v>
      </c>
      <c r="L227" s="680">
        <f t="shared" si="83"/>
        <v>13625.39873515348</v>
      </c>
      <c r="M227" s="668">
        <v>15053</v>
      </c>
      <c r="N227" s="668"/>
      <c r="O227" s="556" t="s">
        <v>470</v>
      </c>
      <c r="P227" s="669">
        <v>40747</v>
      </c>
      <c r="Q227" s="670"/>
      <c r="R227" s="572">
        <f>K227/2</f>
        <v>5</v>
      </c>
      <c r="S227" s="677">
        <v>22806</v>
      </c>
      <c r="T227" s="513">
        <f t="shared" si="75"/>
        <v>114030</v>
      </c>
      <c r="U227" s="537"/>
      <c r="V227" s="669"/>
      <c r="W227" s="496"/>
      <c r="X227" s="496"/>
      <c r="Y227" s="513"/>
    </row>
    <row r="228" spans="1:25" ht="13.5" customHeight="1">
      <c r="A228" s="564">
        <f t="shared" si="74"/>
        <v>50</v>
      </c>
      <c r="B228" s="566" t="s">
        <v>941</v>
      </c>
      <c r="C228" s="513">
        <f t="shared" si="87"/>
        <v>2672480</v>
      </c>
      <c r="D228" s="680">
        <f t="shared" si="84"/>
        <v>116057.38084220269</v>
      </c>
      <c r="E228" s="680">
        <f t="shared" si="84"/>
        <v>30615.270708005555</v>
      </c>
      <c r="F228" s="680">
        <f t="shared" si="84"/>
        <v>64975.529847292921</v>
      </c>
      <c r="G228" s="680">
        <f t="shared" si="84"/>
        <v>11806.385932438687</v>
      </c>
      <c r="H228" s="680">
        <f t="shared" si="84"/>
        <v>112602.19034397656</v>
      </c>
      <c r="I228" s="680">
        <f t="shared" si="84"/>
        <v>19527.039950640134</v>
      </c>
      <c r="J228" s="513">
        <f t="shared" si="85"/>
        <v>3028063.7976245559</v>
      </c>
      <c r="K228" s="680">
        <v>160</v>
      </c>
      <c r="L228" s="680">
        <f t="shared" si="83"/>
        <v>18925.398735153474</v>
      </c>
      <c r="M228" s="668">
        <v>20976</v>
      </c>
      <c r="N228" s="668"/>
      <c r="O228" s="567" t="s">
        <v>604</v>
      </c>
      <c r="P228" s="669">
        <v>40747</v>
      </c>
      <c r="Q228" s="670"/>
      <c r="R228" s="572">
        <v>160</v>
      </c>
      <c r="S228" s="496">
        <v>16703</v>
      </c>
      <c r="T228" s="513">
        <f t="shared" si="75"/>
        <v>2672480</v>
      </c>
      <c r="U228" s="537"/>
      <c r="V228" s="669"/>
      <c r="W228" s="496"/>
      <c r="X228" s="496"/>
      <c r="Y228" s="513"/>
    </row>
    <row r="229" spans="1:25" ht="13.5" customHeight="1">
      <c r="A229" s="564">
        <f t="shared" si="74"/>
        <v>51</v>
      </c>
      <c r="B229" s="566" t="s">
        <v>732</v>
      </c>
      <c r="C229" s="513">
        <f t="shared" si="87"/>
        <v>124572</v>
      </c>
      <c r="D229" s="680">
        <f t="shared" ref="D229:I238" si="88">IF($K$333&lt;&gt;0,D$333/$K$333*$K229,0)</f>
        <v>39894.724664507172</v>
      </c>
      <c r="E229" s="680">
        <f t="shared" si="88"/>
        <v>10523.999305876911</v>
      </c>
      <c r="F229" s="680">
        <f t="shared" si="88"/>
        <v>22335.33838500694</v>
      </c>
      <c r="G229" s="680">
        <f t="shared" si="88"/>
        <v>4058.4451642757986</v>
      </c>
      <c r="H229" s="680">
        <f t="shared" si="88"/>
        <v>38707.002930741946</v>
      </c>
      <c r="I229" s="680">
        <f t="shared" si="88"/>
        <v>6712.419983032546</v>
      </c>
      <c r="J229" s="513">
        <f t="shared" si="85"/>
        <v>246803.93043344127</v>
      </c>
      <c r="K229" s="680">
        <v>55</v>
      </c>
      <c r="L229" s="680">
        <f t="shared" si="83"/>
        <v>4487.3441896989325</v>
      </c>
      <c r="M229" s="668">
        <v>4422</v>
      </c>
      <c r="N229" s="668"/>
      <c r="O229" s="556" t="s">
        <v>364</v>
      </c>
      <c r="P229" s="669">
        <v>40747</v>
      </c>
      <c r="Q229" s="670"/>
      <c r="R229" s="572">
        <v>28</v>
      </c>
      <c r="S229" s="496">
        <f>4449</f>
        <v>4449</v>
      </c>
      <c r="T229" s="513">
        <f t="shared" si="75"/>
        <v>124572</v>
      </c>
      <c r="U229" s="537"/>
      <c r="V229" s="669"/>
      <c r="W229" s="496"/>
      <c r="X229" s="496"/>
      <c r="Y229" s="513"/>
    </row>
    <row r="230" spans="1:25" ht="13.5" customHeight="1">
      <c r="A230" s="564">
        <f t="shared" si="74"/>
        <v>52</v>
      </c>
      <c r="B230" s="566" t="s">
        <v>725</v>
      </c>
      <c r="C230" s="513">
        <f t="shared" si="87"/>
        <v>65210</v>
      </c>
      <c r="D230" s="680">
        <f t="shared" si="88"/>
        <v>5802.8690421101346</v>
      </c>
      <c r="E230" s="680">
        <f t="shared" si="88"/>
        <v>1530.7635354002778</v>
      </c>
      <c r="F230" s="680">
        <f t="shared" si="88"/>
        <v>3248.7764923646459</v>
      </c>
      <c r="G230" s="680">
        <f t="shared" si="88"/>
        <v>590.31929662193431</v>
      </c>
      <c r="H230" s="680">
        <f t="shared" si="88"/>
        <v>5630.1095171988281</v>
      </c>
      <c r="I230" s="680">
        <f t="shared" si="88"/>
        <v>976.35199753200675</v>
      </c>
      <c r="J230" s="513">
        <f t="shared" si="85"/>
        <v>82989.189881227823</v>
      </c>
      <c r="K230" s="680">
        <v>8</v>
      </c>
      <c r="L230" s="680">
        <f t="shared" si="83"/>
        <v>10373.648735153478</v>
      </c>
      <c r="M230" s="668">
        <v>12564</v>
      </c>
      <c r="N230" s="668"/>
      <c r="O230" s="567" t="s">
        <v>578</v>
      </c>
      <c r="P230" s="669">
        <v>40747</v>
      </c>
      <c r="Q230" s="670"/>
      <c r="R230" s="572">
        <f>K230/2</f>
        <v>4</v>
      </c>
      <c r="S230" s="496">
        <v>16302.5</v>
      </c>
      <c r="T230" s="513">
        <f t="shared" si="75"/>
        <v>65210</v>
      </c>
      <c r="U230" s="537"/>
      <c r="V230" s="669"/>
      <c r="W230" s="496"/>
      <c r="X230" s="496"/>
      <c r="Y230" s="513"/>
    </row>
    <row r="231" spans="1:25" ht="13.5" customHeight="1">
      <c r="A231" s="564">
        <f t="shared" si="74"/>
        <v>53</v>
      </c>
      <c r="B231" s="566" t="s">
        <v>733</v>
      </c>
      <c r="C231" s="513">
        <f t="shared" si="87"/>
        <v>2225</v>
      </c>
      <c r="D231" s="680">
        <f t="shared" si="88"/>
        <v>725.35863026376683</v>
      </c>
      <c r="E231" s="680">
        <f t="shared" si="88"/>
        <v>191.34544192503472</v>
      </c>
      <c r="F231" s="680">
        <f t="shared" si="88"/>
        <v>406.09706154558074</v>
      </c>
      <c r="G231" s="680">
        <f t="shared" si="88"/>
        <v>73.789912077741789</v>
      </c>
      <c r="H231" s="680">
        <f t="shared" si="88"/>
        <v>703.76368964985352</v>
      </c>
      <c r="I231" s="680">
        <f t="shared" si="88"/>
        <v>122.04399969150084</v>
      </c>
      <c r="J231" s="513">
        <f t="shared" si="85"/>
        <v>4447.3987351534788</v>
      </c>
      <c r="K231" s="680">
        <v>1</v>
      </c>
      <c r="L231" s="680">
        <f t="shared" si="83"/>
        <v>4447.3987351534788</v>
      </c>
      <c r="M231" s="668">
        <v>5210</v>
      </c>
      <c r="N231" s="668"/>
      <c r="O231" s="556" t="s">
        <v>364</v>
      </c>
      <c r="P231" s="669">
        <v>40747</v>
      </c>
      <c r="Q231" s="670"/>
      <c r="R231" s="572">
        <f>K231/2</f>
        <v>0.5</v>
      </c>
      <c r="S231" s="496">
        <f>4449</f>
        <v>4449</v>
      </c>
      <c r="T231" s="513">
        <f t="shared" si="75"/>
        <v>2225</v>
      </c>
      <c r="U231" s="537"/>
      <c r="V231" s="669"/>
      <c r="W231" s="496"/>
      <c r="X231" s="496"/>
      <c r="Y231" s="513"/>
    </row>
    <row r="232" spans="1:25" ht="13.5" customHeight="1">
      <c r="A232" s="564">
        <f t="shared" si="74"/>
        <v>54</v>
      </c>
      <c r="B232" s="566" t="s">
        <v>949</v>
      </c>
      <c r="C232" s="513">
        <f t="shared" si="87"/>
        <v>4449</v>
      </c>
      <c r="D232" s="680">
        <f t="shared" si="88"/>
        <v>725.35863026376683</v>
      </c>
      <c r="E232" s="680">
        <f t="shared" si="88"/>
        <v>191.34544192503472</v>
      </c>
      <c r="F232" s="680">
        <f t="shared" si="88"/>
        <v>406.09706154558074</v>
      </c>
      <c r="G232" s="680">
        <f t="shared" si="88"/>
        <v>73.789912077741789</v>
      </c>
      <c r="H232" s="680">
        <f t="shared" si="88"/>
        <v>703.76368964985352</v>
      </c>
      <c r="I232" s="680">
        <f t="shared" si="88"/>
        <v>122.04399969150084</v>
      </c>
      <c r="J232" s="513">
        <f t="shared" si="85"/>
        <v>6671.3987351534788</v>
      </c>
      <c r="K232" s="680">
        <v>1</v>
      </c>
      <c r="L232" s="680">
        <f t="shared" si="83"/>
        <v>6671.3987351534788</v>
      </c>
      <c r="M232" s="668">
        <v>7094</v>
      </c>
      <c r="N232" s="668"/>
      <c r="O232" s="556" t="s">
        <v>364</v>
      </c>
      <c r="P232" s="669">
        <v>40747</v>
      </c>
      <c r="Q232" s="670"/>
      <c r="R232" s="572">
        <f>K232</f>
        <v>1</v>
      </c>
      <c r="S232" s="496">
        <f>4449</f>
        <v>4449</v>
      </c>
      <c r="T232" s="513">
        <f t="shared" si="75"/>
        <v>4449</v>
      </c>
      <c r="U232" s="537"/>
      <c r="V232" s="669"/>
      <c r="W232" s="496"/>
      <c r="X232" s="496"/>
      <c r="Y232" s="513"/>
    </row>
    <row r="233" spans="1:25" ht="13.5" customHeight="1">
      <c r="A233" s="564">
        <f t="shared" si="74"/>
        <v>55</v>
      </c>
      <c r="B233" s="566" t="s">
        <v>721</v>
      </c>
      <c r="C233" s="513">
        <f t="shared" si="87"/>
        <v>12052</v>
      </c>
      <c r="D233" s="680">
        <f t="shared" si="88"/>
        <v>1450.7172605275337</v>
      </c>
      <c r="E233" s="680">
        <f t="shared" si="88"/>
        <v>382.69088385006944</v>
      </c>
      <c r="F233" s="680">
        <f t="shared" si="88"/>
        <v>812.19412309116149</v>
      </c>
      <c r="G233" s="680">
        <f t="shared" si="88"/>
        <v>147.57982415548358</v>
      </c>
      <c r="H233" s="680">
        <f t="shared" si="88"/>
        <v>1407.527379299707</v>
      </c>
      <c r="I233" s="680">
        <f t="shared" si="88"/>
        <v>244.08799938300169</v>
      </c>
      <c r="J233" s="513">
        <f t="shared" si="85"/>
        <v>16496.797470306956</v>
      </c>
      <c r="K233" s="680">
        <v>2</v>
      </c>
      <c r="L233" s="680">
        <f t="shared" si="83"/>
        <v>8248.3987351534779</v>
      </c>
      <c r="M233" s="668">
        <v>9263</v>
      </c>
      <c r="N233" s="668"/>
      <c r="O233" s="566" t="s">
        <v>456</v>
      </c>
      <c r="P233" s="669">
        <v>40747</v>
      </c>
      <c r="Q233" s="670"/>
      <c r="R233" s="572">
        <f>K233</f>
        <v>2</v>
      </c>
      <c r="S233" s="496">
        <v>6026</v>
      </c>
      <c r="T233" s="513">
        <f t="shared" si="75"/>
        <v>12052</v>
      </c>
      <c r="U233" s="537"/>
      <c r="V233" s="669"/>
      <c r="W233" s="496"/>
      <c r="X233" s="496"/>
      <c r="Y233" s="513"/>
    </row>
    <row r="234" spans="1:25" ht="13.5" customHeight="1">
      <c r="A234" s="564">
        <f t="shared" si="74"/>
        <v>56</v>
      </c>
      <c r="B234" s="566" t="s">
        <v>723</v>
      </c>
      <c r="C234" s="513">
        <f t="shared" si="87"/>
        <v>16303</v>
      </c>
      <c r="D234" s="680">
        <f t="shared" si="88"/>
        <v>1450.7172605275337</v>
      </c>
      <c r="E234" s="680">
        <f t="shared" si="88"/>
        <v>382.69088385006944</v>
      </c>
      <c r="F234" s="680">
        <f t="shared" si="88"/>
        <v>812.19412309116149</v>
      </c>
      <c r="G234" s="680">
        <f t="shared" si="88"/>
        <v>147.57982415548358</v>
      </c>
      <c r="H234" s="680">
        <f t="shared" si="88"/>
        <v>1407.527379299707</v>
      </c>
      <c r="I234" s="680">
        <f t="shared" si="88"/>
        <v>244.08799938300169</v>
      </c>
      <c r="J234" s="513">
        <f t="shared" si="85"/>
        <v>20747.797470306956</v>
      </c>
      <c r="K234" s="680">
        <v>2</v>
      </c>
      <c r="L234" s="680">
        <f t="shared" si="83"/>
        <v>10373.898735153478</v>
      </c>
      <c r="M234" s="668">
        <v>11321</v>
      </c>
      <c r="N234" s="668"/>
      <c r="O234" s="567" t="s">
        <v>578</v>
      </c>
      <c r="P234" s="669">
        <v>40747</v>
      </c>
      <c r="Q234" s="670"/>
      <c r="R234" s="572">
        <f>K234/2</f>
        <v>1</v>
      </c>
      <c r="S234" s="496">
        <v>16303</v>
      </c>
      <c r="T234" s="513">
        <f t="shared" si="75"/>
        <v>16303</v>
      </c>
      <c r="U234" s="537"/>
      <c r="V234" s="669"/>
      <c r="W234" s="496"/>
      <c r="X234" s="496"/>
      <c r="Y234" s="513"/>
    </row>
    <row r="235" spans="1:25" ht="13.5" customHeight="1">
      <c r="A235" s="564">
        <f t="shared" si="74"/>
        <v>57</v>
      </c>
      <c r="B235" s="566" t="s">
        <v>734</v>
      </c>
      <c r="C235" s="513">
        <f t="shared" si="87"/>
        <v>48939</v>
      </c>
      <c r="D235" s="680">
        <f t="shared" si="88"/>
        <v>7978.9449329014351</v>
      </c>
      <c r="E235" s="680">
        <f t="shared" si="88"/>
        <v>2104.7998611753819</v>
      </c>
      <c r="F235" s="680">
        <f t="shared" si="88"/>
        <v>4467.0676770013879</v>
      </c>
      <c r="G235" s="680">
        <f t="shared" si="88"/>
        <v>811.68903285515967</v>
      </c>
      <c r="H235" s="680">
        <f t="shared" si="88"/>
        <v>7741.4005861483884</v>
      </c>
      <c r="I235" s="680">
        <f t="shared" si="88"/>
        <v>1342.4839966065092</v>
      </c>
      <c r="J235" s="513">
        <f t="shared" si="85"/>
        <v>73385.386086688246</v>
      </c>
      <c r="K235" s="680">
        <v>11</v>
      </c>
      <c r="L235" s="680">
        <f t="shared" si="83"/>
        <v>6671.398735153477</v>
      </c>
      <c r="M235" s="668">
        <v>7348</v>
      </c>
      <c r="N235" s="668"/>
      <c r="O235" s="556" t="s">
        <v>364</v>
      </c>
      <c r="P235" s="669">
        <v>40748</v>
      </c>
      <c r="Q235" s="670"/>
      <c r="R235" s="572">
        <f>K235</f>
        <v>11</v>
      </c>
      <c r="S235" s="496">
        <f>4449</f>
        <v>4449</v>
      </c>
      <c r="T235" s="513">
        <f t="shared" si="75"/>
        <v>48939</v>
      </c>
      <c r="U235" s="537"/>
      <c r="V235" s="669"/>
      <c r="W235" s="496"/>
      <c r="X235" s="496"/>
      <c r="Y235" s="513"/>
    </row>
    <row r="236" spans="1:25" ht="13.5" customHeight="1">
      <c r="A236" s="564">
        <f t="shared" si="74"/>
        <v>58</v>
      </c>
      <c r="B236" s="566" t="s">
        <v>735</v>
      </c>
      <c r="C236" s="513">
        <f t="shared" si="87"/>
        <v>11858</v>
      </c>
      <c r="D236" s="680">
        <f t="shared" si="88"/>
        <v>725.35863026376683</v>
      </c>
      <c r="E236" s="680">
        <f t="shared" si="88"/>
        <v>191.34544192503472</v>
      </c>
      <c r="F236" s="680">
        <f t="shared" si="88"/>
        <v>406.09706154558074</v>
      </c>
      <c r="G236" s="680">
        <f t="shared" si="88"/>
        <v>73.789912077741789</v>
      </c>
      <c r="H236" s="680">
        <f t="shared" si="88"/>
        <v>703.76368964985352</v>
      </c>
      <c r="I236" s="680">
        <f t="shared" si="88"/>
        <v>122.04399969150084</v>
      </c>
      <c r="J236" s="513">
        <f t="shared" si="85"/>
        <v>14080.398735153478</v>
      </c>
      <c r="K236" s="680">
        <v>1</v>
      </c>
      <c r="L236" s="680">
        <f t="shared" si="83"/>
        <v>14080.398735153478</v>
      </c>
      <c r="M236" s="668">
        <v>15136</v>
      </c>
      <c r="N236" s="668"/>
      <c r="O236" s="556" t="s">
        <v>469</v>
      </c>
      <c r="P236" s="669">
        <v>40748</v>
      </c>
      <c r="Q236" s="670"/>
      <c r="R236" s="572">
        <f>K236/2</f>
        <v>0.5</v>
      </c>
      <c r="S236" s="677">
        <v>23716</v>
      </c>
      <c r="T236" s="513">
        <f t="shared" si="75"/>
        <v>11858</v>
      </c>
      <c r="U236" s="537"/>
      <c r="V236" s="669"/>
      <c r="W236" s="496"/>
      <c r="X236" s="496"/>
      <c r="Y236" s="513"/>
    </row>
    <row r="237" spans="1:25" ht="13.5" customHeight="1">
      <c r="A237" s="564">
        <f t="shared" si="74"/>
        <v>59</v>
      </c>
      <c r="B237" s="566" t="s">
        <v>959</v>
      </c>
      <c r="C237" s="513">
        <f t="shared" si="87"/>
        <v>71925</v>
      </c>
      <c r="D237" s="680">
        <f t="shared" si="88"/>
        <v>3626.7931513188341</v>
      </c>
      <c r="E237" s="680">
        <f t="shared" si="88"/>
        <v>956.7272096251736</v>
      </c>
      <c r="F237" s="680">
        <f t="shared" si="88"/>
        <v>2030.4853077279038</v>
      </c>
      <c r="G237" s="680">
        <f t="shared" si="88"/>
        <v>368.94956038870896</v>
      </c>
      <c r="H237" s="680">
        <f t="shared" si="88"/>
        <v>3518.8184482492675</v>
      </c>
      <c r="I237" s="680">
        <f t="shared" si="88"/>
        <v>610.21999845750418</v>
      </c>
      <c r="J237" s="513">
        <f t="shared" si="85"/>
        <v>83036.993675767371</v>
      </c>
      <c r="K237" s="680">
        <v>5</v>
      </c>
      <c r="L237" s="680">
        <f t="shared" si="83"/>
        <v>16607.398735153474</v>
      </c>
      <c r="M237" s="668">
        <v>17837</v>
      </c>
      <c r="N237" s="668"/>
      <c r="O237" s="567" t="s">
        <v>603</v>
      </c>
      <c r="P237" s="669">
        <v>40748</v>
      </c>
      <c r="Q237" s="670"/>
      <c r="R237" s="572">
        <v>3</v>
      </c>
      <c r="S237" s="496">
        <v>23975</v>
      </c>
      <c r="T237" s="513">
        <f t="shared" si="75"/>
        <v>71925</v>
      </c>
      <c r="U237" s="537"/>
      <c r="V237" s="669"/>
      <c r="W237" s="496"/>
      <c r="X237" s="496"/>
      <c r="Y237" s="513"/>
    </row>
    <row r="238" spans="1:25" ht="13.5" customHeight="1">
      <c r="A238" s="564">
        <f t="shared" si="74"/>
        <v>60</v>
      </c>
      <c r="B238" s="566" t="s">
        <v>951</v>
      </c>
      <c r="C238" s="513">
        <f t="shared" si="87"/>
        <v>7268</v>
      </c>
      <c r="D238" s="680">
        <f t="shared" si="88"/>
        <v>725.35863026376683</v>
      </c>
      <c r="E238" s="680">
        <f t="shared" si="88"/>
        <v>191.34544192503472</v>
      </c>
      <c r="F238" s="680">
        <f t="shared" si="88"/>
        <v>406.09706154558074</v>
      </c>
      <c r="G238" s="680">
        <f t="shared" si="88"/>
        <v>73.789912077741789</v>
      </c>
      <c r="H238" s="680">
        <f t="shared" si="88"/>
        <v>703.76368964985352</v>
      </c>
      <c r="I238" s="680">
        <f t="shared" si="88"/>
        <v>122.04399969150084</v>
      </c>
      <c r="J238" s="513">
        <f t="shared" si="85"/>
        <v>9490.3987351534779</v>
      </c>
      <c r="K238" s="680">
        <v>1</v>
      </c>
      <c r="L238" s="680">
        <f t="shared" si="83"/>
        <v>9490.3987351534779</v>
      </c>
      <c r="M238" s="668">
        <v>10026</v>
      </c>
      <c r="N238" s="668"/>
      <c r="O238" s="556" t="s">
        <v>500</v>
      </c>
      <c r="P238" s="669">
        <v>40748</v>
      </c>
      <c r="Q238" s="670"/>
      <c r="R238" s="572">
        <f>K238</f>
        <v>1</v>
      </c>
      <c r="S238" s="677">
        <v>7268</v>
      </c>
      <c r="T238" s="513">
        <f t="shared" si="75"/>
        <v>7268</v>
      </c>
      <c r="U238" s="537"/>
      <c r="V238" s="669"/>
      <c r="W238" s="496"/>
      <c r="X238" s="496"/>
      <c r="Y238" s="513"/>
    </row>
    <row r="239" spans="1:25" ht="13.5" customHeight="1">
      <c r="A239" s="564">
        <f t="shared" si="74"/>
        <v>61</v>
      </c>
      <c r="B239" s="566" t="s">
        <v>952</v>
      </c>
      <c r="C239" s="513">
        <f t="shared" si="87"/>
        <v>8152</v>
      </c>
      <c r="D239" s="680">
        <f t="shared" ref="D239:I248" si="89">IF($K$333&lt;&gt;0,D$333/$K$333*$K239,0)</f>
        <v>725.35863026376683</v>
      </c>
      <c r="E239" s="680">
        <f t="shared" si="89"/>
        <v>191.34544192503472</v>
      </c>
      <c r="F239" s="680">
        <f t="shared" si="89"/>
        <v>406.09706154558074</v>
      </c>
      <c r="G239" s="680">
        <f t="shared" si="89"/>
        <v>73.789912077741789</v>
      </c>
      <c r="H239" s="680">
        <f t="shared" si="89"/>
        <v>703.76368964985352</v>
      </c>
      <c r="I239" s="680">
        <f t="shared" si="89"/>
        <v>122.04399969150084</v>
      </c>
      <c r="J239" s="513">
        <f t="shared" si="85"/>
        <v>10374.398735153478</v>
      </c>
      <c r="K239" s="680">
        <v>1</v>
      </c>
      <c r="L239" s="680">
        <f t="shared" si="83"/>
        <v>10374.398735153478</v>
      </c>
      <c r="M239" s="668">
        <v>10723</v>
      </c>
      <c r="N239" s="668"/>
      <c r="O239" s="567" t="s">
        <v>578</v>
      </c>
      <c r="P239" s="669">
        <v>40748</v>
      </c>
      <c r="Q239" s="670"/>
      <c r="R239" s="572">
        <f t="shared" ref="R239" si="90">K239/2</f>
        <v>0.5</v>
      </c>
      <c r="S239" s="496">
        <v>16303</v>
      </c>
      <c r="T239" s="513">
        <f t="shared" si="75"/>
        <v>8152</v>
      </c>
      <c r="U239" s="537"/>
      <c r="V239" s="669"/>
      <c r="W239" s="496"/>
      <c r="X239" s="496"/>
      <c r="Y239" s="513"/>
    </row>
    <row r="240" spans="1:25" ht="13.5" customHeight="1">
      <c r="A240" s="564">
        <f t="shared" si="74"/>
        <v>62</v>
      </c>
      <c r="B240" s="566" t="s">
        <v>960</v>
      </c>
      <c r="C240" s="513">
        <f t="shared" si="87"/>
        <v>1335180</v>
      </c>
      <c r="D240" s="680">
        <f t="shared" si="89"/>
        <v>78338.732068486817</v>
      </c>
      <c r="E240" s="680">
        <f t="shared" si="89"/>
        <v>20665.30772790375</v>
      </c>
      <c r="F240" s="680">
        <f t="shared" si="89"/>
        <v>43858.482646922719</v>
      </c>
      <c r="G240" s="680">
        <f t="shared" si="89"/>
        <v>7969.3105043961132</v>
      </c>
      <c r="H240" s="680">
        <f t="shared" si="89"/>
        <v>76006.478482184175</v>
      </c>
      <c r="I240" s="680">
        <f t="shared" si="89"/>
        <v>13180.751966682092</v>
      </c>
      <c r="J240" s="513">
        <f t="shared" si="85"/>
        <v>1575199.0633965759</v>
      </c>
      <c r="K240" s="680">
        <v>108</v>
      </c>
      <c r="L240" s="680">
        <f t="shared" si="83"/>
        <v>14585.176512931257</v>
      </c>
      <c r="M240" s="668">
        <v>17100</v>
      </c>
      <c r="N240" s="668"/>
      <c r="O240" s="567" t="s">
        <v>577</v>
      </c>
      <c r="P240" s="669">
        <v>40749</v>
      </c>
      <c r="Q240" s="670"/>
      <c r="R240" s="572">
        <v>55</v>
      </c>
      <c r="S240" s="496">
        <v>24276</v>
      </c>
      <c r="T240" s="513">
        <f t="shared" si="75"/>
        <v>1335180</v>
      </c>
      <c r="U240" s="537"/>
      <c r="V240" s="669"/>
      <c r="W240" s="496"/>
      <c r="X240" s="496"/>
      <c r="Y240" s="513"/>
    </row>
    <row r="241" spans="1:25" ht="13.5" customHeight="1">
      <c r="A241" s="564">
        <f t="shared" si="74"/>
        <v>63</v>
      </c>
      <c r="B241" s="566" t="s">
        <v>961</v>
      </c>
      <c r="C241" s="513">
        <f t="shared" si="87"/>
        <v>1599773</v>
      </c>
      <c r="D241" s="680">
        <f t="shared" si="89"/>
        <v>70359.787135585386</v>
      </c>
      <c r="E241" s="680">
        <f t="shared" si="89"/>
        <v>18560.507866728367</v>
      </c>
      <c r="F241" s="680">
        <f t="shared" si="89"/>
        <v>39391.41496992133</v>
      </c>
      <c r="G241" s="680">
        <f t="shared" si="89"/>
        <v>7157.6214715409533</v>
      </c>
      <c r="H241" s="680">
        <f t="shared" si="89"/>
        <v>68265.077896035786</v>
      </c>
      <c r="I241" s="680">
        <f t="shared" si="89"/>
        <v>11838.267970075582</v>
      </c>
      <c r="J241" s="513">
        <f t="shared" si="85"/>
        <v>1815345.6773098875</v>
      </c>
      <c r="K241" s="680">
        <v>97</v>
      </c>
      <c r="L241" s="680">
        <f t="shared" si="83"/>
        <v>18714.903889792655</v>
      </c>
      <c r="M241" s="668">
        <v>19690</v>
      </c>
      <c r="N241" s="668"/>
      <c r="O241" s="567" t="s">
        <v>605</v>
      </c>
      <c r="P241" s="669">
        <v>40749</v>
      </c>
      <c r="Q241" s="670"/>
      <c r="R241" s="572">
        <f>K241/2</f>
        <v>48.5</v>
      </c>
      <c r="S241" s="496">
        <v>32985</v>
      </c>
      <c r="T241" s="513">
        <f t="shared" si="75"/>
        <v>1599773</v>
      </c>
      <c r="U241" s="537"/>
      <c r="V241" s="669"/>
      <c r="W241" s="496"/>
      <c r="X241" s="496"/>
      <c r="Y241" s="513"/>
    </row>
    <row r="242" spans="1:25" ht="13.5" customHeight="1">
      <c r="A242" s="564">
        <f t="shared" si="74"/>
        <v>64</v>
      </c>
      <c r="B242" s="566" t="s">
        <v>962</v>
      </c>
      <c r="C242" s="513">
        <f t="shared" si="87"/>
        <v>984830</v>
      </c>
      <c r="D242" s="680">
        <f t="shared" si="89"/>
        <v>39894.724664507172</v>
      </c>
      <c r="E242" s="680">
        <f t="shared" si="89"/>
        <v>10523.999305876911</v>
      </c>
      <c r="F242" s="680">
        <f t="shared" si="89"/>
        <v>22335.33838500694</v>
      </c>
      <c r="G242" s="680">
        <f t="shared" si="89"/>
        <v>4058.4451642757986</v>
      </c>
      <c r="H242" s="680">
        <f t="shared" si="89"/>
        <v>38707.002930741946</v>
      </c>
      <c r="I242" s="680">
        <f t="shared" si="89"/>
        <v>6712.419983032546</v>
      </c>
      <c r="J242" s="513">
        <f t="shared" si="85"/>
        <v>1107061.9304334414</v>
      </c>
      <c r="K242" s="680">
        <v>55</v>
      </c>
      <c r="L242" s="680">
        <f t="shared" si="83"/>
        <v>20128.398735153482</v>
      </c>
      <c r="M242" s="668">
        <v>23100</v>
      </c>
      <c r="N242" s="668"/>
      <c r="O242" s="567" t="s">
        <v>567</v>
      </c>
      <c r="P242" s="669">
        <v>40749</v>
      </c>
      <c r="Q242" s="670"/>
      <c r="R242" s="572">
        <f>K242/2</f>
        <v>27.5</v>
      </c>
      <c r="S242" s="496">
        <v>35812</v>
      </c>
      <c r="T242" s="513">
        <f t="shared" si="75"/>
        <v>984830</v>
      </c>
      <c r="U242" s="537"/>
      <c r="V242" s="669"/>
      <c r="W242" s="496"/>
      <c r="X242" s="496"/>
      <c r="Y242" s="513"/>
    </row>
    <row r="243" spans="1:25" ht="13.5" customHeight="1">
      <c r="A243" s="564">
        <f t="shared" si="74"/>
        <v>65</v>
      </c>
      <c r="B243" s="566" t="s">
        <v>963</v>
      </c>
      <c r="C243" s="513">
        <f t="shared" si="87"/>
        <v>2580828</v>
      </c>
      <c r="D243" s="680">
        <f t="shared" si="89"/>
        <v>361953.95650161966</v>
      </c>
      <c r="E243" s="680">
        <f t="shared" si="89"/>
        <v>95481.375520592323</v>
      </c>
      <c r="F243" s="680">
        <f t="shared" si="89"/>
        <v>202642.43371124478</v>
      </c>
      <c r="G243" s="680">
        <f t="shared" si="89"/>
        <v>36821.166126793156</v>
      </c>
      <c r="H243" s="680">
        <f t="shared" si="89"/>
        <v>351178.08113527688</v>
      </c>
      <c r="I243" s="680">
        <f t="shared" si="89"/>
        <v>60899.955846058918</v>
      </c>
      <c r="J243" s="513">
        <f t="shared" si="85"/>
        <v>3689804.9688415863</v>
      </c>
      <c r="K243" s="680">
        <v>499</v>
      </c>
      <c r="L243" s="680">
        <f t="shared" si="83"/>
        <v>7394.3987351534797</v>
      </c>
      <c r="M243" s="668">
        <v>8100</v>
      </c>
      <c r="N243" s="668"/>
      <c r="O243" s="556" t="s">
        <v>555</v>
      </c>
      <c r="P243" s="669">
        <v>40750</v>
      </c>
      <c r="Q243" s="670"/>
      <c r="R243" s="572">
        <f>K243/2</f>
        <v>249.5</v>
      </c>
      <c r="S243" s="496">
        <v>10344</v>
      </c>
      <c r="T243" s="513">
        <f t="shared" si="75"/>
        <v>2580828</v>
      </c>
      <c r="U243" s="537"/>
      <c r="V243" s="669"/>
      <c r="W243" s="496"/>
      <c r="X243" s="496"/>
      <c r="Y243" s="513"/>
    </row>
    <row r="244" spans="1:25" ht="13.5" customHeight="1">
      <c r="A244" s="564">
        <f t="shared" si="74"/>
        <v>66</v>
      </c>
      <c r="B244" s="566" t="s">
        <v>964</v>
      </c>
      <c r="C244" s="513">
        <f t="shared" si="87"/>
        <v>7577130</v>
      </c>
      <c r="D244" s="680">
        <f t="shared" si="89"/>
        <v>710851.45765849145</v>
      </c>
      <c r="E244" s="680">
        <f t="shared" si="89"/>
        <v>187518.53308653404</v>
      </c>
      <c r="F244" s="680">
        <f t="shared" si="89"/>
        <v>397975.12031466916</v>
      </c>
      <c r="G244" s="680">
        <f t="shared" si="89"/>
        <v>72314.113836186953</v>
      </c>
      <c r="H244" s="680">
        <f t="shared" si="89"/>
        <v>689688.4158568565</v>
      </c>
      <c r="I244" s="680">
        <f t="shared" si="89"/>
        <v>119603.11969767083</v>
      </c>
      <c r="J244" s="513">
        <f t="shared" si="85"/>
        <v>9755080.7604504097</v>
      </c>
      <c r="K244" s="680">
        <v>980</v>
      </c>
      <c r="L244" s="680">
        <f t="shared" si="83"/>
        <v>9954.164041275928</v>
      </c>
      <c r="M244" s="668">
        <v>11000</v>
      </c>
      <c r="N244" s="668"/>
      <c r="O244" s="567" t="s">
        <v>566</v>
      </c>
      <c r="P244" s="669">
        <v>40764</v>
      </c>
      <c r="Q244" s="670"/>
      <c r="R244" s="572">
        <v>330</v>
      </c>
      <c r="S244" s="496">
        <v>22961</v>
      </c>
      <c r="T244" s="513">
        <f t="shared" si="75"/>
        <v>7577130</v>
      </c>
      <c r="U244" s="537"/>
      <c r="V244" s="669"/>
      <c r="W244" s="496"/>
      <c r="X244" s="496"/>
      <c r="Y244" s="513"/>
    </row>
    <row r="245" spans="1:25" ht="13.5" customHeight="1">
      <c r="A245" s="564">
        <f t="shared" ref="A245:A309" si="91">IF(B245&lt;&gt;"",A244+1,"")</f>
        <v>67</v>
      </c>
      <c r="B245" s="566" t="s">
        <v>965</v>
      </c>
      <c r="C245" s="513">
        <f t="shared" si="87"/>
        <v>5370800</v>
      </c>
      <c r="D245" s="680">
        <f t="shared" si="89"/>
        <v>725358.63026376686</v>
      </c>
      <c r="E245" s="680">
        <f t="shared" si="89"/>
        <v>191345.44192503471</v>
      </c>
      <c r="F245" s="680">
        <f t="shared" si="89"/>
        <v>406097.06154558074</v>
      </c>
      <c r="G245" s="680">
        <f t="shared" si="89"/>
        <v>73789.912077741785</v>
      </c>
      <c r="H245" s="680">
        <f t="shared" si="89"/>
        <v>703763.68964985351</v>
      </c>
      <c r="I245" s="680">
        <f t="shared" si="89"/>
        <v>122043.99969150084</v>
      </c>
      <c r="J245" s="513">
        <f t="shared" si="85"/>
        <v>7593198.7351534795</v>
      </c>
      <c r="K245" s="680">
        <v>1000</v>
      </c>
      <c r="L245" s="680">
        <f t="shared" si="83"/>
        <v>7593.1987351534799</v>
      </c>
      <c r="M245" s="668">
        <v>11000</v>
      </c>
      <c r="N245" s="668"/>
      <c r="O245" s="556" t="s">
        <v>521</v>
      </c>
      <c r="P245" s="669">
        <v>40772</v>
      </c>
      <c r="Q245" s="670"/>
      <c r="R245" s="572">
        <v>200</v>
      </c>
      <c r="S245" s="496">
        <v>26854</v>
      </c>
      <c r="T245" s="513">
        <f t="shared" si="75"/>
        <v>5370800</v>
      </c>
      <c r="U245" s="537"/>
      <c r="V245" s="669"/>
      <c r="W245" s="496"/>
      <c r="X245" s="496"/>
      <c r="Y245" s="513"/>
    </row>
    <row r="246" spans="1:25" ht="13.5" customHeight="1">
      <c r="A246" s="564">
        <f t="shared" si="91"/>
        <v>68</v>
      </c>
      <c r="B246" s="566" t="s">
        <v>988</v>
      </c>
      <c r="C246" s="513">
        <f t="shared" si="87"/>
        <v>62720</v>
      </c>
      <c r="D246" s="680">
        <f t="shared" si="89"/>
        <v>2901.4345210550673</v>
      </c>
      <c r="E246" s="680">
        <f t="shared" si="89"/>
        <v>765.38176770013888</v>
      </c>
      <c r="F246" s="680">
        <f t="shared" si="89"/>
        <v>1624.388246182323</v>
      </c>
      <c r="G246" s="680">
        <f t="shared" si="89"/>
        <v>295.15964831096716</v>
      </c>
      <c r="H246" s="680">
        <f t="shared" si="89"/>
        <v>2815.0547585994141</v>
      </c>
      <c r="I246" s="680">
        <f t="shared" si="89"/>
        <v>488.17599876600337</v>
      </c>
      <c r="J246" s="513">
        <f t="shared" si="85"/>
        <v>71609.594940613912</v>
      </c>
      <c r="K246" s="680">
        <v>4</v>
      </c>
      <c r="L246" s="680">
        <f t="shared" si="83"/>
        <v>17902.398735153478</v>
      </c>
      <c r="M246" s="668">
        <v>17837</v>
      </c>
      <c r="N246" s="668"/>
      <c r="O246" s="567" t="s">
        <v>591</v>
      </c>
      <c r="P246" s="669">
        <v>40772</v>
      </c>
      <c r="Q246" s="670"/>
      <c r="R246" s="572">
        <v>2</v>
      </c>
      <c r="S246" s="496">
        <v>31360</v>
      </c>
      <c r="T246" s="513">
        <f t="shared" si="75"/>
        <v>62720</v>
      </c>
      <c r="U246" s="537"/>
      <c r="V246" s="669"/>
      <c r="W246" s="496"/>
      <c r="X246" s="496"/>
      <c r="Y246" s="513"/>
    </row>
    <row r="247" spans="1:25" ht="13.5" customHeight="1">
      <c r="A247" s="564">
        <f t="shared" si="91"/>
        <v>69</v>
      </c>
      <c r="B247" s="566" t="s">
        <v>989</v>
      </c>
      <c r="C247" s="513">
        <f t="shared" si="87"/>
        <v>4449</v>
      </c>
      <c r="D247" s="680">
        <f t="shared" si="89"/>
        <v>725.35863026376683</v>
      </c>
      <c r="E247" s="680">
        <f t="shared" si="89"/>
        <v>191.34544192503472</v>
      </c>
      <c r="F247" s="680">
        <f t="shared" si="89"/>
        <v>406.09706154558074</v>
      </c>
      <c r="G247" s="680">
        <f t="shared" si="89"/>
        <v>73.789912077741789</v>
      </c>
      <c r="H247" s="680">
        <f t="shared" si="89"/>
        <v>703.76368964985352</v>
      </c>
      <c r="I247" s="680">
        <f t="shared" si="89"/>
        <v>122.04399969150084</v>
      </c>
      <c r="J247" s="513">
        <f t="shared" si="85"/>
        <v>6671.3987351534788</v>
      </c>
      <c r="K247" s="680">
        <v>1</v>
      </c>
      <c r="L247" s="680">
        <f t="shared" si="83"/>
        <v>6671.3987351534788</v>
      </c>
      <c r="M247" s="668">
        <v>7093</v>
      </c>
      <c r="N247" s="668"/>
      <c r="O247" s="556" t="s">
        <v>364</v>
      </c>
      <c r="P247" s="669">
        <v>40772</v>
      </c>
      <c r="Q247" s="670"/>
      <c r="R247" s="572">
        <f>K247</f>
        <v>1</v>
      </c>
      <c r="S247" s="496">
        <f>4449</f>
        <v>4449</v>
      </c>
      <c r="T247" s="513">
        <f t="shared" si="75"/>
        <v>4449</v>
      </c>
      <c r="U247" s="537"/>
      <c r="V247" s="669"/>
      <c r="W247" s="496"/>
      <c r="X247" s="496"/>
      <c r="Y247" s="513"/>
    </row>
    <row r="248" spans="1:25" ht="13.5" customHeight="1">
      <c r="A248" s="564">
        <f t="shared" si="91"/>
        <v>70</v>
      </c>
      <c r="B248" s="566" t="s">
        <v>990</v>
      </c>
      <c r="C248" s="513">
        <f t="shared" si="87"/>
        <v>26894</v>
      </c>
      <c r="D248" s="680">
        <f t="shared" si="89"/>
        <v>2176.0758907913005</v>
      </c>
      <c r="E248" s="680">
        <f t="shared" si="89"/>
        <v>574.03632577510416</v>
      </c>
      <c r="F248" s="680">
        <f t="shared" si="89"/>
        <v>1218.2911846367422</v>
      </c>
      <c r="G248" s="680">
        <f t="shared" si="89"/>
        <v>221.36973623322535</v>
      </c>
      <c r="H248" s="680">
        <f t="shared" si="89"/>
        <v>2111.2910689495607</v>
      </c>
      <c r="I248" s="680">
        <f t="shared" si="89"/>
        <v>366.13199907450252</v>
      </c>
      <c r="J248" s="513">
        <f t="shared" si="85"/>
        <v>33561.196205460437</v>
      </c>
      <c r="K248" s="680">
        <v>3</v>
      </c>
      <c r="L248" s="680">
        <f t="shared" si="83"/>
        <v>11187.065401820146</v>
      </c>
      <c r="M248" s="668">
        <v>10253</v>
      </c>
      <c r="N248" s="668"/>
      <c r="O248" s="567" t="s">
        <v>576</v>
      </c>
      <c r="P248" s="669">
        <v>40772</v>
      </c>
      <c r="Q248" s="670"/>
      <c r="R248" s="572">
        <v>1</v>
      </c>
      <c r="S248" s="296">
        <v>26894</v>
      </c>
      <c r="T248" s="513">
        <f t="shared" si="75"/>
        <v>26894</v>
      </c>
      <c r="U248" s="537"/>
      <c r="V248" s="669"/>
      <c r="W248" s="496"/>
      <c r="X248" s="496"/>
      <c r="Y248" s="513"/>
    </row>
    <row r="249" spans="1:25" ht="13.5" customHeight="1">
      <c r="A249" s="564">
        <f t="shared" si="91"/>
        <v>71</v>
      </c>
      <c r="B249" s="566" t="s">
        <v>991</v>
      </c>
      <c r="C249" s="513">
        <f t="shared" si="87"/>
        <v>16173</v>
      </c>
      <c r="D249" s="680">
        <f t="shared" ref="D249:I258" si="92">IF($K$333&lt;&gt;0,D$333/$K$333*$K249,0)</f>
        <v>1450.7172605275337</v>
      </c>
      <c r="E249" s="680">
        <f t="shared" si="92"/>
        <v>382.69088385006944</v>
      </c>
      <c r="F249" s="680">
        <f t="shared" si="92"/>
        <v>812.19412309116149</v>
      </c>
      <c r="G249" s="680">
        <f t="shared" si="92"/>
        <v>147.57982415548358</v>
      </c>
      <c r="H249" s="680">
        <f t="shared" si="92"/>
        <v>1407.527379299707</v>
      </c>
      <c r="I249" s="680">
        <f t="shared" si="92"/>
        <v>244.08799938300169</v>
      </c>
      <c r="J249" s="513">
        <f t="shared" si="85"/>
        <v>20617.797470306956</v>
      </c>
      <c r="K249" s="680">
        <v>2</v>
      </c>
      <c r="L249" s="680">
        <f t="shared" si="83"/>
        <v>10308.898735153478</v>
      </c>
      <c r="M249" s="668">
        <v>14881</v>
      </c>
      <c r="N249" s="668"/>
      <c r="O249" s="556" t="s">
        <v>465</v>
      </c>
      <c r="P249" s="669">
        <v>40772</v>
      </c>
      <c r="Q249" s="670"/>
      <c r="R249" s="572">
        <f t="shared" ref="R249:R250" si="93">K249/2</f>
        <v>1</v>
      </c>
      <c r="S249" s="496">
        <v>16173</v>
      </c>
      <c r="T249" s="513">
        <f t="shared" si="75"/>
        <v>16173</v>
      </c>
      <c r="U249" s="537"/>
      <c r="V249" s="669"/>
      <c r="W249" s="496"/>
      <c r="X249" s="496"/>
      <c r="Y249" s="513"/>
    </row>
    <row r="250" spans="1:25" ht="13.5" customHeight="1">
      <c r="A250" s="564">
        <f>IF(B250&lt;&gt;"",A249+1,"")</f>
        <v>72</v>
      </c>
      <c r="B250" s="566" t="s">
        <v>992</v>
      </c>
      <c r="C250" s="513">
        <f t="shared" si="87"/>
        <v>8087</v>
      </c>
      <c r="D250" s="680">
        <f t="shared" si="92"/>
        <v>725.35863026376683</v>
      </c>
      <c r="E250" s="680">
        <f t="shared" si="92"/>
        <v>191.34544192503472</v>
      </c>
      <c r="F250" s="680">
        <f t="shared" si="92"/>
        <v>406.09706154558074</v>
      </c>
      <c r="G250" s="680">
        <f t="shared" si="92"/>
        <v>73.789912077741789</v>
      </c>
      <c r="H250" s="680">
        <f t="shared" si="92"/>
        <v>703.76368964985352</v>
      </c>
      <c r="I250" s="680">
        <f t="shared" si="92"/>
        <v>122.04399969150084</v>
      </c>
      <c r="J250" s="513">
        <f t="shared" si="85"/>
        <v>10309.398735153478</v>
      </c>
      <c r="K250" s="680">
        <v>1</v>
      </c>
      <c r="L250" s="680">
        <f t="shared" si="83"/>
        <v>10309.398735153478</v>
      </c>
      <c r="M250" s="668">
        <v>12207</v>
      </c>
      <c r="N250" s="668"/>
      <c r="O250" s="556" t="s">
        <v>465</v>
      </c>
      <c r="P250" s="669">
        <v>40772</v>
      </c>
      <c r="Q250" s="670"/>
      <c r="R250" s="572">
        <f t="shared" si="93"/>
        <v>0.5</v>
      </c>
      <c r="S250" s="496">
        <v>16173</v>
      </c>
      <c r="T250" s="513">
        <f t="shared" si="75"/>
        <v>8087</v>
      </c>
      <c r="U250" s="537"/>
      <c r="V250" s="669"/>
      <c r="W250" s="496"/>
      <c r="X250" s="496"/>
      <c r="Y250" s="513"/>
    </row>
    <row r="251" spans="1:25" ht="13.5" customHeight="1">
      <c r="A251" s="564">
        <f t="shared" si="91"/>
        <v>73</v>
      </c>
      <c r="B251" s="566" t="s">
        <v>993</v>
      </c>
      <c r="C251" s="513">
        <f t="shared" si="87"/>
        <v>7268</v>
      </c>
      <c r="D251" s="680">
        <f t="shared" si="92"/>
        <v>725.35863026376683</v>
      </c>
      <c r="E251" s="680">
        <f t="shared" si="92"/>
        <v>191.34544192503472</v>
      </c>
      <c r="F251" s="680">
        <f t="shared" si="92"/>
        <v>406.09706154558074</v>
      </c>
      <c r="G251" s="680">
        <f t="shared" si="92"/>
        <v>73.789912077741789</v>
      </c>
      <c r="H251" s="680">
        <f t="shared" si="92"/>
        <v>703.76368964985352</v>
      </c>
      <c r="I251" s="680">
        <f t="shared" si="92"/>
        <v>122.04399969150084</v>
      </c>
      <c r="J251" s="513">
        <f t="shared" si="85"/>
        <v>9490.3987351534779</v>
      </c>
      <c r="K251" s="680">
        <v>1</v>
      </c>
      <c r="L251" s="680">
        <f t="shared" si="83"/>
        <v>9490.3987351534779</v>
      </c>
      <c r="M251" s="668">
        <v>10110</v>
      </c>
      <c r="N251" s="668"/>
      <c r="O251" s="556" t="s">
        <v>500</v>
      </c>
      <c r="P251" s="669">
        <v>40772</v>
      </c>
      <c r="Q251" s="670"/>
      <c r="R251" s="572">
        <f>K251</f>
        <v>1</v>
      </c>
      <c r="S251" s="677">
        <v>7268</v>
      </c>
      <c r="T251" s="513">
        <f t="shared" si="75"/>
        <v>7268</v>
      </c>
      <c r="U251" s="537"/>
      <c r="V251" s="669"/>
      <c r="W251" s="496"/>
      <c r="X251" s="496"/>
      <c r="Y251" s="513"/>
    </row>
    <row r="252" spans="1:25" ht="13.5" customHeight="1">
      <c r="A252" s="564">
        <f t="shared" si="91"/>
        <v>74</v>
      </c>
      <c r="B252" s="566" t="s">
        <v>994</v>
      </c>
      <c r="C252" s="513">
        <f t="shared" si="87"/>
        <v>16173</v>
      </c>
      <c r="D252" s="680">
        <f t="shared" si="92"/>
        <v>1450.7172605275337</v>
      </c>
      <c r="E252" s="680">
        <f t="shared" si="92"/>
        <v>382.69088385006944</v>
      </c>
      <c r="F252" s="680">
        <f t="shared" si="92"/>
        <v>812.19412309116149</v>
      </c>
      <c r="G252" s="680">
        <f t="shared" si="92"/>
        <v>147.57982415548358</v>
      </c>
      <c r="H252" s="680">
        <f t="shared" si="92"/>
        <v>1407.527379299707</v>
      </c>
      <c r="I252" s="680">
        <f t="shared" si="92"/>
        <v>244.08799938300169</v>
      </c>
      <c r="J252" s="513">
        <f t="shared" si="85"/>
        <v>20617.797470306956</v>
      </c>
      <c r="K252" s="680">
        <v>2</v>
      </c>
      <c r="L252" s="680">
        <f t="shared" si="83"/>
        <v>10308.898735153478</v>
      </c>
      <c r="M252" s="668">
        <v>15053</v>
      </c>
      <c r="N252" s="668"/>
      <c r="O252" s="556" t="s">
        <v>465</v>
      </c>
      <c r="P252" s="669">
        <v>40772</v>
      </c>
      <c r="Q252" s="670"/>
      <c r="R252" s="572">
        <f>K252/2</f>
        <v>1</v>
      </c>
      <c r="S252" s="496">
        <v>16173</v>
      </c>
      <c r="T252" s="513">
        <f t="shared" si="75"/>
        <v>16173</v>
      </c>
      <c r="U252" s="537"/>
      <c r="V252" s="669"/>
      <c r="W252" s="496"/>
      <c r="X252" s="496"/>
      <c r="Y252" s="513"/>
    </row>
    <row r="253" spans="1:25" ht="13.5" customHeight="1">
      <c r="A253" s="564">
        <f t="shared" si="91"/>
        <v>75</v>
      </c>
      <c r="B253" s="566" t="s">
        <v>995</v>
      </c>
      <c r="C253" s="513">
        <f t="shared" si="87"/>
        <v>7509250</v>
      </c>
      <c r="D253" s="680">
        <f t="shared" si="92"/>
        <v>507751.04118463676</v>
      </c>
      <c r="E253" s="680">
        <f t="shared" si="92"/>
        <v>133941.80934752431</v>
      </c>
      <c r="F253" s="680">
        <f t="shared" si="92"/>
        <v>284267.94308190653</v>
      </c>
      <c r="G253" s="680">
        <f t="shared" si="92"/>
        <v>51652.938454419251</v>
      </c>
      <c r="H253" s="680">
        <f t="shared" si="92"/>
        <v>492634.58275489748</v>
      </c>
      <c r="I253" s="680">
        <f t="shared" si="92"/>
        <v>85430.799784050585</v>
      </c>
      <c r="J253" s="513">
        <f t="shared" ref="J253:J284" si="94">SUM(C253:I253)</f>
        <v>9064929.1146074347</v>
      </c>
      <c r="K253" s="680">
        <v>700</v>
      </c>
      <c r="L253" s="680">
        <f t="shared" si="83"/>
        <v>12949.898735153478</v>
      </c>
      <c r="M253" s="668">
        <v>14438</v>
      </c>
      <c r="N253" s="668"/>
      <c r="O253" s="556" t="s">
        <v>608</v>
      </c>
      <c r="P253" s="669">
        <v>40772</v>
      </c>
      <c r="Q253" s="670"/>
      <c r="R253" s="572">
        <f>K253/2</f>
        <v>350</v>
      </c>
      <c r="S253" s="704">
        <v>21455</v>
      </c>
      <c r="T253" s="513">
        <f t="shared" si="75"/>
        <v>7509250</v>
      </c>
      <c r="U253" s="537"/>
      <c r="V253" s="669"/>
      <c r="W253" s="496"/>
      <c r="X253" s="496"/>
      <c r="Y253" s="513"/>
    </row>
    <row r="254" spans="1:25" ht="13.5" customHeight="1">
      <c r="A254" s="564">
        <f t="shared" si="91"/>
        <v>76</v>
      </c>
      <c r="B254" s="566" t="s">
        <v>996</v>
      </c>
      <c r="C254" s="513">
        <f t="shared" si="87"/>
        <v>738276</v>
      </c>
      <c r="D254" s="680">
        <f t="shared" si="92"/>
        <v>45697.593706617306</v>
      </c>
      <c r="E254" s="680">
        <f t="shared" si="92"/>
        <v>12054.762841277188</v>
      </c>
      <c r="F254" s="680">
        <f t="shared" si="92"/>
        <v>25584.114877371587</v>
      </c>
      <c r="G254" s="680">
        <f t="shared" si="92"/>
        <v>4648.7644608977325</v>
      </c>
      <c r="H254" s="680">
        <f t="shared" si="92"/>
        <v>44337.112447940774</v>
      </c>
      <c r="I254" s="680">
        <f t="shared" si="92"/>
        <v>7688.7719805645529</v>
      </c>
      <c r="J254" s="513">
        <f t="shared" si="94"/>
        <v>878287.12031466921</v>
      </c>
      <c r="K254" s="680">
        <v>63</v>
      </c>
      <c r="L254" s="680">
        <f t="shared" si="83"/>
        <v>13941.065401820146</v>
      </c>
      <c r="M254" s="668">
        <v>16713</v>
      </c>
      <c r="N254" s="668"/>
      <c r="O254" s="567" t="s">
        <v>533</v>
      </c>
      <c r="P254" s="669">
        <v>40774</v>
      </c>
      <c r="Q254" s="670"/>
      <c r="R254" s="572">
        <v>33</v>
      </c>
      <c r="S254" s="496">
        <v>22372</v>
      </c>
      <c r="T254" s="513">
        <f t="shared" si="75"/>
        <v>738276</v>
      </c>
      <c r="U254" s="537"/>
      <c r="V254" s="669"/>
      <c r="W254" s="496"/>
      <c r="X254" s="496"/>
      <c r="Y254" s="513"/>
    </row>
    <row r="255" spans="1:25" ht="13.5" customHeight="1">
      <c r="A255" s="564">
        <f t="shared" si="91"/>
        <v>77</v>
      </c>
      <c r="B255" s="566" t="s">
        <v>997</v>
      </c>
      <c r="C255" s="513">
        <f t="shared" si="87"/>
        <v>713736</v>
      </c>
      <c r="D255" s="680">
        <f t="shared" si="92"/>
        <v>100099.49097639983</v>
      </c>
      <c r="E255" s="680">
        <f t="shared" si="92"/>
        <v>26405.67098565479</v>
      </c>
      <c r="F255" s="680">
        <f t="shared" si="92"/>
        <v>56041.394493290143</v>
      </c>
      <c r="G255" s="680">
        <f t="shared" si="92"/>
        <v>10183.007866728367</v>
      </c>
      <c r="H255" s="680">
        <f t="shared" si="92"/>
        <v>97119.389171679781</v>
      </c>
      <c r="I255" s="680">
        <f t="shared" si="92"/>
        <v>16842.071957427117</v>
      </c>
      <c r="J255" s="513">
        <f t="shared" si="94"/>
        <v>1020427.0254511799</v>
      </c>
      <c r="K255" s="680">
        <v>138</v>
      </c>
      <c r="L255" s="680">
        <f t="shared" si="83"/>
        <v>7394.3987351534779</v>
      </c>
      <c r="M255" s="668">
        <v>8450</v>
      </c>
      <c r="N255" s="668"/>
      <c r="O255" s="556" t="s">
        <v>555</v>
      </c>
      <c r="P255" s="669">
        <v>40774</v>
      </c>
      <c r="Q255" s="670"/>
      <c r="R255" s="572">
        <f>K255/2</f>
        <v>69</v>
      </c>
      <c r="S255" s="496">
        <v>10344</v>
      </c>
      <c r="T255" s="513">
        <f t="shared" si="75"/>
        <v>713736</v>
      </c>
      <c r="U255" s="537"/>
      <c r="V255" s="669"/>
      <c r="W255" s="496"/>
      <c r="X255" s="496"/>
      <c r="Y255" s="513"/>
    </row>
    <row r="256" spans="1:25" ht="13.5" customHeight="1">
      <c r="A256" s="564">
        <f t="shared" si="91"/>
        <v>78</v>
      </c>
      <c r="B256" s="566" t="s">
        <v>998</v>
      </c>
      <c r="C256" s="513">
        <f t="shared" si="87"/>
        <v>1708596</v>
      </c>
      <c r="D256" s="680">
        <f t="shared" si="92"/>
        <v>202375.05784359094</v>
      </c>
      <c r="E256" s="680">
        <f t="shared" si="92"/>
        <v>53385.378297084688</v>
      </c>
      <c r="F256" s="680">
        <f t="shared" si="92"/>
        <v>113301.08017121702</v>
      </c>
      <c r="G256" s="680">
        <f t="shared" si="92"/>
        <v>20587.385469689958</v>
      </c>
      <c r="H256" s="680">
        <f t="shared" si="92"/>
        <v>196350.06941230912</v>
      </c>
      <c r="I256" s="680">
        <f t="shared" si="92"/>
        <v>34050.275913928737</v>
      </c>
      <c r="J256" s="513">
        <f t="shared" si="94"/>
        <v>2328645.2471078201</v>
      </c>
      <c r="K256" s="680">
        <v>279</v>
      </c>
      <c r="L256" s="680">
        <f t="shared" si="83"/>
        <v>8346.3987351534779</v>
      </c>
      <c r="M256" s="668">
        <v>9594</v>
      </c>
      <c r="N256" s="668"/>
      <c r="O256" s="556" t="s">
        <v>362</v>
      </c>
      <c r="P256" s="669">
        <v>40774</v>
      </c>
      <c r="Q256" s="670"/>
      <c r="R256" s="572">
        <f>K256</f>
        <v>279</v>
      </c>
      <c r="S256" s="496">
        <v>6124</v>
      </c>
      <c r="T256" s="513">
        <f t="shared" si="75"/>
        <v>1708596</v>
      </c>
      <c r="U256" s="537"/>
      <c r="V256" s="669"/>
      <c r="W256" s="496"/>
      <c r="X256" s="496"/>
      <c r="Y256" s="513"/>
    </row>
    <row r="257" spans="1:25" ht="13.5" customHeight="1">
      <c r="A257" s="564">
        <f t="shared" si="91"/>
        <v>79</v>
      </c>
      <c r="B257" s="566" t="s">
        <v>999</v>
      </c>
      <c r="C257" s="513">
        <f t="shared" si="87"/>
        <v>339460</v>
      </c>
      <c r="D257" s="680">
        <f t="shared" si="92"/>
        <v>29739.70384081444</v>
      </c>
      <c r="E257" s="680">
        <f t="shared" si="92"/>
        <v>7845.1631189264235</v>
      </c>
      <c r="F257" s="680">
        <f t="shared" si="92"/>
        <v>16649.979523368809</v>
      </c>
      <c r="G257" s="680">
        <f t="shared" si="92"/>
        <v>3025.3863951874132</v>
      </c>
      <c r="H257" s="680">
        <f t="shared" si="92"/>
        <v>28854.311275643995</v>
      </c>
      <c r="I257" s="680">
        <f t="shared" si="92"/>
        <v>5003.8039873515345</v>
      </c>
      <c r="J257" s="513">
        <f t="shared" si="94"/>
        <v>430578.34814129258</v>
      </c>
      <c r="K257" s="680">
        <v>41</v>
      </c>
      <c r="L257" s="680">
        <f t="shared" si="83"/>
        <v>10501.91093027543</v>
      </c>
      <c r="M257" s="668">
        <v>11992</v>
      </c>
      <c r="N257" s="668"/>
      <c r="O257" s="556" t="s">
        <v>528</v>
      </c>
      <c r="P257" s="669">
        <v>40774</v>
      </c>
      <c r="Q257" s="670"/>
      <c r="R257" s="572">
        <v>20</v>
      </c>
      <c r="S257" s="496">
        <v>16973</v>
      </c>
      <c r="T257" s="513">
        <f t="shared" si="75"/>
        <v>339460</v>
      </c>
      <c r="U257" s="537"/>
      <c r="V257" s="669"/>
      <c r="W257" s="496"/>
      <c r="X257" s="496"/>
      <c r="Y257" s="513"/>
    </row>
    <row r="258" spans="1:25" ht="13.5" customHeight="1">
      <c r="A258" s="564">
        <f t="shared" si="91"/>
        <v>80</v>
      </c>
      <c r="B258" s="566" t="s">
        <v>1000</v>
      </c>
      <c r="C258" s="513">
        <f t="shared" si="87"/>
        <v>1307440</v>
      </c>
      <c r="D258" s="680">
        <f t="shared" si="92"/>
        <v>109529.15316982879</v>
      </c>
      <c r="E258" s="680">
        <f t="shared" si="92"/>
        <v>28893.161730680244</v>
      </c>
      <c r="F258" s="680">
        <f t="shared" si="92"/>
        <v>61320.656293382694</v>
      </c>
      <c r="G258" s="680">
        <f t="shared" si="92"/>
        <v>11142.276723739011</v>
      </c>
      <c r="H258" s="680">
        <f t="shared" si="92"/>
        <v>106268.31713712789</v>
      </c>
      <c r="I258" s="680">
        <f t="shared" si="92"/>
        <v>18428.643953416627</v>
      </c>
      <c r="J258" s="513">
        <f t="shared" si="94"/>
        <v>1643022.2090081752</v>
      </c>
      <c r="K258" s="680">
        <v>151</v>
      </c>
      <c r="L258" s="680">
        <f t="shared" si="83"/>
        <v>10880.941781511094</v>
      </c>
      <c r="M258" s="668">
        <v>11067</v>
      </c>
      <c r="N258" s="668"/>
      <c r="O258" s="556" t="s">
        <v>561</v>
      </c>
      <c r="P258" s="669">
        <v>40774</v>
      </c>
      <c r="Q258" s="670"/>
      <c r="R258" s="572">
        <v>40</v>
      </c>
      <c r="S258" s="704">
        <v>32686</v>
      </c>
      <c r="T258" s="513">
        <f t="shared" si="75"/>
        <v>1307440</v>
      </c>
      <c r="U258" s="537"/>
      <c r="V258" s="669"/>
      <c r="W258" s="496"/>
      <c r="X258" s="496"/>
      <c r="Y258" s="513"/>
    </row>
    <row r="259" spans="1:25" ht="13.5" customHeight="1">
      <c r="A259" s="564">
        <f t="shared" si="91"/>
        <v>81</v>
      </c>
      <c r="B259" s="566" t="s">
        <v>1001</v>
      </c>
      <c r="C259" s="513">
        <f t="shared" si="87"/>
        <v>2654496</v>
      </c>
      <c r="D259" s="680">
        <f t="shared" ref="D259:I268" si="95">IF($K$333&lt;&gt;0,D$333/$K$333*$K259,0)</f>
        <v>335841.04581212404</v>
      </c>
      <c r="E259" s="680">
        <f t="shared" si="95"/>
        <v>88592.939611291076</v>
      </c>
      <c r="F259" s="680">
        <f t="shared" si="95"/>
        <v>188022.93949560387</v>
      </c>
      <c r="G259" s="680">
        <f t="shared" si="95"/>
        <v>34164.729291994445</v>
      </c>
      <c r="H259" s="680">
        <f t="shared" si="95"/>
        <v>325842.58830788219</v>
      </c>
      <c r="I259" s="680">
        <f t="shared" si="95"/>
        <v>56506.371857164893</v>
      </c>
      <c r="J259" s="513">
        <f t="shared" si="94"/>
        <v>3683466.6143760607</v>
      </c>
      <c r="K259" s="680">
        <v>463</v>
      </c>
      <c r="L259" s="680">
        <f t="shared" si="83"/>
        <v>7955.6514349374957</v>
      </c>
      <c r="M259" s="668">
        <v>10594</v>
      </c>
      <c r="N259" s="668"/>
      <c r="O259" s="556" t="s">
        <v>546</v>
      </c>
      <c r="P259" s="669">
        <v>40774</v>
      </c>
      <c r="Q259" s="670"/>
      <c r="R259" s="572">
        <v>104</v>
      </c>
      <c r="S259" s="296">
        <v>25524</v>
      </c>
      <c r="T259" s="513">
        <f t="shared" si="75"/>
        <v>2654496</v>
      </c>
      <c r="U259" s="537"/>
      <c r="V259" s="669"/>
      <c r="W259" s="496"/>
      <c r="X259" s="496"/>
      <c r="Y259" s="513"/>
    </row>
    <row r="260" spans="1:25" ht="13.5" customHeight="1">
      <c r="A260" s="564">
        <f>IF(B260&lt;&gt;"",A259+1,"")</f>
        <v>82</v>
      </c>
      <c r="B260" s="566" t="s">
        <v>1002</v>
      </c>
      <c r="C260" s="513">
        <f t="shared" si="87"/>
        <v>1759310</v>
      </c>
      <c r="D260" s="680">
        <f t="shared" si="95"/>
        <v>118233.45673299399</v>
      </c>
      <c r="E260" s="680">
        <f t="shared" si="95"/>
        <v>31189.30703378066</v>
      </c>
      <c r="F260" s="680">
        <f t="shared" si="95"/>
        <v>66193.821031929663</v>
      </c>
      <c r="G260" s="680">
        <f t="shared" si="95"/>
        <v>12027.755668671911</v>
      </c>
      <c r="H260" s="680">
        <f t="shared" si="95"/>
        <v>114713.48141292612</v>
      </c>
      <c r="I260" s="680">
        <f t="shared" si="95"/>
        <v>19893.171949714637</v>
      </c>
      <c r="J260" s="513">
        <f t="shared" si="94"/>
        <v>2121560.9938300168</v>
      </c>
      <c r="K260" s="680">
        <v>163</v>
      </c>
      <c r="L260" s="680">
        <f t="shared" si="83"/>
        <v>13015.711618589061</v>
      </c>
      <c r="M260" s="668">
        <v>14010</v>
      </c>
      <c r="N260" s="668"/>
      <c r="O260" s="556" t="s">
        <v>608</v>
      </c>
      <c r="P260" s="669">
        <v>40774</v>
      </c>
      <c r="Q260" s="670"/>
      <c r="R260" s="572">
        <v>82</v>
      </c>
      <c r="S260" s="704">
        <v>21455</v>
      </c>
      <c r="T260" s="513">
        <f t="shared" si="75"/>
        <v>1759310</v>
      </c>
      <c r="U260" s="537"/>
      <c r="V260" s="669"/>
      <c r="W260" s="496"/>
      <c r="X260" s="496"/>
      <c r="Y260" s="513"/>
    </row>
    <row r="261" spans="1:25" ht="13.5" customHeight="1">
      <c r="A261" s="564">
        <f t="shared" si="91"/>
        <v>83</v>
      </c>
      <c r="B261" s="566" t="s">
        <v>732</v>
      </c>
      <c r="C261" s="513">
        <f t="shared" si="87"/>
        <v>100103</v>
      </c>
      <c r="D261" s="680">
        <f t="shared" si="95"/>
        <v>32641.138361869507</v>
      </c>
      <c r="E261" s="680">
        <f t="shared" si="95"/>
        <v>8610.5448866265615</v>
      </c>
      <c r="F261" s="680">
        <f t="shared" si="95"/>
        <v>18274.367769551132</v>
      </c>
      <c r="G261" s="680">
        <f t="shared" si="95"/>
        <v>3320.5460434983806</v>
      </c>
      <c r="H261" s="680">
        <f t="shared" si="95"/>
        <v>31669.366034243409</v>
      </c>
      <c r="I261" s="680">
        <f t="shared" si="95"/>
        <v>5491.9799861175379</v>
      </c>
      <c r="J261" s="513">
        <f t="shared" si="94"/>
        <v>200110.94308190653</v>
      </c>
      <c r="K261" s="680">
        <v>45</v>
      </c>
      <c r="L261" s="680">
        <f t="shared" si="83"/>
        <v>4446.9098462645898</v>
      </c>
      <c r="M261" s="668">
        <v>4321</v>
      </c>
      <c r="N261" s="668"/>
      <c r="O261" s="556" t="s">
        <v>364</v>
      </c>
      <c r="P261" s="669">
        <v>40774</v>
      </c>
      <c r="Q261" s="670"/>
      <c r="R261" s="572">
        <f>K261/2</f>
        <v>22.5</v>
      </c>
      <c r="S261" s="496">
        <f>4449</f>
        <v>4449</v>
      </c>
      <c r="T261" s="513">
        <f t="shared" si="75"/>
        <v>100103</v>
      </c>
      <c r="U261" s="537"/>
      <c r="V261" s="669"/>
      <c r="W261" s="496"/>
      <c r="X261" s="496"/>
      <c r="Y261" s="513"/>
    </row>
    <row r="262" spans="1:25" ht="13.5" customHeight="1">
      <c r="A262" s="564">
        <f t="shared" si="91"/>
        <v>84</v>
      </c>
      <c r="B262" s="566" t="s">
        <v>966</v>
      </c>
      <c r="C262" s="513">
        <f t="shared" si="87"/>
        <v>6056636</v>
      </c>
      <c r="D262" s="680">
        <f t="shared" si="95"/>
        <v>717379.68533086544</v>
      </c>
      <c r="E262" s="680">
        <f t="shared" si="95"/>
        <v>189240.64206385933</v>
      </c>
      <c r="F262" s="680">
        <f t="shared" si="95"/>
        <v>401629.99386857933</v>
      </c>
      <c r="G262" s="680">
        <f t="shared" si="95"/>
        <v>72978.223044886632</v>
      </c>
      <c r="H262" s="680">
        <f t="shared" si="95"/>
        <v>696022.28906370513</v>
      </c>
      <c r="I262" s="680">
        <f t="shared" si="95"/>
        <v>120701.51569489433</v>
      </c>
      <c r="J262" s="513">
        <f t="shared" si="94"/>
        <v>8254588.3490667893</v>
      </c>
      <c r="K262" s="680">
        <v>989</v>
      </c>
      <c r="L262" s="680">
        <f t="shared" si="83"/>
        <v>8346.3987351534779</v>
      </c>
      <c r="M262" s="668">
        <v>9000</v>
      </c>
      <c r="N262" s="668"/>
      <c r="O262" s="556" t="s">
        <v>362</v>
      </c>
      <c r="P262" s="669">
        <v>40780</v>
      </c>
      <c r="Q262" s="670"/>
      <c r="R262" s="572">
        <f t="shared" ref="R262" si="96">K262</f>
        <v>989</v>
      </c>
      <c r="S262" s="496">
        <v>6124</v>
      </c>
      <c r="T262" s="513">
        <f t="shared" si="75"/>
        <v>6056636</v>
      </c>
      <c r="U262" s="537"/>
      <c r="V262" s="669"/>
      <c r="W262" s="496"/>
      <c r="X262" s="496"/>
      <c r="Y262" s="513"/>
    </row>
    <row r="263" spans="1:25" ht="13.5" customHeight="1">
      <c r="A263" s="564">
        <f t="shared" si="91"/>
        <v>85</v>
      </c>
      <c r="B263" s="566" t="s">
        <v>1003</v>
      </c>
      <c r="C263" s="513">
        <f t="shared" si="87"/>
        <v>1028491</v>
      </c>
      <c r="D263" s="680">
        <f t="shared" si="95"/>
        <v>140719.57427117077</v>
      </c>
      <c r="E263" s="680">
        <f t="shared" si="95"/>
        <v>37121.015733456734</v>
      </c>
      <c r="F263" s="680">
        <f t="shared" si="95"/>
        <v>78782.829939842661</v>
      </c>
      <c r="G263" s="680">
        <f t="shared" si="95"/>
        <v>14315.242943081907</v>
      </c>
      <c r="H263" s="680">
        <f t="shared" si="95"/>
        <v>136530.15579207157</v>
      </c>
      <c r="I263" s="680">
        <f t="shared" si="95"/>
        <v>23676.535940151163</v>
      </c>
      <c r="J263" s="513">
        <f t="shared" si="94"/>
        <v>1459636.354619775</v>
      </c>
      <c r="K263" s="680">
        <v>194</v>
      </c>
      <c r="L263" s="680">
        <f t="shared" si="83"/>
        <v>7523.8987351534788</v>
      </c>
      <c r="M263" s="668">
        <v>9793</v>
      </c>
      <c r="N263" s="668"/>
      <c r="O263" s="556" t="s">
        <v>496</v>
      </c>
      <c r="P263" s="669">
        <v>40781</v>
      </c>
      <c r="Q263" s="670"/>
      <c r="R263" s="572">
        <f>K263/2</f>
        <v>97</v>
      </c>
      <c r="S263" s="300">
        <v>10603</v>
      </c>
      <c r="T263" s="513">
        <f t="shared" si="75"/>
        <v>1028491</v>
      </c>
      <c r="U263" s="537"/>
      <c r="V263" s="669"/>
      <c r="W263" s="496"/>
      <c r="X263" s="496"/>
      <c r="Y263" s="513"/>
    </row>
    <row r="264" spans="1:25" ht="13.5" customHeight="1">
      <c r="A264" s="564">
        <f t="shared" si="91"/>
        <v>86</v>
      </c>
      <c r="B264" s="566" t="s">
        <v>1004</v>
      </c>
      <c r="C264" s="513">
        <f t="shared" si="87"/>
        <v>548232</v>
      </c>
      <c r="D264" s="680">
        <f t="shared" si="95"/>
        <v>76888.014807959291</v>
      </c>
      <c r="E264" s="680">
        <f t="shared" si="95"/>
        <v>20282.616844053679</v>
      </c>
      <c r="F264" s="680">
        <f t="shared" si="95"/>
        <v>43046.288523831558</v>
      </c>
      <c r="G264" s="680">
        <f t="shared" si="95"/>
        <v>7821.7306802406292</v>
      </c>
      <c r="H264" s="680">
        <f t="shared" si="95"/>
        <v>74598.951102884472</v>
      </c>
      <c r="I264" s="680">
        <f t="shared" si="95"/>
        <v>12936.66396729909</v>
      </c>
      <c r="J264" s="513">
        <f t="shared" si="94"/>
        <v>783806.26592626877</v>
      </c>
      <c r="K264" s="680">
        <v>106</v>
      </c>
      <c r="L264" s="680">
        <f t="shared" si="83"/>
        <v>7394.3987351534788</v>
      </c>
      <c r="M264" s="668">
        <v>8874</v>
      </c>
      <c r="N264" s="668"/>
      <c r="O264" s="556" t="s">
        <v>555</v>
      </c>
      <c r="P264" s="669">
        <v>40781</v>
      </c>
      <c r="Q264" s="670"/>
      <c r="R264" s="572">
        <f>K264/2</f>
        <v>53</v>
      </c>
      <c r="S264" s="496">
        <v>10344</v>
      </c>
      <c r="T264" s="513">
        <f t="shared" si="75"/>
        <v>548232</v>
      </c>
      <c r="U264" s="537"/>
      <c r="V264" s="669"/>
      <c r="W264" s="496"/>
      <c r="X264" s="496"/>
      <c r="Y264" s="513"/>
    </row>
    <row r="265" spans="1:25" ht="13.5" customHeight="1">
      <c r="A265" s="564">
        <f t="shared" si="91"/>
        <v>87</v>
      </c>
      <c r="B265" s="566" t="s">
        <v>1005</v>
      </c>
      <c r="C265" s="513">
        <f t="shared" si="87"/>
        <v>333675</v>
      </c>
      <c r="D265" s="680">
        <f t="shared" si="95"/>
        <v>108803.79453956502</v>
      </c>
      <c r="E265" s="680">
        <f t="shared" si="95"/>
        <v>28701.81628875521</v>
      </c>
      <c r="F265" s="680">
        <f t="shared" si="95"/>
        <v>60914.559231837113</v>
      </c>
      <c r="G265" s="680">
        <f t="shared" si="95"/>
        <v>11068.486811661269</v>
      </c>
      <c r="H265" s="680">
        <f t="shared" si="95"/>
        <v>105564.55344747803</v>
      </c>
      <c r="I265" s="680">
        <f t="shared" si="95"/>
        <v>18306.599953725126</v>
      </c>
      <c r="J265" s="513">
        <f t="shared" si="94"/>
        <v>667034.81027302169</v>
      </c>
      <c r="K265" s="680">
        <v>150</v>
      </c>
      <c r="L265" s="680">
        <f t="shared" si="83"/>
        <v>4446.8987351534779</v>
      </c>
      <c r="M265" s="668">
        <v>4422</v>
      </c>
      <c r="N265" s="668"/>
      <c r="O265" s="556" t="s">
        <v>364</v>
      </c>
      <c r="P265" s="669">
        <v>40781</v>
      </c>
      <c r="Q265" s="670"/>
      <c r="R265" s="572">
        <f>K265/2</f>
        <v>75</v>
      </c>
      <c r="S265" s="496">
        <f>4449</f>
        <v>4449</v>
      </c>
      <c r="T265" s="513">
        <f t="shared" si="75"/>
        <v>333675</v>
      </c>
      <c r="U265" s="537"/>
      <c r="V265" s="669"/>
      <c r="W265" s="496"/>
      <c r="X265" s="496"/>
      <c r="Y265" s="513"/>
    </row>
    <row r="266" spans="1:25" ht="13.5" customHeight="1">
      <c r="A266" s="564">
        <f t="shared" si="91"/>
        <v>88</v>
      </c>
      <c r="B266" s="566" t="s">
        <v>1006</v>
      </c>
      <c r="C266" s="513">
        <f t="shared" si="87"/>
        <v>2225</v>
      </c>
      <c r="D266" s="680">
        <f t="shared" si="95"/>
        <v>725.35863026376683</v>
      </c>
      <c r="E266" s="680">
        <f t="shared" si="95"/>
        <v>191.34544192503472</v>
      </c>
      <c r="F266" s="680">
        <f t="shared" si="95"/>
        <v>406.09706154558074</v>
      </c>
      <c r="G266" s="680">
        <f t="shared" si="95"/>
        <v>73.789912077741789</v>
      </c>
      <c r="H266" s="680">
        <f t="shared" si="95"/>
        <v>703.76368964985352</v>
      </c>
      <c r="I266" s="680">
        <f t="shared" si="95"/>
        <v>122.04399969150084</v>
      </c>
      <c r="J266" s="513">
        <f t="shared" si="94"/>
        <v>4447.3987351534788</v>
      </c>
      <c r="K266" s="680">
        <v>1</v>
      </c>
      <c r="L266" s="680">
        <f t="shared" si="83"/>
        <v>4447.3987351534788</v>
      </c>
      <c r="M266" s="668">
        <v>5734</v>
      </c>
      <c r="N266" s="668"/>
      <c r="O266" s="556" t="s">
        <v>364</v>
      </c>
      <c r="P266" s="669">
        <v>40781</v>
      </c>
      <c r="Q266" s="670"/>
      <c r="R266" s="572">
        <f>K266/2</f>
        <v>0.5</v>
      </c>
      <c r="S266" s="496">
        <f>4449</f>
        <v>4449</v>
      </c>
      <c r="T266" s="513">
        <f t="shared" si="75"/>
        <v>2225</v>
      </c>
      <c r="U266" s="537"/>
      <c r="V266" s="669"/>
      <c r="W266" s="496"/>
      <c r="X266" s="496"/>
      <c r="Y266" s="513"/>
    </row>
    <row r="267" spans="1:25" ht="13.5" customHeight="1">
      <c r="A267" s="564">
        <f t="shared" si="91"/>
        <v>89</v>
      </c>
      <c r="B267" s="566" t="s">
        <v>1007</v>
      </c>
      <c r="C267" s="513">
        <f t="shared" si="87"/>
        <v>687876</v>
      </c>
      <c r="D267" s="680">
        <f t="shared" si="95"/>
        <v>96472.697825080992</v>
      </c>
      <c r="E267" s="680">
        <f t="shared" si="95"/>
        <v>25448.943776029617</v>
      </c>
      <c r="F267" s="680">
        <f t="shared" si="95"/>
        <v>54010.909185562239</v>
      </c>
      <c r="G267" s="680">
        <f t="shared" si="95"/>
        <v>9814.0583063396571</v>
      </c>
      <c r="H267" s="680">
        <f t="shared" si="95"/>
        <v>93600.570723430515</v>
      </c>
      <c r="I267" s="680">
        <f t="shared" si="95"/>
        <v>16231.851958969612</v>
      </c>
      <c r="J267" s="513">
        <f t="shared" si="94"/>
        <v>983455.03177541262</v>
      </c>
      <c r="K267" s="680">
        <v>133</v>
      </c>
      <c r="L267" s="680">
        <f t="shared" si="83"/>
        <v>7394.3987351534779</v>
      </c>
      <c r="M267" s="668">
        <v>8398</v>
      </c>
      <c r="N267" s="668"/>
      <c r="O267" s="556" t="s">
        <v>555</v>
      </c>
      <c r="P267" s="669">
        <v>40781</v>
      </c>
      <c r="Q267" s="670"/>
      <c r="R267" s="572">
        <f>K267/2</f>
        <v>66.5</v>
      </c>
      <c r="S267" s="496">
        <v>10344</v>
      </c>
      <c r="T267" s="513">
        <f t="shared" si="75"/>
        <v>687876</v>
      </c>
      <c r="U267" s="537"/>
      <c r="V267" s="669"/>
      <c r="W267" s="496"/>
      <c r="X267" s="496"/>
      <c r="Y267" s="513"/>
    </row>
    <row r="268" spans="1:25" ht="13.5" customHeight="1">
      <c r="A268" s="564">
        <f t="shared" si="91"/>
        <v>90</v>
      </c>
      <c r="B268" s="566" t="s">
        <v>1008</v>
      </c>
      <c r="C268" s="513">
        <f t="shared" si="87"/>
        <v>863484</v>
      </c>
      <c r="D268" s="680">
        <f t="shared" si="95"/>
        <v>102275.56686719113</v>
      </c>
      <c r="E268" s="680">
        <f t="shared" si="95"/>
        <v>26979.707311429895</v>
      </c>
      <c r="F268" s="680">
        <f t="shared" si="95"/>
        <v>57259.685677926886</v>
      </c>
      <c r="G268" s="680">
        <f t="shared" si="95"/>
        <v>10404.377602961593</v>
      </c>
      <c r="H268" s="680">
        <f t="shared" si="95"/>
        <v>99230.680240629343</v>
      </c>
      <c r="I268" s="680">
        <f t="shared" si="95"/>
        <v>17208.20395650162</v>
      </c>
      <c r="J268" s="513">
        <f t="shared" si="94"/>
        <v>1176842.2216566403</v>
      </c>
      <c r="K268" s="680">
        <v>141</v>
      </c>
      <c r="L268" s="680">
        <f t="shared" si="83"/>
        <v>8346.3987351534779</v>
      </c>
      <c r="M268" s="668">
        <v>9538</v>
      </c>
      <c r="N268" s="668"/>
      <c r="O268" s="556" t="s">
        <v>362</v>
      </c>
      <c r="P268" s="669">
        <v>40781</v>
      </c>
      <c r="Q268" s="670"/>
      <c r="R268" s="572">
        <f>K268</f>
        <v>141</v>
      </c>
      <c r="S268" s="496">
        <v>6124</v>
      </c>
      <c r="T268" s="513">
        <f t="shared" si="75"/>
        <v>863484</v>
      </c>
      <c r="U268" s="537"/>
      <c r="V268" s="669"/>
      <c r="W268" s="496"/>
      <c r="X268" s="496"/>
      <c r="Y268" s="513"/>
    </row>
    <row r="269" spans="1:25" ht="13.5" customHeight="1">
      <c r="A269" s="564">
        <f t="shared" si="91"/>
        <v>91</v>
      </c>
      <c r="B269" s="566" t="s">
        <v>1009</v>
      </c>
      <c r="C269" s="513">
        <f t="shared" si="87"/>
        <v>1753566</v>
      </c>
      <c r="D269" s="680">
        <f t="shared" ref="D269:I278" si="97">IF($K$333&lt;&gt;0,D$333/$K$333*$K269,0)</f>
        <v>211804.72003701993</v>
      </c>
      <c r="E269" s="680">
        <f t="shared" si="97"/>
        <v>55872.869042110135</v>
      </c>
      <c r="F269" s="680">
        <f t="shared" si="97"/>
        <v>118580.34197130958</v>
      </c>
      <c r="G269" s="680">
        <f t="shared" si="97"/>
        <v>21546.654326700602</v>
      </c>
      <c r="H269" s="680">
        <f t="shared" si="97"/>
        <v>205498.99737775722</v>
      </c>
      <c r="I269" s="680">
        <f t="shared" si="97"/>
        <v>35636.847909918244</v>
      </c>
      <c r="J269" s="513">
        <f t="shared" si="94"/>
        <v>2402506.430664815</v>
      </c>
      <c r="K269" s="680">
        <v>292</v>
      </c>
      <c r="L269" s="680">
        <f t="shared" si="83"/>
        <v>8227.7617488521064</v>
      </c>
      <c r="M269" s="668">
        <v>10534</v>
      </c>
      <c r="N269" s="668"/>
      <c r="O269" s="566" t="s">
        <v>456</v>
      </c>
      <c r="P269" s="669">
        <v>40781</v>
      </c>
      <c r="Q269" s="670"/>
      <c r="R269" s="572">
        <v>291</v>
      </c>
      <c r="S269" s="496">
        <v>6026</v>
      </c>
      <c r="T269" s="513">
        <f t="shared" si="75"/>
        <v>1753566</v>
      </c>
      <c r="U269" s="537"/>
      <c r="V269" s="669"/>
      <c r="W269" s="496"/>
      <c r="X269" s="496"/>
      <c r="Y269" s="513"/>
    </row>
    <row r="270" spans="1:25" ht="13.5" customHeight="1">
      <c r="A270" s="564">
        <f t="shared" si="91"/>
        <v>92</v>
      </c>
      <c r="B270" s="566" t="s">
        <v>1010</v>
      </c>
      <c r="C270" s="513">
        <f t="shared" si="87"/>
        <v>8152</v>
      </c>
      <c r="D270" s="680">
        <f t="shared" si="97"/>
        <v>725.35863026376683</v>
      </c>
      <c r="E270" s="680">
        <f t="shared" si="97"/>
        <v>191.34544192503472</v>
      </c>
      <c r="F270" s="680">
        <f t="shared" si="97"/>
        <v>406.09706154558074</v>
      </c>
      <c r="G270" s="680">
        <f t="shared" si="97"/>
        <v>73.789912077741789</v>
      </c>
      <c r="H270" s="680">
        <f t="shared" si="97"/>
        <v>703.76368964985352</v>
      </c>
      <c r="I270" s="680">
        <f t="shared" si="97"/>
        <v>122.04399969150084</v>
      </c>
      <c r="J270" s="513">
        <f t="shared" si="94"/>
        <v>10374.398735153478</v>
      </c>
      <c r="K270" s="680">
        <v>1</v>
      </c>
      <c r="L270" s="680">
        <f t="shared" si="83"/>
        <v>10374.398735153478</v>
      </c>
      <c r="M270" s="668">
        <v>11261</v>
      </c>
      <c r="N270" s="668"/>
      <c r="O270" s="567" t="s">
        <v>578</v>
      </c>
      <c r="P270" s="669">
        <v>40781</v>
      </c>
      <c r="Q270" s="670"/>
      <c r="R270" s="572">
        <f>K270/2</f>
        <v>0.5</v>
      </c>
      <c r="S270" s="496">
        <v>16303</v>
      </c>
      <c r="T270" s="513">
        <f t="shared" si="75"/>
        <v>8152</v>
      </c>
      <c r="U270" s="537"/>
      <c r="V270" s="669"/>
      <c r="W270" s="496"/>
      <c r="X270" s="496"/>
      <c r="Y270" s="513"/>
    </row>
    <row r="271" spans="1:25" ht="13.5" customHeight="1">
      <c r="A271" s="564">
        <f t="shared" si="91"/>
        <v>93</v>
      </c>
      <c r="B271" s="566" t="s">
        <v>1011</v>
      </c>
      <c r="C271" s="513">
        <f t="shared" si="87"/>
        <v>7268</v>
      </c>
      <c r="D271" s="680">
        <f t="shared" si="97"/>
        <v>725.35863026376683</v>
      </c>
      <c r="E271" s="680">
        <f t="shared" si="97"/>
        <v>191.34544192503472</v>
      </c>
      <c r="F271" s="680">
        <f t="shared" si="97"/>
        <v>406.09706154558074</v>
      </c>
      <c r="G271" s="680">
        <f t="shared" si="97"/>
        <v>73.789912077741789</v>
      </c>
      <c r="H271" s="680">
        <f t="shared" si="97"/>
        <v>703.76368964985352</v>
      </c>
      <c r="I271" s="680">
        <f t="shared" si="97"/>
        <v>122.04399969150084</v>
      </c>
      <c r="J271" s="513">
        <f t="shared" si="94"/>
        <v>9490.3987351534779</v>
      </c>
      <c r="K271" s="680">
        <v>1</v>
      </c>
      <c r="L271" s="680">
        <f t="shared" si="83"/>
        <v>9490.3987351534779</v>
      </c>
      <c r="M271" s="668">
        <v>10033</v>
      </c>
      <c r="N271" s="668"/>
      <c r="O271" s="556" t="s">
        <v>500</v>
      </c>
      <c r="P271" s="669">
        <v>40781</v>
      </c>
      <c r="Q271" s="670"/>
      <c r="R271" s="572">
        <f>K271</f>
        <v>1</v>
      </c>
      <c r="S271" s="677">
        <v>7268</v>
      </c>
      <c r="T271" s="513">
        <f t="shared" si="75"/>
        <v>7268</v>
      </c>
      <c r="U271" s="537"/>
      <c r="V271" s="669"/>
      <c r="W271" s="496"/>
      <c r="X271" s="496"/>
      <c r="Y271" s="513"/>
    </row>
    <row r="272" spans="1:25" ht="13.5" customHeight="1">
      <c r="A272" s="564">
        <f t="shared" si="91"/>
        <v>94</v>
      </c>
      <c r="B272" s="566" t="s">
        <v>1012</v>
      </c>
      <c r="C272" s="513">
        <f t="shared" si="87"/>
        <v>8087</v>
      </c>
      <c r="D272" s="680">
        <f t="shared" si="97"/>
        <v>725.35863026376683</v>
      </c>
      <c r="E272" s="680">
        <f t="shared" si="97"/>
        <v>191.34544192503472</v>
      </c>
      <c r="F272" s="680">
        <f t="shared" si="97"/>
        <v>406.09706154558074</v>
      </c>
      <c r="G272" s="680">
        <f t="shared" si="97"/>
        <v>73.789912077741789</v>
      </c>
      <c r="H272" s="680">
        <f t="shared" si="97"/>
        <v>703.76368964985352</v>
      </c>
      <c r="I272" s="680">
        <f t="shared" si="97"/>
        <v>122.04399969150084</v>
      </c>
      <c r="J272" s="513">
        <f t="shared" si="94"/>
        <v>10309.398735153478</v>
      </c>
      <c r="K272" s="680">
        <v>1</v>
      </c>
      <c r="L272" s="680">
        <f t="shared" si="83"/>
        <v>10309.398735153478</v>
      </c>
      <c r="M272" s="668">
        <v>12495</v>
      </c>
      <c r="N272" s="668"/>
      <c r="O272" s="556" t="s">
        <v>465</v>
      </c>
      <c r="P272" s="669">
        <v>40781</v>
      </c>
      <c r="Q272" s="670"/>
      <c r="R272" s="572">
        <f>K272/2</f>
        <v>0.5</v>
      </c>
      <c r="S272" s="496">
        <v>16173</v>
      </c>
      <c r="T272" s="513">
        <f t="shared" si="75"/>
        <v>8087</v>
      </c>
      <c r="U272" s="537"/>
      <c r="V272" s="669"/>
      <c r="W272" s="496"/>
      <c r="X272" s="496"/>
      <c r="Y272" s="513"/>
    </row>
    <row r="273" spans="1:25" ht="13.5" customHeight="1">
      <c r="A273" s="564">
        <f t="shared" si="91"/>
        <v>95</v>
      </c>
      <c r="B273" s="566" t="s">
        <v>1013</v>
      </c>
      <c r="C273" s="513">
        <f t="shared" si="87"/>
        <v>8839460</v>
      </c>
      <c r="D273" s="680">
        <f t="shared" si="97"/>
        <v>597695.51133734384</v>
      </c>
      <c r="E273" s="680">
        <f t="shared" si="97"/>
        <v>157668.64414622862</v>
      </c>
      <c r="F273" s="680">
        <f t="shared" si="97"/>
        <v>334623.97871355852</v>
      </c>
      <c r="G273" s="680">
        <f t="shared" si="97"/>
        <v>60802.887552059234</v>
      </c>
      <c r="H273" s="680">
        <f t="shared" si="97"/>
        <v>579901.28027147928</v>
      </c>
      <c r="I273" s="680">
        <f t="shared" si="97"/>
        <v>100564.25574579669</v>
      </c>
      <c r="J273" s="513">
        <f t="shared" si="94"/>
        <v>10670716.557766465</v>
      </c>
      <c r="K273" s="680">
        <v>824</v>
      </c>
      <c r="L273" s="680">
        <f t="shared" si="83"/>
        <v>12949.898735153478</v>
      </c>
      <c r="M273" s="668">
        <v>14369</v>
      </c>
      <c r="N273" s="668"/>
      <c r="O273" s="556" t="s">
        <v>608</v>
      </c>
      <c r="P273" s="669">
        <v>40781</v>
      </c>
      <c r="Q273" s="670"/>
      <c r="R273" s="572">
        <f>K273/2</f>
        <v>412</v>
      </c>
      <c r="S273" s="704">
        <v>21455</v>
      </c>
      <c r="T273" s="513">
        <f t="shared" si="75"/>
        <v>8839460</v>
      </c>
      <c r="U273" s="537"/>
      <c r="V273" s="669"/>
      <c r="W273" s="496"/>
      <c r="X273" s="496"/>
      <c r="Y273" s="513"/>
    </row>
    <row r="274" spans="1:25" ht="13.5" customHeight="1">
      <c r="A274" s="564">
        <f t="shared" si="91"/>
        <v>96</v>
      </c>
      <c r="B274" s="566" t="s">
        <v>1014</v>
      </c>
      <c r="C274" s="513">
        <f t="shared" si="87"/>
        <v>12248</v>
      </c>
      <c r="D274" s="680">
        <f t="shared" si="97"/>
        <v>1450.7172605275337</v>
      </c>
      <c r="E274" s="680">
        <f t="shared" si="97"/>
        <v>382.69088385006944</v>
      </c>
      <c r="F274" s="680">
        <f t="shared" si="97"/>
        <v>812.19412309116149</v>
      </c>
      <c r="G274" s="680">
        <f t="shared" si="97"/>
        <v>147.57982415548358</v>
      </c>
      <c r="H274" s="680">
        <f t="shared" si="97"/>
        <v>1407.527379299707</v>
      </c>
      <c r="I274" s="680">
        <f t="shared" si="97"/>
        <v>244.08799938300169</v>
      </c>
      <c r="J274" s="513">
        <f t="shared" si="94"/>
        <v>16692.797470306959</v>
      </c>
      <c r="K274" s="680">
        <v>2</v>
      </c>
      <c r="L274" s="680">
        <f t="shared" si="83"/>
        <v>8346.3987351534797</v>
      </c>
      <c r="M274" s="668">
        <v>9960</v>
      </c>
      <c r="N274" s="668"/>
      <c r="O274" s="556" t="s">
        <v>362</v>
      </c>
      <c r="P274" s="669">
        <v>40781</v>
      </c>
      <c r="Q274" s="670"/>
      <c r="R274" s="572">
        <f>K274</f>
        <v>2</v>
      </c>
      <c r="S274" s="496">
        <v>6124</v>
      </c>
      <c r="T274" s="513">
        <f t="shared" si="75"/>
        <v>12248</v>
      </c>
      <c r="U274" s="537"/>
      <c r="V274" s="669"/>
      <c r="W274" s="496"/>
      <c r="X274" s="496"/>
      <c r="Y274" s="513"/>
    </row>
    <row r="275" spans="1:25" ht="13.5" customHeight="1">
      <c r="A275" s="564">
        <f t="shared" si="91"/>
        <v>97</v>
      </c>
      <c r="B275" s="566" t="s">
        <v>1015</v>
      </c>
      <c r="C275" s="513">
        <f t="shared" ref="C275:C331" si="98">T275</f>
        <v>8152</v>
      </c>
      <c r="D275" s="680">
        <f t="shared" si="97"/>
        <v>725.35863026376683</v>
      </c>
      <c r="E275" s="680">
        <f t="shared" si="97"/>
        <v>191.34544192503472</v>
      </c>
      <c r="F275" s="680">
        <f t="shared" si="97"/>
        <v>406.09706154558074</v>
      </c>
      <c r="G275" s="680">
        <f t="shared" si="97"/>
        <v>73.789912077741789</v>
      </c>
      <c r="H275" s="680">
        <f t="shared" si="97"/>
        <v>703.76368964985352</v>
      </c>
      <c r="I275" s="680">
        <f t="shared" si="97"/>
        <v>122.04399969150084</v>
      </c>
      <c r="J275" s="513">
        <f t="shared" si="94"/>
        <v>10374.398735153478</v>
      </c>
      <c r="K275" s="680">
        <v>1</v>
      </c>
      <c r="L275" s="680">
        <f t="shared" ref="L275:L331" si="99">IF(K275&lt;&gt;"",J275/K275,"")</f>
        <v>10374.398735153478</v>
      </c>
      <c r="M275" s="668">
        <v>10656</v>
      </c>
      <c r="N275" s="668"/>
      <c r="O275" s="567" t="s">
        <v>578</v>
      </c>
      <c r="P275" s="669">
        <v>40781</v>
      </c>
      <c r="Q275" s="670"/>
      <c r="R275" s="572">
        <f>K275/2</f>
        <v>0.5</v>
      </c>
      <c r="S275" s="496">
        <v>16303</v>
      </c>
      <c r="T275" s="513">
        <f t="shared" si="75"/>
        <v>8152</v>
      </c>
      <c r="U275" s="537"/>
      <c r="V275" s="669"/>
      <c r="W275" s="496"/>
      <c r="X275" s="496"/>
      <c r="Y275" s="513"/>
    </row>
    <row r="276" spans="1:25" ht="13.5" customHeight="1">
      <c r="A276" s="564">
        <f t="shared" si="91"/>
        <v>98</v>
      </c>
      <c r="B276" s="566" t="s">
        <v>1016</v>
      </c>
      <c r="C276" s="513">
        <f t="shared" si="98"/>
        <v>7192500</v>
      </c>
      <c r="D276" s="680">
        <f t="shared" si="97"/>
        <v>541842.8968070338</v>
      </c>
      <c r="E276" s="680">
        <f t="shared" si="97"/>
        <v>142935.04511800094</v>
      </c>
      <c r="F276" s="680">
        <f t="shared" si="97"/>
        <v>303354.50497454882</v>
      </c>
      <c r="G276" s="680">
        <f t="shared" si="97"/>
        <v>55121.064322073114</v>
      </c>
      <c r="H276" s="680">
        <f t="shared" si="97"/>
        <v>525711.47616844054</v>
      </c>
      <c r="I276" s="680">
        <f t="shared" si="97"/>
        <v>91166.867769551129</v>
      </c>
      <c r="J276" s="513">
        <f t="shared" si="94"/>
        <v>8852631.8551596478</v>
      </c>
      <c r="K276" s="680">
        <v>747</v>
      </c>
      <c r="L276" s="680">
        <f t="shared" si="99"/>
        <v>11850.912791378378</v>
      </c>
      <c r="M276" s="668">
        <v>13939</v>
      </c>
      <c r="N276" s="668"/>
      <c r="O276" s="567" t="s">
        <v>590</v>
      </c>
      <c r="P276" s="669">
        <v>40781</v>
      </c>
      <c r="Q276" s="670"/>
      <c r="R276" s="572">
        <v>375</v>
      </c>
      <c r="S276" s="496">
        <v>19180</v>
      </c>
      <c r="T276" s="513">
        <f t="shared" si="75"/>
        <v>7192500</v>
      </c>
      <c r="U276" s="537"/>
      <c r="V276" s="669"/>
      <c r="W276" s="496"/>
      <c r="X276" s="496"/>
      <c r="Y276" s="513"/>
    </row>
    <row r="277" spans="1:25" ht="13.5" customHeight="1">
      <c r="A277" s="564">
        <f t="shared" si="91"/>
        <v>99</v>
      </c>
      <c r="B277" s="566" t="s">
        <v>1017</v>
      </c>
      <c r="C277" s="513">
        <f t="shared" si="98"/>
        <v>798210</v>
      </c>
      <c r="D277" s="680">
        <f t="shared" si="97"/>
        <v>50775.104118463678</v>
      </c>
      <c r="E277" s="680">
        <f t="shared" si="97"/>
        <v>13394.18093475243</v>
      </c>
      <c r="F277" s="680">
        <f t="shared" si="97"/>
        <v>28426.794308190652</v>
      </c>
      <c r="G277" s="680">
        <f t="shared" si="97"/>
        <v>5165.2938454419254</v>
      </c>
      <c r="H277" s="680">
        <f t="shared" si="97"/>
        <v>49263.458275489749</v>
      </c>
      <c r="I277" s="680">
        <f t="shared" si="97"/>
        <v>8543.0799784050596</v>
      </c>
      <c r="J277" s="513">
        <f t="shared" si="94"/>
        <v>953777.91146074352</v>
      </c>
      <c r="K277" s="680">
        <v>70</v>
      </c>
      <c r="L277" s="680">
        <f t="shared" si="99"/>
        <v>13625.39873515348</v>
      </c>
      <c r="M277" s="668">
        <v>15066</v>
      </c>
      <c r="N277" s="668"/>
      <c r="O277" s="556" t="s">
        <v>470</v>
      </c>
      <c r="P277" s="669">
        <v>40781</v>
      </c>
      <c r="Q277" s="670"/>
      <c r="R277" s="572">
        <f t="shared" ref="R277:R279" si="100">K277/2</f>
        <v>35</v>
      </c>
      <c r="S277" s="677">
        <v>22806</v>
      </c>
      <c r="T277" s="513">
        <f t="shared" si="75"/>
        <v>798210</v>
      </c>
      <c r="U277" s="537"/>
      <c r="V277" s="669"/>
      <c r="W277" s="496"/>
      <c r="X277" s="496"/>
      <c r="Y277" s="513"/>
    </row>
    <row r="278" spans="1:25" ht="13.5" customHeight="1">
      <c r="A278" s="564">
        <f t="shared" si="91"/>
        <v>100</v>
      </c>
      <c r="B278" s="566" t="s">
        <v>1018</v>
      </c>
      <c r="C278" s="513">
        <f t="shared" si="98"/>
        <v>1660288</v>
      </c>
      <c r="D278" s="680">
        <f t="shared" si="97"/>
        <v>91395.187413234613</v>
      </c>
      <c r="E278" s="680">
        <f t="shared" si="97"/>
        <v>24109.525682554377</v>
      </c>
      <c r="F278" s="680">
        <f t="shared" si="97"/>
        <v>51168.229754743174</v>
      </c>
      <c r="G278" s="680">
        <f t="shared" si="97"/>
        <v>9297.5289217954651</v>
      </c>
      <c r="H278" s="680">
        <f t="shared" si="97"/>
        <v>88674.224895881547</v>
      </c>
      <c r="I278" s="680">
        <f t="shared" si="97"/>
        <v>15377.543961129106</v>
      </c>
      <c r="J278" s="513">
        <f t="shared" si="94"/>
        <v>1940310.2406293384</v>
      </c>
      <c r="K278" s="680">
        <v>126</v>
      </c>
      <c r="L278" s="680">
        <f t="shared" si="99"/>
        <v>15399.287624042368</v>
      </c>
      <c r="M278" s="668">
        <v>16910</v>
      </c>
      <c r="N278" s="668"/>
      <c r="O278" s="567" t="s">
        <v>574</v>
      </c>
      <c r="P278" s="669">
        <v>40782</v>
      </c>
      <c r="Q278" s="670"/>
      <c r="R278" s="572">
        <v>64</v>
      </c>
      <c r="S278" s="496">
        <v>25942</v>
      </c>
      <c r="T278" s="513">
        <f t="shared" si="75"/>
        <v>1660288</v>
      </c>
      <c r="U278" s="537"/>
      <c r="V278" s="669"/>
      <c r="W278" s="496"/>
      <c r="X278" s="496"/>
      <c r="Y278" s="513"/>
    </row>
    <row r="279" spans="1:25" ht="13.5" customHeight="1">
      <c r="A279" s="564">
        <f t="shared" si="91"/>
        <v>101</v>
      </c>
      <c r="B279" s="566" t="s">
        <v>1019</v>
      </c>
      <c r="C279" s="513">
        <f t="shared" si="98"/>
        <v>1994490</v>
      </c>
      <c r="D279" s="680">
        <f t="shared" ref="D279:I288" si="101">IF($K$333&lt;&gt;0,D$333/$K$333*$K279,0)</f>
        <v>120409.53262378529</v>
      </c>
      <c r="E279" s="680">
        <f t="shared" si="101"/>
        <v>31763.343359555765</v>
      </c>
      <c r="F279" s="680">
        <f t="shared" si="101"/>
        <v>67412.112216566398</v>
      </c>
      <c r="G279" s="680">
        <f t="shared" si="101"/>
        <v>12249.125404905137</v>
      </c>
      <c r="H279" s="680">
        <f t="shared" si="101"/>
        <v>116824.77248187568</v>
      </c>
      <c r="I279" s="680">
        <f t="shared" si="101"/>
        <v>20259.30394878914</v>
      </c>
      <c r="J279" s="513">
        <f t="shared" si="94"/>
        <v>2363408.1900354768</v>
      </c>
      <c r="K279" s="680">
        <v>166</v>
      </c>
      <c r="L279" s="680">
        <f t="shared" si="99"/>
        <v>14237.398735153474</v>
      </c>
      <c r="M279" s="668">
        <v>15549</v>
      </c>
      <c r="N279" s="668"/>
      <c r="O279" s="556" t="s">
        <v>545</v>
      </c>
      <c r="P279" s="669">
        <v>40782</v>
      </c>
      <c r="Q279" s="670"/>
      <c r="R279" s="572">
        <f t="shared" si="100"/>
        <v>83</v>
      </c>
      <c r="S279" s="677">
        <v>24030</v>
      </c>
      <c r="T279" s="513">
        <f t="shared" si="75"/>
        <v>1994490</v>
      </c>
      <c r="U279" s="537"/>
      <c r="V279" s="669"/>
      <c r="W279" s="496"/>
      <c r="X279" s="496"/>
      <c r="Y279" s="513"/>
    </row>
    <row r="280" spans="1:25" ht="13.5" customHeight="1">
      <c r="A280" s="564">
        <f t="shared" si="91"/>
        <v>102</v>
      </c>
      <c r="B280" s="566" t="s">
        <v>1020</v>
      </c>
      <c r="C280" s="513">
        <f t="shared" si="98"/>
        <v>95427</v>
      </c>
      <c r="D280" s="680">
        <f t="shared" si="101"/>
        <v>6528.2276723739014</v>
      </c>
      <c r="E280" s="680">
        <f t="shared" si="101"/>
        <v>1722.1089773253125</v>
      </c>
      <c r="F280" s="680">
        <f t="shared" si="101"/>
        <v>3654.8735539102267</v>
      </c>
      <c r="G280" s="680">
        <f t="shared" si="101"/>
        <v>664.10920869967606</v>
      </c>
      <c r="H280" s="680">
        <f t="shared" si="101"/>
        <v>6333.8732068486815</v>
      </c>
      <c r="I280" s="680">
        <f t="shared" si="101"/>
        <v>1098.3959972235075</v>
      </c>
      <c r="J280" s="513">
        <f t="shared" si="94"/>
        <v>115428.58861638131</v>
      </c>
      <c r="K280" s="680">
        <v>9</v>
      </c>
      <c r="L280" s="680">
        <f t="shared" si="99"/>
        <v>12825.39873515348</v>
      </c>
      <c r="M280" s="668">
        <v>14981</v>
      </c>
      <c r="N280" s="668"/>
      <c r="O280" s="556" t="s">
        <v>496</v>
      </c>
      <c r="P280" s="669">
        <v>40782</v>
      </c>
      <c r="Q280" s="670"/>
      <c r="R280" s="572">
        <f>K280</f>
        <v>9</v>
      </c>
      <c r="S280" s="496">
        <v>10603</v>
      </c>
      <c r="T280" s="513">
        <f t="shared" si="75"/>
        <v>95427</v>
      </c>
      <c r="U280" s="537"/>
      <c r="V280" s="669"/>
      <c r="W280" s="496"/>
      <c r="X280" s="496"/>
      <c r="Y280" s="513"/>
    </row>
    <row r="281" spans="1:25" ht="13.5" customHeight="1">
      <c r="A281" s="564">
        <f t="shared" si="91"/>
        <v>103</v>
      </c>
      <c r="B281" s="566" t="s">
        <v>1003</v>
      </c>
      <c r="C281" s="513">
        <f t="shared" si="98"/>
        <v>1272360</v>
      </c>
      <c r="D281" s="680">
        <f t="shared" si="101"/>
        <v>174086.07126330404</v>
      </c>
      <c r="E281" s="680">
        <f t="shared" si="101"/>
        <v>45922.906062008333</v>
      </c>
      <c r="F281" s="680">
        <f t="shared" si="101"/>
        <v>97463.294770939377</v>
      </c>
      <c r="G281" s="680">
        <f t="shared" si="101"/>
        <v>17709.57889865803</v>
      </c>
      <c r="H281" s="680">
        <f t="shared" si="101"/>
        <v>168903.28551596485</v>
      </c>
      <c r="I281" s="680">
        <f t="shared" si="101"/>
        <v>29290.559925960202</v>
      </c>
      <c r="J281" s="513">
        <f t="shared" si="94"/>
        <v>1805735.6964368348</v>
      </c>
      <c r="K281" s="680">
        <v>240</v>
      </c>
      <c r="L281" s="680">
        <f t="shared" si="99"/>
        <v>7523.8987351534779</v>
      </c>
      <c r="M281" s="668">
        <v>9263</v>
      </c>
      <c r="N281" s="668"/>
      <c r="O281" s="556" t="s">
        <v>496</v>
      </c>
      <c r="P281" s="669">
        <v>40782</v>
      </c>
      <c r="Q281" s="670"/>
      <c r="R281" s="572">
        <f>K281/2</f>
        <v>120</v>
      </c>
      <c r="S281" s="300">
        <v>10603</v>
      </c>
      <c r="T281" s="513">
        <f t="shared" si="75"/>
        <v>1272360</v>
      </c>
      <c r="U281" s="537"/>
      <c r="V281" s="669"/>
      <c r="W281" s="496"/>
      <c r="X281" s="496"/>
      <c r="Y281" s="513"/>
    </row>
    <row r="282" spans="1:25" ht="13.5" customHeight="1">
      <c r="A282" s="564">
        <f t="shared" si="91"/>
        <v>104</v>
      </c>
      <c r="B282" s="566" t="s">
        <v>1021</v>
      </c>
      <c r="C282" s="513">
        <f t="shared" si="98"/>
        <v>382614</v>
      </c>
      <c r="D282" s="680">
        <f t="shared" si="101"/>
        <v>62380.842202683947</v>
      </c>
      <c r="E282" s="680">
        <f t="shared" si="101"/>
        <v>16455.708005552988</v>
      </c>
      <c r="F282" s="680">
        <f t="shared" si="101"/>
        <v>34924.347292919942</v>
      </c>
      <c r="G282" s="680">
        <f t="shared" si="101"/>
        <v>6345.9324386857943</v>
      </c>
      <c r="H282" s="680">
        <f t="shared" si="101"/>
        <v>60523.677309887404</v>
      </c>
      <c r="I282" s="680">
        <f t="shared" si="101"/>
        <v>10495.783973469073</v>
      </c>
      <c r="J282" s="513">
        <f t="shared" si="94"/>
        <v>573740.29122319911</v>
      </c>
      <c r="K282" s="680">
        <v>86</v>
      </c>
      <c r="L282" s="680">
        <f t="shared" si="99"/>
        <v>6671.3987351534779</v>
      </c>
      <c r="M282" s="668">
        <v>7806</v>
      </c>
      <c r="N282" s="668"/>
      <c r="O282" s="556" t="s">
        <v>364</v>
      </c>
      <c r="P282" s="669">
        <v>40782</v>
      </c>
      <c r="Q282" s="670"/>
      <c r="R282" s="572">
        <f>K282</f>
        <v>86</v>
      </c>
      <c r="S282" s="496">
        <f>4449</f>
        <v>4449</v>
      </c>
      <c r="T282" s="513">
        <f t="shared" si="75"/>
        <v>382614</v>
      </c>
      <c r="U282" s="537"/>
      <c r="V282" s="669"/>
      <c r="W282" s="496"/>
      <c r="X282" s="496"/>
      <c r="Y282" s="513"/>
    </row>
    <row r="283" spans="1:25" ht="13.5" customHeight="1">
      <c r="A283" s="564">
        <f t="shared" si="91"/>
        <v>105</v>
      </c>
      <c r="B283" s="566" t="s">
        <v>1022</v>
      </c>
      <c r="C283" s="513">
        <f t="shared" si="98"/>
        <v>110208</v>
      </c>
      <c r="D283" s="680">
        <f t="shared" si="101"/>
        <v>174086.07126330404</v>
      </c>
      <c r="E283" s="680">
        <f t="shared" si="101"/>
        <v>45922.906062008333</v>
      </c>
      <c r="F283" s="680">
        <f t="shared" si="101"/>
        <v>97463.294770939377</v>
      </c>
      <c r="G283" s="680">
        <f t="shared" si="101"/>
        <v>17709.57889865803</v>
      </c>
      <c r="H283" s="680">
        <f t="shared" si="101"/>
        <v>168903.28551596485</v>
      </c>
      <c r="I283" s="680">
        <f t="shared" si="101"/>
        <v>29290.559925960202</v>
      </c>
      <c r="J283" s="513">
        <f t="shared" si="94"/>
        <v>643583.69643683475</v>
      </c>
      <c r="K283" s="680">
        <v>240</v>
      </c>
      <c r="L283" s="680">
        <f t="shared" si="99"/>
        <v>2681.5987351534782</v>
      </c>
      <c r="M283" s="668">
        <v>2588</v>
      </c>
      <c r="N283" s="668"/>
      <c r="O283" s="566" t="s">
        <v>455</v>
      </c>
      <c r="P283" s="669">
        <v>40782</v>
      </c>
      <c r="Q283" s="670"/>
      <c r="R283" s="572">
        <f t="shared" ref="R283" si="102">K283/10</f>
        <v>24</v>
      </c>
      <c r="S283" s="496">
        <v>4592</v>
      </c>
      <c r="T283" s="513">
        <f t="shared" si="75"/>
        <v>110208</v>
      </c>
      <c r="U283" s="537"/>
      <c r="V283" s="669"/>
      <c r="W283" s="496"/>
      <c r="X283" s="496"/>
      <c r="Y283" s="513"/>
    </row>
    <row r="284" spans="1:25" ht="13.5" customHeight="1">
      <c r="A284" s="564">
        <f t="shared" si="91"/>
        <v>106</v>
      </c>
      <c r="B284" s="566" t="s">
        <v>1023</v>
      </c>
      <c r="C284" s="513">
        <f t="shared" si="98"/>
        <v>41328</v>
      </c>
      <c r="D284" s="680">
        <f t="shared" si="101"/>
        <v>62380.842202683947</v>
      </c>
      <c r="E284" s="680">
        <f t="shared" si="101"/>
        <v>16455.708005552988</v>
      </c>
      <c r="F284" s="680">
        <f t="shared" si="101"/>
        <v>34924.347292919942</v>
      </c>
      <c r="G284" s="680">
        <f t="shared" si="101"/>
        <v>6345.9324386857943</v>
      </c>
      <c r="H284" s="680">
        <f t="shared" si="101"/>
        <v>60523.677309887404</v>
      </c>
      <c r="I284" s="680">
        <f t="shared" si="101"/>
        <v>10495.783973469073</v>
      </c>
      <c r="J284" s="513">
        <f t="shared" si="94"/>
        <v>232454.29122319914</v>
      </c>
      <c r="K284" s="680">
        <v>86</v>
      </c>
      <c r="L284" s="680">
        <f t="shared" si="99"/>
        <v>2702.9568746883619</v>
      </c>
      <c r="M284" s="668">
        <v>2334</v>
      </c>
      <c r="N284" s="668"/>
      <c r="O284" s="566" t="s">
        <v>455</v>
      </c>
      <c r="P284" s="669">
        <v>40782</v>
      </c>
      <c r="Q284" s="670"/>
      <c r="R284" s="572">
        <v>9</v>
      </c>
      <c r="S284" s="496">
        <v>4592</v>
      </c>
      <c r="T284" s="513">
        <f t="shared" si="75"/>
        <v>41328</v>
      </c>
      <c r="U284" s="537"/>
      <c r="V284" s="669"/>
      <c r="W284" s="496"/>
      <c r="X284" s="496"/>
      <c r="Y284" s="513"/>
    </row>
    <row r="285" spans="1:25" ht="13.5" customHeight="1">
      <c r="A285" s="564">
        <f t="shared" si="91"/>
        <v>107</v>
      </c>
      <c r="B285" s="566" t="s">
        <v>967</v>
      </c>
      <c r="C285" s="513">
        <f t="shared" si="98"/>
        <v>3994146</v>
      </c>
      <c r="D285" s="680">
        <f t="shared" si="101"/>
        <v>427961.59185562242</v>
      </c>
      <c r="E285" s="680">
        <f t="shared" si="101"/>
        <v>112893.81073577049</v>
      </c>
      <c r="F285" s="680">
        <f t="shared" si="101"/>
        <v>239597.26631189263</v>
      </c>
      <c r="G285" s="680">
        <f t="shared" si="101"/>
        <v>43536.048125867659</v>
      </c>
      <c r="H285" s="680">
        <f t="shared" si="101"/>
        <v>415220.57689341356</v>
      </c>
      <c r="I285" s="680">
        <f t="shared" si="101"/>
        <v>72005.959817985495</v>
      </c>
      <c r="J285" s="513">
        <f t="shared" ref="J285:J316" si="103">SUM(C285:I285)</f>
        <v>5305361.2537405519</v>
      </c>
      <c r="K285" s="680">
        <v>590</v>
      </c>
      <c r="L285" s="680">
        <f t="shared" si="99"/>
        <v>8992.1377182043252</v>
      </c>
      <c r="M285" s="668">
        <v>11000</v>
      </c>
      <c r="N285" s="668"/>
      <c r="O285" s="556" t="s">
        <v>471</v>
      </c>
      <c r="P285" s="669">
        <v>40801</v>
      </c>
      <c r="Q285" s="670"/>
      <c r="R285" s="572">
        <v>202</v>
      </c>
      <c r="S285" s="496">
        <v>19773</v>
      </c>
      <c r="T285" s="513">
        <f t="shared" si="75"/>
        <v>3994146</v>
      </c>
      <c r="U285" s="537"/>
      <c r="V285" s="669"/>
      <c r="W285" s="496"/>
      <c r="X285" s="496"/>
      <c r="Y285" s="513"/>
    </row>
    <row r="286" spans="1:25" ht="13.5" customHeight="1">
      <c r="A286" s="564">
        <f t="shared" si="91"/>
        <v>108</v>
      </c>
      <c r="B286" s="566" t="s">
        <v>968</v>
      </c>
      <c r="C286" s="513">
        <f t="shared" si="98"/>
        <v>2028578</v>
      </c>
      <c r="D286" s="680">
        <f t="shared" si="101"/>
        <v>89219.111522443316</v>
      </c>
      <c r="E286" s="680">
        <f t="shared" si="101"/>
        <v>23535.489356779271</v>
      </c>
      <c r="F286" s="680">
        <f t="shared" si="101"/>
        <v>49949.938570106431</v>
      </c>
      <c r="G286" s="680">
        <f t="shared" si="101"/>
        <v>9076.159185562241</v>
      </c>
      <c r="H286" s="680">
        <f t="shared" si="101"/>
        <v>86562.933826931985</v>
      </c>
      <c r="I286" s="680">
        <f t="shared" si="101"/>
        <v>15011.411962054604</v>
      </c>
      <c r="J286" s="513">
        <f t="shared" si="103"/>
        <v>2301933.0444238782</v>
      </c>
      <c r="K286" s="680">
        <v>123</v>
      </c>
      <c r="L286" s="680">
        <f t="shared" si="99"/>
        <v>18714.902800194133</v>
      </c>
      <c r="M286" s="668">
        <v>19061</v>
      </c>
      <c r="N286" s="668"/>
      <c r="O286" s="567" t="s">
        <v>605</v>
      </c>
      <c r="P286" s="669">
        <v>40804</v>
      </c>
      <c r="Q286" s="670"/>
      <c r="R286" s="572">
        <f>K286/2</f>
        <v>61.5</v>
      </c>
      <c r="S286" s="496">
        <v>32985</v>
      </c>
      <c r="T286" s="513">
        <f t="shared" si="75"/>
        <v>2028578</v>
      </c>
      <c r="U286" s="537"/>
      <c r="V286" s="669"/>
      <c r="W286" s="496"/>
      <c r="X286" s="496"/>
      <c r="Y286" s="513"/>
    </row>
    <row r="287" spans="1:25" ht="13.5" customHeight="1">
      <c r="A287" s="564">
        <f t="shared" si="91"/>
        <v>109</v>
      </c>
      <c r="B287" s="566" t="s">
        <v>969</v>
      </c>
      <c r="C287" s="513">
        <f t="shared" si="98"/>
        <v>1197918</v>
      </c>
      <c r="D287" s="680">
        <f t="shared" si="101"/>
        <v>88493.75289217956</v>
      </c>
      <c r="E287" s="680">
        <f t="shared" si="101"/>
        <v>23344.143914854234</v>
      </c>
      <c r="F287" s="680">
        <f t="shared" si="101"/>
        <v>49543.84150856085</v>
      </c>
      <c r="G287" s="680">
        <f t="shared" si="101"/>
        <v>9002.369273484499</v>
      </c>
      <c r="H287" s="680">
        <f t="shared" si="101"/>
        <v>85859.170137282126</v>
      </c>
      <c r="I287" s="680">
        <f t="shared" si="101"/>
        <v>14889.367962363103</v>
      </c>
      <c r="J287" s="513">
        <f t="shared" si="103"/>
        <v>1469050.6456887245</v>
      </c>
      <c r="K287" s="680">
        <v>122</v>
      </c>
      <c r="L287" s="680">
        <f t="shared" si="99"/>
        <v>12041.39873515348</v>
      </c>
      <c r="M287" s="668">
        <v>13090</v>
      </c>
      <c r="N287" s="668"/>
      <c r="O287" s="556" t="s">
        <v>519</v>
      </c>
      <c r="P287" s="669">
        <v>40804</v>
      </c>
      <c r="Q287" s="670"/>
      <c r="R287" s="572">
        <f t="shared" ref="R287" si="104">K287/2</f>
        <v>61</v>
      </c>
      <c r="S287" s="496">
        <v>19638</v>
      </c>
      <c r="T287" s="513">
        <f t="shared" si="75"/>
        <v>1197918</v>
      </c>
      <c r="U287" s="537"/>
      <c r="V287" s="669"/>
      <c r="W287" s="496"/>
      <c r="X287" s="496"/>
      <c r="Y287" s="513"/>
    </row>
    <row r="288" spans="1:25" ht="13.5" customHeight="1">
      <c r="A288" s="564">
        <f t="shared" si="91"/>
        <v>110</v>
      </c>
      <c r="B288" s="566" t="s">
        <v>732</v>
      </c>
      <c r="C288" s="513">
        <f t="shared" si="98"/>
        <v>55104</v>
      </c>
      <c r="D288" s="680">
        <f t="shared" si="101"/>
        <v>87043.035631652019</v>
      </c>
      <c r="E288" s="680">
        <f t="shared" si="101"/>
        <v>22961.453031004166</v>
      </c>
      <c r="F288" s="680">
        <f t="shared" si="101"/>
        <v>48731.647385469689</v>
      </c>
      <c r="G288" s="680">
        <f t="shared" si="101"/>
        <v>8854.789449329015</v>
      </c>
      <c r="H288" s="680">
        <f t="shared" si="101"/>
        <v>84451.642757982423</v>
      </c>
      <c r="I288" s="680">
        <f t="shared" si="101"/>
        <v>14645.279962980101</v>
      </c>
      <c r="J288" s="513">
        <f t="shared" si="103"/>
        <v>321791.84821841738</v>
      </c>
      <c r="K288" s="680">
        <v>120</v>
      </c>
      <c r="L288" s="680">
        <f t="shared" si="99"/>
        <v>2681.5987351534782</v>
      </c>
      <c r="M288" s="668">
        <v>2528</v>
      </c>
      <c r="N288" s="668"/>
      <c r="O288" s="566" t="s">
        <v>455</v>
      </c>
      <c r="P288" s="669">
        <v>40804</v>
      </c>
      <c r="Q288" s="670"/>
      <c r="R288" s="572">
        <f>K288/10</f>
        <v>12</v>
      </c>
      <c r="S288" s="496">
        <v>4592</v>
      </c>
      <c r="T288" s="513">
        <f t="shared" si="75"/>
        <v>55104</v>
      </c>
      <c r="U288" s="537"/>
      <c r="V288" s="669"/>
      <c r="W288" s="496"/>
      <c r="X288" s="496"/>
      <c r="Y288" s="513"/>
    </row>
    <row r="289" spans="1:25" ht="13.5" customHeight="1">
      <c r="A289" s="564">
        <f t="shared" si="91"/>
        <v>111</v>
      </c>
      <c r="B289" s="566" t="s">
        <v>970</v>
      </c>
      <c r="C289" s="513">
        <f t="shared" si="98"/>
        <v>371280</v>
      </c>
      <c r="D289" s="680">
        <f t="shared" ref="D289:I299" si="105">IF($K$333&lt;&gt;0,D$333/$K$333*$K289,0)</f>
        <v>37718.648773715875</v>
      </c>
      <c r="E289" s="680">
        <f t="shared" si="105"/>
        <v>9949.9629801018054</v>
      </c>
      <c r="F289" s="680">
        <f t="shared" si="105"/>
        <v>21117.047200370198</v>
      </c>
      <c r="G289" s="680">
        <f t="shared" si="105"/>
        <v>3837.0754280425731</v>
      </c>
      <c r="H289" s="680">
        <f t="shared" si="105"/>
        <v>36595.711861792384</v>
      </c>
      <c r="I289" s="680">
        <f t="shared" si="105"/>
        <v>6346.2879839580437</v>
      </c>
      <c r="J289" s="513">
        <f t="shared" si="103"/>
        <v>486844.73422798084</v>
      </c>
      <c r="K289" s="680">
        <v>52</v>
      </c>
      <c r="L289" s="680">
        <f t="shared" si="99"/>
        <v>9362.3987351534779</v>
      </c>
      <c r="M289" s="668">
        <v>10535</v>
      </c>
      <c r="N289" s="668"/>
      <c r="O289" s="567" t="s">
        <v>581</v>
      </c>
      <c r="P289" s="669">
        <v>40804</v>
      </c>
      <c r="Q289" s="670"/>
      <c r="R289" s="572">
        <f>K289/2</f>
        <v>26</v>
      </c>
      <c r="S289" s="677">
        <v>14280</v>
      </c>
      <c r="T289" s="513">
        <f t="shared" si="75"/>
        <v>371280</v>
      </c>
      <c r="U289" s="537"/>
      <c r="V289" s="669"/>
      <c r="W289" s="496"/>
      <c r="X289" s="496"/>
      <c r="Y289" s="513"/>
    </row>
    <row r="290" spans="1:25" ht="13.5" customHeight="1">
      <c r="A290" s="564">
        <f t="shared" si="91"/>
        <v>112</v>
      </c>
      <c r="B290" s="566" t="s">
        <v>732</v>
      </c>
      <c r="C290" s="513">
        <f t="shared" si="98"/>
        <v>22245</v>
      </c>
      <c r="D290" s="680">
        <f t="shared" si="105"/>
        <v>34817.214252660808</v>
      </c>
      <c r="E290" s="680">
        <f t="shared" si="105"/>
        <v>9184.5812124016666</v>
      </c>
      <c r="F290" s="680">
        <f t="shared" si="105"/>
        <v>19492.658954187875</v>
      </c>
      <c r="G290" s="680">
        <f t="shared" si="105"/>
        <v>3541.9157797316057</v>
      </c>
      <c r="H290" s="680">
        <f t="shared" si="105"/>
        <v>33780.657103192971</v>
      </c>
      <c r="I290" s="680">
        <f t="shared" si="105"/>
        <v>5858.1119851920403</v>
      </c>
      <c r="J290" s="513">
        <f t="shared" si="103"/>
        <v>128920.13928736695</v>
      </c>
      <c r="K290" s="680">
        <v>48</v>
      </c>
      <c r="L290" s="680">
        <f t="shared" si="99"/>
        <v>2685.8362351534784</v>
      </c>
      <c r="M290" s="668">
        <v>1981</v>
      </c>
      <c r="N290" s="668"/>
      <c r="O290" s="556" t="s">
        <v>364</v>
      </c>
      <c r="P290" s="669">
        <v>40804</v>
      </c>
      <c r="Q290" s="670"/>
      <c r="R290" s="572">
        <v>5</v>
      </c>
      <c r="S290" s="496">
        <f>4449</f>
        <v>4449</v>
      </c>
      <c r="T290" s="513">
        <f t="shared" si="75"/>
        <v>22245</v>
      </c>
      <c r="U290" s="537"/>
      <c r="V290" s="669"/>
      <c r="W290" s="496"/>
      <c r="X290" s="496"/>
      <c r="Y290" s="513"/>
    </row>
    <row r="291" spans="1:25" ht="13.5" customHeight="1">
      <c r="A291" s="564">
        <f t="shared" si="91"/>
        <v>113</v>
      </c>
      <c r="B291" s="566" t="s">
        <v>971</v>
      </c>
      <c r="C291" s="513">
        <f t="shared" si="98"/>
        <v>2341934</v>
      </c>
      <c r="D291" s="680">
        <f t="shared" si="105"/>
        <v>103000.92549745488</v>
      </c>
      <c r="E291" s="680">
        <f t="shared" si="105"/>
        <v>27171.052753354932</v>
      </c>
      <c r="F291" s="680">
        <f t="shared" si="105"/>
        <v>57665.782739472466</v>
      </c>
      <c r="G291" s="680">
        <f t="shared" si="105"/>
        <v>10478.167515039335</v>
      </c>
      <c r="H291" s="680">
        <f t="shared" si="105"/>
        <v>99934.443930279202</v>
      </c>
      <c r="I291" s="680">
        <f t="shared" si="105"/>
        <v>17330.247956193121</v>
      </c>
      <c r="J291" s="513">
        <f t="shared" si="103"/>
        <v>2657514.620391794</v>
      </c>
      <c r="K291" s="680">
        <v>142</v>
      </c>
      <c r="L291" s="680">
        <f t="shared" si="99"/>
        <v>18714.891692899957</v>
      </c>
      <c r="M291" s="668">
        <v>19465</v>
      </c>
      <c r="N291" s="668"/>
      <c r="O291" s="567" t="s">
        <v>605</v>
      </c>
      <c r="P291" s="669">
        <v>40804</v>
      </c>
      <c r="Q291" s="670"/>
      <c r="R291" s="572">
        <f>K291/2</f>
        <v>71</v>
      </c>
      <c r="S291" s="496">
        <v>32984.985915492958</v>
      </c>
      <c r="T291" s="513">
        <f t="shared" si="75"/>
        <v>2341934</v>
      </c>
      <c r="U291" s="537"/>
      <c r="V291" s="669"/>
      <c r="W291" s="496"/>
      <c r="X291" s="496"/>
      <c r="Y291" s="513"/>
    </row>
    <row r="292" spans="1:25" ht="13.5" customHeight="1">
      <c r="A292" s="564">
        <f t="shared" si="91"/>
        <v>114</v>
      </c>
      <c r="B292" s="566" t="s">
        <v>972</v>
      </c>
      <c r="C292" s="513">
        <f t="shared" si="98"/>
        <v>1106808</v>
      </c>
      <c r="D292" s="680">
        <f t="shared" si="105"/>
        <v>155226.74687644609</v>
      </c>
      <c r="E292" s="680">
        <f t="shared" si="105"/>
        <v>40947.924571957432</v>
      </c>
      <c r="F292" s="680">
        <f t="shared" si="105"/>
        <v>86904.771170754277</v>
      </c>
      <c r="G292" s="680">
        <f t="shared" si="105"/>
        <v>15791.041184636742</v>
      </c>
      <c r="H292" s="680">
        <f t="shared" si="105"/>
        <v>150605.42958506866</v>
      </c>
      <c r="I292" s="680">
        <f t="shared" si="105"/>
        <v>26117.415933981181</v>
      </c>
      <c r="J292" s="513">
        <f t="shared" si="103"/>
        <v>1582401.3293228443</v>
      </c>
      <c r="K292" s="680">
        <v>214</v>
      </c>
      <c r="L292" s="680">
        <f t="shared" si="99"/>
        <v>7394.3987351534779</v>
      </c>
      <c r="M292" s="668">
        <v>8398</v>
      </c>
      <c r="N292" s="668"/>
      <c r="O292" s="556" t="s">
        <v>555</v>
      </c>
      <c r="P292" s="669">
        <v>40804</v>
      </c>
      <c r="Q292" s="670"/>
      <c r="R292" s="572">
        <f>K292/2</f>
        <v>107</v>
      </c>
      <c r="S292" s="496">
        <v>10344</v>
      </c>
      <c r="T292" s="513">
        <f t="shared" si="75"/>
        <v>1106808</v>
      </c>
      <c r="U292" s="537"/>
      <c r="V292" s="669"/>
      <c r="W292" s="496"/>
      <c r="X292" s="496"/>
      <c r="Y292" s="513"/>
    </row>
    <row r="293" spans="1:25" ht="13.5" customHeight="1">
      <c r="A293" s="564">
        <f t="shared" si="91"/>
        <v>115</v>
      </c>
      <c r="B293" s="566" t="s">
        <v>973</v>
      </c>
      <c r="C293" s="513">
        <f t="shared" si="98"/>
        <v>1833860</v>
      </c>
      <c r="D293" s="680">
        <f t="shared" si="105"/>
        <v>203825.77510411848</v>
      </c>
      <c r="E293" s="680">
        <f t="shared" si="105"/>
        <v>53768.069180934755</v>
      </c>
      <c r="F293" s="680">
        <f t="shared" si="105"/>
        <v>114113.27429430818</v>
      </c>
      <c r="G293" s="680">
        <f t="shared" si="105"/>
        <v>20734.965293845442</v>
      </c>
      <c r="H293" s="680">
        <f t="shared" si="105"/>
        <v>197757.59679160884</v>
      </c>
      <c r="I293" s="680">
        <f t="shared" si="105"/>
        <v>34294.363913311739</v>
      </c>
      <c r="J293" s="513">
        <f t="shared" si="103"/>
        <v>2458354.0445781276</v>
      </c>
      <c r="K293" s="680">
        <v>281</v>
      </c>
      <c r="L293" s="680">
        <f t="shared" si="99"/>
        <v>8748.5909059719834</v>
      </c>
      <c r="M293" s="668">
        <v>10534</v>
      </c>
      <c r="N293" s="668"/>
      <c r="O293" s="556" t="s">
        <v>557</v>
      </c>
      <c r="P293" s="669">
        <v>40804</v>
      </c>
      <c r="Q293" s="670"/>
      <c r="R293" s="572">
        <v>70</v>
      </c>
      <c r="S293" s="296">
        <v>26198</v>
      </c>
      <c r="T293" s="513">
        <f t="shared" si="75"/>
        <v>1833860</v>
      </c>
      <c r="U293" s="537"/>
      <c r="V293" s="669"/>
      <c r="W293" s="496"/>
      <c r="X293" s="496"/>
      <c r="Y293" s="513"/>
    </row>
    <row r="294" spans="1:25" ht="13.5" customHeight="1">
      <c r="A294" s="564">
        <f t="shared" si="91"/>
        <v>116</v>
      </c>
      <c r="B294" s="566" t="s">
        <v>974</v>
      </c>
      <c r="C294" s="513">
        <f t="shared" si="98"/>
        <v>875840</v>
      </c>
      <c r="D294" s="680">
        <f t="shared" si="105"/>
        <v>75437.29754743175</v>
      </c>
      <c r="E294" s="680">
        <f t="shared" si="105"/>
        <v>19899.925960203611</v>
      </c>
      <c r="F294" s="680">
        <f t="shared" si="105"/>
        <v>42234.094400740396</v>
      </c>
      <c r="G294" s="680">
        <f t="shared" si="105"/>
        <v>7674.1508560851462</v>
      </c>
      <c r="H294" s="680">
        <f t="shared" si="105"/>
        <v>73191.423723584769</v>
      </c>
      <c r="I294" s="680">
        <f t="shared" si="105"/>
        <v>12692.575967916087</v>
      </c>
      <c r="J294" s="513">
        <f t="shared" si="103"/>
        <v>1106969.4684559617</v>
      </c>
      <c r="K294" s="680">
        <v>104</v>
      </c>
      <c r="L294" s="680">
        <f t="shared" si="99"/>
        <v>10643.937196691939</v>
      </c>
      <c r="M294" s="668">
        <v>14076</v>
      </c>
      <c r="N294" s="668"/>
      <c r="O294" s="567" t="s">
        <v>582</v>
      </c>
      <c r="P294" s="669">
        <v>40809</v>
      </c>
      <c r="Q294" s="670"/>
      <c r="R294" s="572">
        <v>32</v>
      </c>
      <c r="S294" s="496">
        <v>27370</v>
      </c>
      <c r="T294" s="513">
        <f t="shared" si="75"/>
        <v>875840</v>
      </c>
      <c r="U294" s="537"/>
      <c r="V294" s="669"/>
      <c r="W294" s="496"/>
      <c r="X294" s="496"/>
      <c r="Y294" s="513"/>
    </row>
    <row r="295" spans="1:25" ht="13.5" customHeight="1">
      <c r="A295" s="564">
        <f t="shared" si="91"/>
        <v>117</v>
      </c>
      <c r="B295" s="566" t="s">
        <v>975</v>
      </c>
      <c r="C295" s="513">
        <f t="shared" si="98"/>
        <v>1034400</v>
      </c>
      <c r="D295" s="680">
        <f t="shared" si="105"/>
        <v>145071.72605275337</v>
      </c>
      <c r="E295" s="680">
        <f t="shared" si="105"/>
        <v>38269.088385006944</v>
      </c>
      <c r="F295" s="680">
        <f t="shared" si="105"/>
        <v>81219.412309116145</v>
      </c>
      <c r="G295" s="680">
        <f t="shared" si="105"/>
        <v>14757.982415548358</v>
      </c>
      <c r="H295" s="680">
        <f t="shared" si="105"/>
        <v>140752.7379299707</v>
      </c>
      <c r="I295" s="680">
        <f t="shared" si="105"/>
        <v>24408.79993830017</v>
      </c>
      <c r="J295" s="513">
        <f t="shared" si="103"/>
        <v>1478879.7470306957</v>
      </c>
      <c r="K295" s="680">
        <v>200</v>
      </c>
      <c r="L295" s="680">
        <f t="shared" si="99"/>
        <v>7394.3987351534779</v>
      </c>
      <c r="M295" s="668">
        <v>7340</v>
      </c>
      <c r="N295" s="668"/>
      <c r="O295" s="556" t="s">
        <v>555</v>
      </c>
      <c r="P295" s="669">
        <v>40810</v>
      </c>
      <c r="Q295" s="670"/>
      <c r="R295" s="572">
        <f t="shared" ref="R295" si="106">K295/2</f>
        <v>100</v>
      </c>
      <c r="S295" s="496">
        <v>10344</v>
      </c>
      <c r="T295" s="513">
        <f t="shared" si="75"/>
        <v>1034400</v>
      </c>
      <c r="U295" s="537"/>
      <c r="V295" s="669"/>
      <c r="W295" s="496"/>
      <c r="X295" s="496"/>
      <c r="Y295" s="513"/>
    </row>
    <row r="296" spans="1:25" ht="13.5" customHeight="1">
      <c r="A296" s="564">
        <f t="shared" si="91"/>
        <v>118</v>
      </c>
      <c r="B296" s="566" t="s">
        <v>976</v>
      </c>
      <c r="C296" s="513">
        <f t="shared" si="98"/>
        <v>2046379</v>
      </c>
      <c r="D296" s="680">
        <f t="shared" si="105"/>
        <v>279263.07265155023</v>
      </c>
      <c r="E296" s="680">
        <f t="shared" si="105"/>
        <v>73667.995141138366</v>
      </c>
      <c r="F296" s="680">
        <f t="shared" si="105"/>
        <v>156347.36869504859</v>
      </c>
      <c r="G296" s="680">
        <f t="shared" si="105"/>
        <v>28409.116149930589</v>
      </c>
      <c r="H296" s="680">
        <f t="shared" si="105"/>
        <v>270949.02051519358</v>
      </c>
      <c r="I296" s="680">
        <f t="shared" si="105"/>
        <v>46986.939881227823</v>
      </c>
      <c r="J296" s="513">
        <f t="shared" si="103"/>
        <v>2902002.5130340895</v>
      </c>
      <c r="K296" s="680">
        <v>385</v>
      </c>
      <c r="L296" s="680">
        <f t="shared" si="99"/>
        <v>7537.6688650236092</v>
      </c>
      <c r="M296" s="668">
        <v>7340</v>
      </c>
      <c r="N296" s="668"/>
      <c r="O296" s="556" t="s">
        <v>496</v>
      </c>
      <c r="P296" s="669">
        <v>40810</v>
      </c>
      <c r="Q296" s="670"/>
      <c r="R296" s="572">
        <v>193</v>
      </c>
      <c r="S296" s="496">
        <v>10603</v>
      </c>
      <c r="T296" s="513">
        <f t="shared" si="75"/>
        <v>2046379</v>
      </c>
      <c r="U296" s="537"/>
      <c r="V296" s="669"/>
      <c r="W296" s="496"/>
      <c r="X296" s="496"/>
      <c r="Y296" s="513"/>
    </row>
    <row r="297" spans="1:25" ht="13.5" customHeight="1">
      <c r="A297" s="564">
        <f t="shared" si="91"/>
        <v>119</v>
      </c>
      <c r="B297" s="566" t="s">
        <v>977</v>
      </c>
      <c r="C297" s="513">
        <f t="shared" si="98"/>
        <v>195756</v>
      </c>
      <c r="D297" s="680">
        <f t="shared" si="105"/>
        <v>31915.77973160574</v>
      </c>
      <c r="E297" s="680">
        <f t="shared" si="105"/>
        <v>8419.1994447015277</v>
      </c>
      <c r="F297" s="680">
        <f t="shared" si="105"/>
        <v>17868.270708005552</v>
      </c>
      <c r="G297" s="680">
        <f t="shared" si="105"/>
        <v>3246.7561314206387</v>
      </c>
      <c r="H297" s="680">
        <f t="shared" si="105"/>
        <v>30965.602344593553</v>
      </c>
      <c r="I297" s="680">
        <f t="shared" si="105"/>
        <v>5369.9359864260368</v>
      </c>
      <c r="J297" s="513">
        <f t="shared" si="103"/>
        <v>293541.54434675298</v>
      </c>
      <c r="K297" s="680">
        <v>44</v>
      </c>
      <c r="L297" s="680">
        <f t="shared" si="99"/>
        <v>6671.398735153477</v>
      </c>
      <c r="M297" s="668">
        <v>7340</v>
      </c>
      <c r="N297" s="668"/>
      <c r="O297" s="556" t="s">
        <v>364</v>
      </c>
      <c r="P297" s="669">
        <v>40810</v>
      </c>
      <c r="Q297" s="670"/>
      <c r="R297" s="572">
        <f t="shared" ref="R297" si="107">K297</f>
        <v>44</v>
      </c>
      <c r="S297" s="496">
        <f>4449</f>
        <v>4449</v>
      </c>
      <c r="T297" s="513">
        <f t="shared" si="75"/>
        <v>195756</v>
      </c>
      <c r="U297" s="537"/>
      <c r="V297" s="669"/>
      <c r="W297" s="496"/>
      <c r="X297" s="496"/>
      <c r="Y297" s="513"/>
    </row>
    <row r="298" spans="1:25" ht="13.5" customHeight="1">
      <c r="A298" s="564">
        <f t="shared" si="91"/>
        <v>120</v>
      </c>
      <c r="B298" s="566" t="s">
        <v>950</v>
      </c>
      <c r="C298" s="513">
        <f t="shared" si="98"/>
        <v>7809620</v>
      </c>
      <c r="D298" s="680">
        <f t="shared" si="105"/>
        <v>527335.72420175851</v>
      </c>
      <c r="E298" s="680">
        <f t="shared" si="105"/>
        <v>139108.13627950024</v>
      </c>
      <c r="F298" s="680">
        <f t="shared" si="105"/>
        <v>295232.56374363718</v>
      </c>
      <c r="G298" s="680">
        <f t="shared" si="105"/>
        <v>53645.266080518282</v>
      </c>
      <c r="H298" s="680">
        <f t="shared" si="105"/>
        <v>511636.20237544354</v>
      </c>
      <c r="I298" s="680">
        <f t="shared" si="105"/>
        <v>88725.987775721107</v>
      </c>
      <c r="J298" s="513">
        <f t="shared" si="103"/>
        <v>9425303.8804565798</v>
      </c>
      <c r="K298" s="680">
        <v>727</v>
      </c>
      <c r="L298" s="680">
        <f t="shared" si="99"/>
        <v>12964.654581095709</v>
      </c>
      <c r="M298" s="668">
        <v>14369</v>
      </c>
      <c r="N298" s="668"/>
      <c r="O298" s="556" t="s">
        <v>608</v>
      </c>
      <c r="P298" s="669">
        <v>40810</v>
      </c>
      <c r="Q298" s="670"/>
      <c r="R298" s="572">
        <v>364</v>
      </c>
      <c r="S298" s="704">
        <v>21455</v>
      </c>
      <c r="T298" s="513">
        <f t="shared" si="75"/>
        <v>7809620</v>
      </c>
      <c r="U298" s="537"/>
      <c r="V298" s="669"/>
      <c r="W298" s="496"/>
      <c r="X298" s="496"/>
      <c r="Y298" s="513"/>
    </row>
    <row r="299" spans="1:25" ht="13.5" customHeight="1">
      <c r="A299" s="564">
        <f t="shared" si="91"/>
        <v>121</v>
      </c>
      <c r="B299" s="566" t="s">
        <v>727</v>
      </c>
      <c r="C299" s="513">
        <f>SUM(T299:T300)</f>
        <v>12141300</v>
      </c>
      <c r="D299" s="680">
        <f t="shared" si="105"/>
        <v>1514548.819990745</v>
      </c>
      <c r="E299" s="680">
        <f t="shared" si="105"/>
        <v>399529.28273947252</v>
      </c>
      <c r="F299" s="680">
        <f t="shared" si="105"/>
        <v>847930.66450717254</v>
      </c>
      <c r="G299" s="680">
        <f t="shared" si="105"/>
        <v>154073.33641832485</v>
      </c>
      <c r="H299" s="680">
        <f t="shared" si="105"/>
        <v>1469458.5839888942</v>
      </c>
      <c r="I299" s="680">
        <f t="shared" si="105"/>
        <v>254827.87135585377</v>
      </c>
      <c r="J299" s="513">
        <f t="shared" si="103"/>
        <v>16781668.559000462</v>
      </c>
      <c r="K299" s="680">
        <v>2088</v>
      </c>
      <c r="L299" s="680">
        <f t="shared" si="99"/>
        <v>8037.1975857281905</v>
      </c>
      <c r="M299" s="668">
        <v>13939</v>
      </c>
      <c r="N299" s="668"/>
      <c r="O299" s="556" t="s">
        <v>495</v>
      </c>
      <c r="P299" s="669">
        <v>40810</v>
      </c>
      <c r="Q299" s="670"/>
      <c r="R299" s="572">
        <v>840</v>
      </c>
      <c r="S299" s="496">
        <v>10930</v>
      </c>
      <c r="T299" s="513">
        <f t="shared" si="75"/>
        <v>9181200</v>
      </c>
      <c r="U299" s="537"/>
      <c r="V299" s="669"/>
      <c r="W299" s="496"/>
      <c r="X299" s="496"/>
      <c r="Y299" s="513"/>
    </row>
    <row r="300" spans="1:25" ht="13.5" customHeight="1">
      <c r="A300" s="564"/>
      <c r="B300" s="566"/>
      <c r="C300" s="513"/>
      <c r="D300" s="680"/>
      <c r="E300" s="680">
        <f t="shared" ref="E300:E331" si="108">IF($K$333&lt;&gt;0,E$333/$K$333*$K300,0)</f>
        <v>0</v>
      </c>
      <c r="F300" s="680"/>
      <c r="G300" s="680"/>
      <c r="H300" s="680"/>
      <c r="I300" s="680"/>
      <c r="J300" s="513">
        <f t="shared" si="103"/>
        <v>0</v>
      </c>
      <c r="K300" s="680"/>
      <c r="L300" s="680"/>
      <c r="M300" s="668"/>
      <c r="N300" s="668"/>
      <c r="O300" s="556" t="s">
        <v>609</v>
      </c>
      <c r="P300" s="669">
        <v>40810</v>
      </c>
      <c r="Q300" s="670"/>
      <c r="R300" s="572">
        <v>260</v>
      </c>
      <c r="S300" s="704">
        <v>11385</v>
      </c>
      <c r="T300" s="513">
        <f t="shared" si="75"/>
        <v>2960100</v>
      </c>
      <c r="U300" s="537"/>
      <c r="V300" s="669"/>
      <c r="W300" s="496"/>
      <c r="X300" s="496"/>
      <c r="Y300" s="513"/>
    </row>
    <row r="301" spans="1:25" ht="13.5" customHeight="1">
      <c r="A301" s="564">
        <f>IF(B301&lt;&gt;"",A299+1,"")</f>
        <v>122</v>
      </c>
      <c r="B301" s="566" t="s">
        <v>950</v>
      </c>
      <c r="C301" s="513">
        <f t="shared" si="98"/>
        <v>16241435</v>
      </c>
      <c r="D301" s="680">
        <f t="shared" ref="D301:D331" si="109">IF($K$333&lt;&gt;0,D$333/$K$333*$K301,0)</f>
        <v>1098192.966219343</v>
      </c>
      <c r="E301" s="680">
        <f t="shared" si="108"/>
        <v>289696.99907450256</v>
      </c>
      <c r="F301" s="680">
        <f t="shared" ref="F301:I331" si="110">IF($K$333&lt;&gt;0,F$333/$K$333*$K301,0)</f>
        <v>614830.95118000929</v>
      </c>
      <c r="G301" s="680">
        <f t="shared" si="110"/>
        <v>111717.92688570108</v>
      </c>
      <c r="H301" s="680">
        <f t="shared" si="110"/>
        <v>1065498.2261298783</v>
      </c>
      <c r="I301" s="680">
        <f t="shared" si="110"/>
        <v>184774.61553293228</v>
      </c>
      <c r="J301" s="513">
        <f t="shared" si="103"/>
        <v>19606146.685022369</v>
      </c>
      <c r="K301" s="680">
        <v>1514</v>
      </c>
      <c r="L301" s="680">
        <f t="shared" si="99"/>
        <v>12949.89873515348</v>
      </c>
      <c r="M301" s="668">
        <v>14369</v>
      </c>
      <c r="N301" s="668"/>
      <c r="O301" s="556" t="s">
        <v>608</v>
      </c>
      <c r="P301" s="669">
        <v>40810</v>
      </c>
      <c r="Q301" s="670"/>
      <c r="R301" s="572">
        <f>K301/2</f>
        <v>757</v>
      </c>
      <c r="S301" s="704">
        <v>21455</v>
      </c>
      <c r="T301" s="513">
        <f t="shared" si="75"/>
        <v>16241435</v>
      </c>
      <c r="U301" s="537"/>
      <c r="V301" s="669"/>
      <c r="W301" s="496"/>
      <c r="X301" s="496"/>
      <c r="Y301" s="513"/>
    </row>
    <row r="302" spans="1:25" ht="13.5" customHeight="1">
      <c r="A302" s="564">
        <f t="shared" si="91"/>
        <v>123</v>
      </c>
      <c r="B302" s="566" t="s">
        <v>722</v>
      </c>
      <c r="C302" s="513">
        <f t="shared" si="98"/>
        <v>3647670</v>
      </c>
      <c r="D302" s="680">
        <f t="shared" si="109"/>
        <v>397496.52938454424</v>
      </c>
      <c r="E302" s="680">
        <f t="shared" si="108"/>
        <v>104857.30217491902</v>
      </c>
      <c r="F302" s="680">
        <f t="shared" si="110"/>
        <v>222541.18972697825</v>
      </c>
      <c r="G302" s="680">
        <f t="shared" si="110"/>
        <v>40436.8718186025</v>
      </c>
      <c r="H302" s="680">
        <f t="shared" si="110"/>
        <v>385662.50192811975</v>
      </c>
      <c r="I302" s="680">
        <f t="shared" si="110"/>
        <v>66880.111830942464</v>
      </c>
      <c r="J302" s="513">
        <f t="shared" si="103"/>
        <v>4865544.5068641054</v>
      </c>
      <c r="K302" s="680">
        <v>548</v>
      </c>
      <c r="L302" s="680">
        <f t="shared" si="99"/>
        <v>8878.7308519417984</v>
      </c>
      <c r="M302" s="668">
        <v>10534</v>
      </c>
      <c r="N302" s="668"/>
      <c r="O302" s="556" t="s">
        <v>520</v>
      </c>
      <c r="P302" s="669">
        <v>40810</v>
      </c>
      <c r="Q302" s="670"/>
      <c r="R302" s="572">
        <v>130</v>
      </c>
      <c r="S302" s="296">
        <v>28059</v>
      </c>
      <c r="T302" s="513">
        <f t="shared" si="75"/>
        <v>3647670</v>
      </c>
      <c r="U302" s="537"/>
      <c r="V302" s="669"/>
      <c r="W302" s="496"/>
      <c r="X302" s="496"/>
      <c r="Y302" s="513"/>
    </row>
    <row r="303" spans="1:25" ht="13.5" customHeight="1">
      <c r="A303" s="564">
        <f>IF(B303&lt;&gt;"",A302+1,"")</f>
        <v>124</v>
      </c>
      <c r="B303" s="566" t="s">
        <v>726</v>
      </c>
      <c r="C303" s="513">
        <f t="shared" si="98"/>
        <v>504630</v>
      </c>
      <c r="D303" s="680">
        <f t="shared" si="109"/>
        <v>29739.70384081444</v>
      </c>
      <c r="E303" s="680">
        <f t="shared" si="108"/>
        <v>7845.1631189264235</v>
      </c>
      <c r="F303" s="680">
        <f t="shared" si="110"/>
        <v>16649.979523368809</v>
      </c>
      <c r="G303" s="680">
        <f t="shared" si="110"/>
        <v>3025.3863951874132</v>
      </c>
      <c r="H303" s="680">
        <f t="shared" si="110"/>
        <v>28854.311275643995</v>
      </c>
      <c r="I303" s="680">
        <f t="shared" si="110"/>
        <v>5003.8039873515345</v>
      </c>
      <c r="J303" s="513">
        <f t="shared" si="103"/>
        <v>595748.34814129258</v>
      </c>
      <c r="K303" s="680">
        <v>41</v>
      </c>
      <c r="L303" s="680">
        <f t="shared" si="99"/>
        <v>14530.447515641283</v>
      </c>
      <c r="M303" s="668">
        <v>15549</v>
      </c>
      <c r="N303" s="668"/>
      <c r="O303" s="556" t="s">
        <v>545</v>
      </c>
      <c r="P303" s="669">
        <v>40810</v>
      </c>
      <c r="Q303" s="670"/>
      <c r="R303" s="572">
        <v>21</v>
      </c>
      <c r="S303" s="677">
        <v>24030</v>
      </c>
      <c r="T303" s="513">
        <f t="shared" si="75"/>
        <v>504630</v>
      </c>
      <c r="U303" s="537"/>
      <c r="V303" s="669"/>
      <c r="W303" s="496"/>
      <c r="X303" s="496"/>
      <c r="Y303" s="513"/>
    </row>
    <row r="304" spans="1:25" ht="13.5" customHeight="1">
      <c r="A304" s="564">
        <f t="shared" si="91"/>
        <v>125</v>
      </c>
      <c r="B304" s="566" t="s">
        <v>723</v>
      </c>
      <c r="C304" s="513">
        <f t="shared" si="98"/>
        <v>169730</v>
      </c>
      <c r="D304" s="680">
        <f t="shared" si="109"/>
        <v>14507.172605275337</v>
      </c>
      <c r="E304" s="680">
        <f t="shared" si="108"/>
        <v>3826.9088385006944</v>
      </c>
      <c r="F304" s="680">
        <f t="shared" si="110"/>
        <v>8121.9412309116151</v>
      </c>
      <c r="G304" s="680">
        <f t="shared" si="110"/>
        <v>1475.7982415548358</v>
      </c>
      <c r="H304" s="680">
        <f t="shared" si="110"/>
        <v>14075.27379299707</v>
      </c>
      <c r="I304" s="680">
        <f t="shared" si="110"/>
        <v>2440.8799938300167</v>
      </c>
      <c r="J304" s="513">
        <f t="shared" si="103"/>
        <v>214177.9747030696</v>
      </c>
      <c r="K304" s="680">
        <v>20</v>
      </c>
      <c r="L304" s="680">
        <f t="shared" si="99"/>
        <v>10708.89873515348</v>
      </c>
      <c r="M304" s="668">
        <v>11621</v>
      </c>
      <c r="N304" s="668"/>
      <c r="O304" s="556" t="s">
        <v>528</v>
      </c>
      <c r="P304" s="669">
        <v>40810</v>
      </c>
      <c r="Q304" s="670"/>
      <c r="R304" s="572">
        <f>K304/2</f>
        <v>10</v>
      </c>
      <c r="S304" s="496">
        <v>16973</v>
      </c>
      <c r="T304" s="513">
        <f t="shared" si="75"/>
        <v>169730</v>
      </c>
      <c r="U304" s="537"/>
      <c r="V304" s="669"/>
      <c r="W304" s="496"/>
      <c r="X304" s="496"/>
      <c r="Y304" s="513"/>
    </row>
    <row r="305" spans="1:25" ht="13.5" customHeight="1">
      <c r="A305" s="564">
        <f t="shared" si="91"/>
        <v>126</v>
      </c>
      <c r="B305" s="566" t="s">
        <v>945</v>
      </c>
      <c r="C305" s="513">
        <f t="shared" si="98"/>
        <v>548232</v>
      </c>
      <c r="D305" s="680">
        <f t="shared" si="109"/>
        <v>76888.014807959291</v>
      </c>
      <c r="E305" s="680">
        <f t="shared" si="108"/>
        <v>20282.616844053679</v>
      </c>
      <c r="F305" s="680">
        <f t="shared" si="110"/>
        <v>43046.288523831558</v>
      </c>
      <c r="G305" s="680">
        <f t="shared" si="110"/>
        <v>7821.7306802406292</v>
      </c>
      <c r="H305" s="680">
        <f t="shared" si="110"/>
        <v>74598.951102884472</v>
      </c>
      <c r="I305" s="680">
        <f t="shared" si="110"/>
        <v>12936.66396729909</v>
      </c>
      <c r="J305" s="513">
        <f t="shared" si="103"/>
        <v>783806.26592626877</v>
      </c>
      <c r="K305" s="680">
        <v>106</v>
      </c>
      <c r="L305" s="680">
        <f t="shared" si="99"/>
        <v>7394.3987351534788</v>
      </c>
      <c r="M305" s="668">
        <v>8398</v>
      </c>
      <c r="N305" s="668"/>
      <c r="O305" s="556" t="s">
        <v>555</v>
      </c>
      <c r="P305" s="669">
        <v>40811</v>
      </c>
      <c r="Q305" s="670"/>
      <c r="R305" s="572">
        <f>K305/2</f>
        <v>53</v>
      </c>
      <c r="S305" s="496">
        <v>10344</v>
      </c>
      <c r="T305" s="513">
        <f t="shared" si="75"/>
        <v>548232</v>
      </c>
      <c r="U305" s="537"/>
      <c r="V305" s="669"/>
      <c r="W305" s="496"/>
      <c r="X305" s="496"/>
      <c r="Y305" s="513"/>
    </row>
    <row r="306" spans="1:25" ht="13.5" customHeight="1">
      <c r="A306" s="564">
        <f t="shared" si="91"/>
        <v>127</v>
      </c>
      <c r="B306" s="566" t="s">
        <v>948</v>
      </c>
      <c r="C306" s="513">
        <f t="shared" si="98"/>
        <v>3006974</v>
      </c>
      <c r="D306" s="680">
        <f t="shared" si="109"/>
        <v>361953.95650161966</v>
      </c>
      <c r="E306" s="680">
        <f t="shared" si="108"/>
        <v>95481.375520592323</v>
      </c>
      <c r="F306" s="680">
        <f t="shared" si="110"/>
        <v>202642.43371124478</v>
      </c>
      <c r="G306" s="680">
        <f t="shared" si="110"/>
        <v>36821.166126793156</v>
      </c>
      <c r="H306" s="680">
        <f t="shared" si="110"/>
        <v>351178.08113527688</v>
      </c>
      <c r="I306" s="680">
        <f t="shared" si="110"/>
        <v>60899.955846058918</v>
      </c>
      <c r="J306" s="513">
        <f t="shared" si="103"/>
        <v>4115950.9688415863</v>
      </c>
      <c r="K306" s="680">
        <v>499</v>
      </c>
      <c r="L306" s="680">
        <f t="shared" si="99"/>
        <v>8248.3987351534797</v>
      </c>
      <c r="M306" s="668">
        <v>9538</v>
      </c>
      <c r="N306" s="668"/>
      <c r="O306" s="566" t="s">
        <v>456</v>
      </c>
      <c r="P306" s="669">
        <v>40811</v>
      </c>
      <c r="Q306" s="670"/>
      <c r="R306" s="572">
        <f>K306</f>
        <v>499</v>
      </c>
      <c r="S306" s="496">
        <v>6026</v>
      </c>
      <c r="T306" s="513">
        <f t="shared" si="75"/>
        <v>3006974</v>
      </c>
      <c r="U306" s="537"/>
      <c r="V306" s="669"/>
      <c r="W306" s="496"/>
      <c r="X306" s="496"/>
      <c r="Y306" s="513"/>
    </row>
    <row r="307" spans="1:25" ht="13.5" customHeight="1">
      <c r="A307" s="564">
        <f t="shared" si="91"/>
        <v>128</v>
      </c>
      <c r="B307" s="566" t="s">
        <v>733</v>
      </c>
      <c r="C307" s="513">
        <f t="shared" si="98"/>
        <v>8898</v>
      </c>
      <c r="D307" s="680">
        <f t="shared" si="109"/>
        <v>2176.0758907913005</v>
      </c>
      <c r="E307" s="680">
        <f t="shared" si="108"/>
        <v>574.03632577510416</v>
      </c>
      <c r="F307" s="680">
        <f t="shared" si="110"/>
        <v>1218.2911846367422</v>
      </c>
      <c r="G307" s="680">
        <f t="shared" si="110"/>
        <v>221.36973623322535</v>
      </c>
      <c r="H307" s="680">
        <f t="shared" si="110"/>
        <v>2111.2910689495607</v>
      </c>
      <c r="I307" s="680">
        <f t="shared" si="110"/>
        <v>366.13199907450252</v>
      </c>
      <c r="J307" s="513">
        <f t="shared" si="103"/>
        <v>15565.196205460437</v>
      </c>
      <c r="K307" s="680">
        <v>3</v>
      </c>
      <c r="L307" s="680">
        <f t="shared" si="99"/>
        <v>5188.3987351534788</v>
      </c>
      <c r="M307" s="668">
        <v>5166</v>
      </c>
      <c r="N307" s="668"/>
      <c r="O307" s="556" t="s">
        <v>364</v>
      </c>
      <c r="P307" s="669">
        <v>40811</v>
      </c>
      <c r="Q307" s="670"/>
      <c r="R307" s="572">
        <v>2</v>
      </c>
      <c r="S307" s="496">
        <f>4449</f>
        <v>4449</v>
      </c>
      <c r="T307" s="513">
        <f t="shared" si="75"/>
        <v>8898</v>
      </c>
      <c r="U307" s="537"/>
      <c r="V307" s="669"/>
      <c r="W307" s="496"/>
      <c r="X307" s="496"/>
      <c r="Y307" s="513"/>
    </row>
    <row r="308" spans="1:25" ht="13.5" customHeight="1">
      <c r="A308" s="564">
        <f t="shared" si="91"/>
        <v>129</v>
      </c>
      <c r="B308" s="566" t="s">
        <v>724</v>
      </c>
      <c r="C308" s="513">
        <f t="shared" si="98"/>
        <v>78540</v>
      </c>
      <c r="D308" s="680">
        <f t="shared" si="109"/>
        <v>9429.6621934289687</v>
      </c>
      <c r="E308" s="680">
        <f t="shared" si="108"/>
        <v>2487.4907450254514</v>
      </c>
      <c r="F308" s="680">
        <f t="shared" si="110"/>
        <v>5279.2618000925495</v>
      </c>
      <c r="G308" s="680">
        <f t="shared" si="110"/>
        <v>959.26885701064327</v>
      </c>
      <c r="H308" s="680">
        <f t="shared" si="110"/>
        <v>9148.9279654480961</v>
      </c>
      <c r="I308" s="680">
        <f t="shared" si="110"/>
        <v>1586.5719959895109</v>
      </c>
      <c r="J308" s="513">
        <f t="shared" si="103"/>
        <v>107431.18355699521</v>
      </c>
      <c r="K308" s="680">
        <v>13</v>
      </c>
      <c r="L308" s="680">
        <f t="shared" si="99"/>
        <v>8263.9371966919389</v>
      </c>
      <c r="M308" s="668">
        <v>10189</v>
      </c>
      <c r="N308" s="668"/>
      <c r="O308" s="567" t="s">
        <v>579</v>
      </c>
      <c r="P308" s="669">
        <v>40811</v>
      </c>
      <c r="Q308" s="670"/>
      <c r="R308" s="572">
        <v>6</v>
      </c>
      <c r="S308" s="677">
        <v>13090</v>
      </c>
      <c r="T308" s="513">
        <f t="shared" si="75"/>
        <v>78540</v>
      </c>
      <c r="U308" s="537"/>
      <c r="V308" s="669"/>
      <c r="W308" s="496"/>
      <c r="X308" s="496"/>
      <c r="Y308" s="513"/>
    </row>
    <row r="309" spans="1:25" ht="13.5" customHeight="1">
      <c r="A309" s="564">
        <f t="shared" si="91"/>
        <v>130</v>
      </c>
      <c r="B309" s="566" t="s">
        <v>978</v>
      </c>
      <c r="C309" s="513">
        <f t="shared" si="98"/>
        <v>7268</v>
      </c>
      <c r="D309" s="680">
        <f t="shared" si="109"/>
        <v>725.35863026376683</v>
      </c>
      <c r="E309" s="680">
        <f t="shared" si="108"/>
        <v>191.34544192503472</v>
      </c>
      <c r="F309" s="680">
        <f t="shared" si="110"/>
        <v>406.09706154558074</v>
      </c>
      <c r="G309" s="680">
        <f t="shared" si="110"/>
        <v>73.789912077741789</v>
      </c>
      <c r="H309" s="680">
        <f t="shared" si="110"/>
        <v>703.76368964985352</v>
      </c>
      <c r="I309" s="680">
        <f t="shared" si="110"/>
        <v>122.04399969150084</v>
      </c>
      <c r="J309" s="513">
        <f t="shared" si="103"/>
        <v>9490.3987351534779</v>
      </c>
      <c r="K309" s="680">
        <v>1</v>
      </c>
      <c r="L309" s="680">
        <f t="shared" si="99"/>
        <v>9490.3987351534779</v>
      </c>
      <c r="M309" s="668">
        <v>10211</v>
      </c>
      <c r="N309" s="668"/>
      <c r="O309" s="556" t="s">
        <v>500</v>
      </c>
      <c r="P309" s="669">
        <v>40811</v>
      </c>
      <c r="Q309" s="670"/>
      <c r="R309" s="572">
        <f>K309</f>
        <v>1</v>
      </c>
      <c r="S309" s="677">
        <v>7268</v>
      </c>
      <c r="T309" s="513">
        <f t="shared" si="75"/>
        <v>7268</v>
      </c>
      <c r="U309" s="537"/>
      <c r="V309" s="669"/>
      <c r="W309" s="496"/>
      <c r="X309" s="496"/>
      <c r="Y309" s="513"/>
    </row>
    <row r="310" spans="1:25" ht="13.5" customHeight="1">
      <c r="A310" s="564">
        <f t="shared" ref="A310:A331" si="111">IF(B310&lt;&gt;"",A309+1,"")</f>
        <v>131</v>
      </c>
      <c r="B310" s="566" t="s">
        <v>949</v>
      </c>
      <c r="C310" s="513">
        <f t="shared" si="98"/>
        <v>26694</v>
      </c>
      <c r="D310" s="680">
        <f t="shared" si="109"/>
        <v>4352.151781582601</v>
      </c>
      <c r="E310" s="680">
        <f t="shared" si="108"/>
        <v>1148.0726515502083</v>
      </c>
      <c r="F310" s="680">
        <f t="shared" si="110"/>
        <v>2436.5823692734843</v>
      </c>
      <c r="G310" s="680">
        <f t="shared" si="110"/>
        <v>442.73947246645071</v>
      </c>
      <c r="H310" s="680">
        <f t="shared" si="110"/>
        <v>4222.5821378991213</v>
      </c>
      <c r="I310" s="680">
        <f t="shared" si="110"/>
        <v>732.26399814900503</v>
      </c>
      <c r="J310" s="513">
        <f t="shared" si="103"/>
        <v>40028.392410920875</v>
      </c>
      <c r="K310" s="680">
        <v>6</v>
      </c>
      <c r="L310" s="680">
        <f t="shared" si="99"/>
        <v>6671.3987351534788</v>
      </c>
      <c r="M310" s="668">
        <v>7042</v>
      </c>
      <c r="N310" s="668"/>
      <c r="O310" s="556" t="s">
        <v>364</v>
      </c>
      <c r="P310" s="669">
        <v>40811</v>
      </c>
      <c r="Q310" s="670"/>
      <c r="R310" s="572">
        <f>K310</f>
        <v>6</v>
      </c>
      <c r="S310" s="496">
        <f>4449</f>
        <v>4449</v>
      </c>
      <c r="T310" s="513">
        <f t="shared" si="75"/>
        <v>26694</v>
      </c>
      <c r="U310" s="537"/>
      <c r="V310" s="669"/>
      <c r="W310" s="496"/>
      <c r="X310" s="496"/>
      <c r="Y310" s="513"/>
    </row>
    <row r="311" spans="1:25" ht="13.5" customHeight="1">
      <c r="A311" s="564">
        <f t="shared" si="111"/>
        <v>132</v>
      </c>
      <c r="B311" s="566" t="s">
        <v>947</v>
      </c>
      <c r="C311" s="513">
        <f t="shared" si="98"/>
        <v>8898</v>
      </c>
      <c r="D311" s="680">
        <f t="shared" si="109"/>
        <v>1450.7172605275337</v>
      </c>
      <c r="E311" s="680">
        <f t="shared" si="108"/>
        <v>382.69088385006944</v>
      </c>
      <c r="F311" s="680">
        <f t="shared" si="110"/>
        <v>812.19412309116149</v>
      </c>
      <c r="G311" s="680">
        <f t="shared" si="110"/>
        <v>147.57982415548358</v>
      </c>
      <c r="H311" s="680">
        <f t="shared" si="110"/>
        <v>1407.527379299707</v>
      </c>
      <c r="I311" s="680">
        <f t="shared" si="110"/>
        <v>244.08799938300169</v>
      </c>
      <c r="J311" s="513">
        <f t="shared" si="103"/>
        <v>13342.797470306958</v>
      </c>
      <c r="K311" s="680">
        <v>2</v>
      </c>
      <c r="L311" s="680">
        <f t="shared" si="99"/>
        <v>6671.3987351534788</v>
      </c>
      <c r="M311" s="668">
        <v>6510</v>
      </c>
      <c r="N311" s="668"/>
      <c r="O311" s="556" t="s">
        <v>364</v>
      </c>
      <c r="P311" s="669">
        <v>40811</v>
      </c>
      <c r="Q311" s="670"/>
      <c r="R311" s="572">
        <f>K311</f>
        <v>2</v>
      </c>
      <c r="S311" s="496">
        <f>4449</f>
        <v>4449</v>
      </c>
      <c r="T311" s="513">
        <f t="shared" si="75"/>
        <v>8898</v>
      </c>
      <c r="U311" s="537"/>
      <c r="V311" s="669"/>
      <c r="W311" s="496"/>
      <c r="X311" s="496"/>
      <c r="Y311" s="513"/>
    </row>
    <row r="312" spans="1:25" ht="13.5" customHeight="1">
      <c r="A312" s="564">
        <f t="shared" si="111"/>
        <v>133</v>
      </c>
      <c r="B312" s="566" t="s">
        <v>979</v>
      </c>
      <c r="C312" s="513">
        <f t="shared" si="98"/>
        <v>8898</v>
      </c>
      <c r="D312" s="680">
        <f t="shared" si="109"/>
        <v>1450.7172605275337</v>
      </c>
      <c r="E312" s="680">
        <f t="shared" si="108"/>
        <v>382.69088385006944</v>
      </c>
      <c r="F312" s="680">
        <f t="shared" si="110"/>
        <v>812.19412309116149</v>
      </c>
      <c r="G312" s="680">
        <f t="shared" si="110"/>
        <v>147.57982415548358</v>
      </c>
      <c r="H312" s="680">
        <f t="shared" si="110"/>
        <v>1407.527379299707</v>
      </c>
      <c r="I312" s="680">
        <f t="shared" si="110"/>
        <v>244.08799938300169</v>
      </c>
      <c r="J312" s="513">
        <f t="shared" si="103"/>
        <v>13342.797470306958</v>
      </c>
      <c r="K312" s="680">
        <v>2</v>
      </c>
      <c r="L312" s="680">
        <f t="shared" si="99"/>
        <v>6671.3987351534788</v>
      </c>
      <c r="M312" s="668">
        <v>7229</v>
      </c>
      <c r="N312" s="668"/>
      <c r="O312" s="556" t="s">
        <v>364</v>
      </c>
      <c r="P312" s="669">
        <v>40811</v>
      </c>
      <c r="Q312" s="670"/>
      <c r="R312" s="572">
        <f>K312</f>
        <v>2</v>
      </c>
      <c r="S312" s="496">
        <f>4449</f>
        <v>4449</v>
      </c>
      <c r="T312" s="513">
        <f t="shared" si="75"/>
        <v>8898</v>
      </c>
      <c r="U312" s="537"/>
      <c r="V312" s="669"/>
      <c r="W312" s="496"/>
      <c r="X312" s="496"/>
      <c r="Y312" s="513"/>
    </row>
    <row r="313" spans="1:25" ht="13.5" customHeight="1">
      <c r="A313" s="564">
        <f t="shared" si="111"/>
        <v>134</v>
      </c>
      <c r="B313" s="566" t="s">
        <v>731</v>
      </c>
      <c r="C313" s="513">
        <f t="shared" si="98"/>
        <v>40433</v>
      </c>
      <c r="D313" s="680">
        <f t="shared" si="109"/>
        <v>3626.7931513188341</v>
      </c>
      <c r="E313" s="680">
        <f t="shared" si="108"/>
        <v>956.7272096251736</v>
      </c>
      <c r="F313" s="680">
        <f t="shared" si="110"/>
        <v>2030.4853077279038</v>
      </c>
      <c r="G313" s="680">
        <f t="shared" si="110"/>
        <v>368.94956038870896</v>
      </c>
      <c r="H313" s="680">
        <f t="shared" si="110"/>
        <v>3518.8184482492675</v>
      </c>
      <c r="I313" s="680">
        <f t="shared" si="110"/>
        <v>610.21999845750418</v>
      </c>
      <c r="J313" s="513">
        <f t="shared" si="103"/>
        <v>51544.9936757674</v>
      </c>
      <c r="K313" s="680">
        <v>5</v>
      </c>
      <c r="L313" s="680">
        <f t="shared" si="99"/>
        <v>10308.99873515348</v>
      </c>
      <c r="M313" s="668">
        <v>12109</v>
      </c>
      <c r="N313" s="668"/>
      <c r="O313" s="556" t="s">
        <v>465</v>
      </c>
      <c r="P313" s="669">
        <v>40812</v>
      </c>
      <c r="Q313" s="670"/>
      <c r="R313" s="572">
        <f>K313/2</f>
        <v>2.5</v>
      </c>
      <c r="S313" s="496">
        <v>16173</v>
      </c>
      <c r="T313" s="513">
        <f t="shared" si="75"/>
        <v>40433</v>
      </c>
      <c r="U313" s="537"/>
      <c r="V313" s="669"/>
      <c r="W313" s="496"/>
      <c r="X313" s="496"/>
      <c r="Y313" s="513"/>
    </row>
    <row r="314" spans="1:25" ht="13.5" customHeight="1">
      <c r="A314" s="564">
        <f t="shared" si="111"/>
        <v>135</v>
      </c>
      <c r="B314" s="566" t="s">
        <v>980</v>
      </c>
      <c r="C314" s="513">
        <f t="shared" si="98"/>
        <v>8152</v>
      </c>
      <c r="D314" s="680">
        <f t="shared" si="109"/>
        <v>725.35863026376683</v>
      </c>
      <c r="E314" s="680">
        <f t="shared" si="108"/>
        <v>191.34544192503472</v>
      </c>
      <c r="F314" s="680">
        <f t="shared" si="110"/>
        <v>406.09706154558074</v>
      </c>
      <c r="G314" s="680">
        <f t="shared" si="110"/>
        <v>73.789912077741789</v>
      </c>
      <c r="H314" s="680">
        <f t="shared" si="110"/>
        <v>703.76368964985352</v>
      </c>
      <c r="I314" s="680">
        <f t="shared" si="110"/>
        <v>122.04399969150084</v>
      </c>
      <c r="J314" s="513">
        <f t="shared" si="103"/>
        <v>10374.398735153478</v>
      </c>
      <c r="K314" s="680">
        <v>1</v>
      </c>
      <c r="L314" s="680">
        <f t="shared" si="99"/>
        <v>10374.398735153478</v>
      </c>
      <c r="M314" s="668">
        <v>11245</v>
      </c>
      <c r="N314" s="668"/>
      <c r="O314" s="567" t="s">
        <v>578</v>
      </c>
      <c r="P314" s="669">
        <v>40812</v>
      </c>
      <c r="Q314" s="670"/>
      <c r="R314" s="572">
        <f>K314/2</f>
        <v>0.5</v>
      </c>
      <c r="S314" s="496">
        <v>16303</v>
      </c>
      <c r="T314" s="513">
        <f t="shared" si="75"/>
        <v>8152</v>
      </c>
      <c r="U314" s="537"/>
      <c r="V314" s="669"/>
      <c r="W314" s="496"/>
      <c r="X314" s="496"/>
      <c r="Y314" s="513"/>
    </row>
    <row r="315" spans="1:25" ht="13.5" customHeight="1">
      <c r="A315" s="564">
        <f t="shared" si="111"/>
        <v>136</v>
      </c>
      <c r="B315" s="566" t="s">
        <v>958</v>
      </c>
      <c r="C315" s="513">
        <f t="shared" si="98"/>
        <v>10603</v>
      </c>
      <c r="D315" s="680">
        <f t="shared" si="109"/>
        <v>725.35863026376683</v>
      </c>
      <c r="E315" s="680">
        <f t="shared" si="108"/>
        <v>191.34544192503472</v>
      </c>
      <c r="F315" s="680">
        <f t="shared" si="110"/>
        <v>406.09706154558074</v>
      </c>
      <c r="G315" s="680">
        <f t="shared" si="110"/>
        <v>73.789912077741789</v>
      </c>
      <c r="H315" s="680">
        <f t="shared" si="110"/>
        <v>703.76368964985352</v>
      </c>
      <c r="I315" s="680">
        <f t="shared" si="110"/>
        <v>122.04399969150084</v>
      </c>
      <c r="J315" s="513">
        <f t="shared" si="103"/>
        <v>12825.398735153478</v>
      </c>
      <c r="K315" s="680">
        <v>1</v>
      </c>
      <c r="L315" s="680">
        <f t="shared" si="99"/>
        <v>12825.398735153478</v>
      </c>
      <c r="M315" s="668">
        <v>13027</v>
      </c>
      <c r="N315" s="668"/>
      <c r="O315" s="556" t="s">
        <v>496</v>
      </c>
      <c r="P315" s="669">
        <v>40812</v>
      </c>
      <c r="Q315" s="670"/>
      <c r="R315" s="572">
        <f>K315</f>
        <v>1</v>
      </c>
      <c r="S315" s="496">
        <v>10603</v>
      </c>
      <c r="T315" s="513">
        <f t="shared" si="75"/>
        <v>10603</v>
      </c>
      <c r="U315" s="537"/>
      <c r="V315" s="669"/>
      <c r="W315" s="496"/>
      <c r="X315" s="496"/>
      <c r="Y315" s="513"/>
    </row>
    <row r="316" spans="1:25" ht="13.5" customHeight="1">
      <c r="A316" s="564">
        <f t="shared" si="111"/>
        <v>137</v>
      </c>
      <c r="B316" s="566" t="s">
        <v>951</v>
      </c>
      <c r="C316" s="513">
        <f t="shared" si="98"/>
        <v>18078</v>
      </c>
      <c r="D316" s="680">
        <f t="shared" si="109"/>
        <v>2176.0758907913005</v>
      </c>
      <c r="E316" s="680">
        <f t="shared" si="108"/>
        <v>574.03632577510416</v>
      </c>
      <c r="F316" s="680">
        <f t="shared" si="110"/>
        <v>1218.2911846367422</v>
      </c>
      <c r="G316" s="680">
        <f t="shared" si="110"/>
        <v>221.36973623322535</v>
      </c>
      <c r="H316" s="680">
        <f t="shared" si="110"/>
        <v>2111.2910689495607</v>
      </c>
      <c r="I316" s="680">
        <f t="shared" si="110"/>
        <v>366.13199907450252</v>
      </c>
      <c r="J316" s="513">
        <f t="shared" si="103"/>
        <v>24745.196205460437</v>
      </c>
      <c r="K316" s="680">
        <v>3</v>
      </c>
      <c r="L316" s="680">
        <f t="shared" si="99"/>
        <v>8248.3987351534797</v>
      </c>
      <c r="M316" s="668">
        <v>9960</v>
      </c>
      <c r="N316" s="668"/>
      <c r="O316" s="566" t="s">
        <v>456</v>
      </c>
      <c r="P316" s="669">
        <v>40812</v>
      </c>
      <c r="Q316" s="670"/>
      <c r="R316" s="572">
        <f t="shared" ref="R316:R317" si="112">K316</f>
        <v>3</v>
      </c>
      <c r="S316" s="496">
        <v>6026</v>
      </c>
      <c r="T316" s="513">
        <f t="shared" si="75"/>
        <v>18078</v>
      </c>
      <c r="U316" s="537"/>
      <c r="V316" s="669"/>
      <c r="W316" s="496"/>
      <c r="X316" s="496"/>
      <c r="Y316" s="513"/>
    </row>
    <row r="317" spans="1:25" ht="13.5" customHeight="1">
      <c r="A317" s="564">
        <f t="shared" si="111"/>
        <v>138</v>
      </c>
      <c r="B317" s="566" t="s">
        <v>721</v>
      </c>
      <c r="C317" s="513">
        <f t="shared" si="98"/>
        <v>18078</v>
      </c>
      <c r="D317" s="680">
        <f t="shared" si="109"/>
        <v>2176.0758907913005</v>
      </c>
      <c r="E317" s="680">
        <f t="shared" si="108"/>
        <v>574.03632577510416</v>
      </c>
      <c r="F317" s="680">
        <f t="shared" si="110"/>
        <v>1218.2911846367422</v>
      </c>
      <c r="G317" s="680">
        <f t="shared" si="110"/>
        <v>221.36973623322535</v>
      </c>
      <c r="H317" s="680">
        <f t="shared" si="110"/>
        <v>2111.2910689495607</v>
      </c>
      <c r="I317" s="680">
        <f t="shared" si="110"/>
        <v>366.13199907450252</v>
      </c>
      <c r="J317" s="513">
        <f t="shared" ref="J317:J331" si="113">SUM(C317:I317)</f>
        <v>24745.196205460437</v>
      </c>
      <c r="K317" s="680">
        <v>3</v>
      </c>
      <c r="L317" s="680">
        <f t="shared" si="99"/>
        <v>8248.3987351534797</v>
      </c>
      <c r="M317" s="668">
        <v>9202</v>
      </c>
      <c r="N317" s="668"/>
      <c r="O317" s="566" t="s">
        <v>456</v>
      </c>
      <c r="P317" s="669">
        <v>40812</v>
      </c>
      <c r="Q317" s="670"/>
      <c r="R317" s="572">
        <f t="shared" si="112"/>
        <v>3</v>
      </c>
      <c r="S317" s="496">
        <v>6026</v>
      </c>
      <c r="T317" s="513">
        <f t="shared" si="75"/>
        <v>18078</v>
      </c>
      <c r="U317" s="537"/>
      <c r="V317" s="669"/>
      <c r="W317" s="496"/>
      <c r="X317" s="496"/>
      <c r="Y317" s="513"/>
    </row>
    <row r="318" spans="1:25" ht="13.5" customHeight="1">
      <c r="A318" s="564">
        <f t="shared" si="111"/>
        <v>139</v>
      </c>
      <c r="B318" s="566" t="s">
        <v>981</v>
      </c>
      <c r="C318" s="513">
        <f t="shared" si="98"/>
        <v>4449</v>
      </c>
      <c r="D318" s="680">
        <f t="shared" si="109"/>
        <v>725.35863026376683</v>
      </c>
      <c r="E318" s="680">
        <f t="shared" si="108"/>
        <v>191.34544192503472</v>
      </c>
      <c r="F318" s="680">
        <f t="shared" si="110"/>
        <v>406.09706154558074</v>
      </c>
      <c r="G318" s="680">
        <f t="shared" si="110"/>
        <v>73.789912077741789</v>
      </c>
      <c r="H318" s="680">
        <f t="shared" si="110"/>
        <v>703.76368964985352</v>
      </c>
      <c r="I318" s="680">
        <f t="shared" si="110"/>
        <v>122.04399969150084</v>
      </c>
      <c r="J318" s="513">
        <f t="shared" si="113"/>
        <v>6671.3987351534788</v>
      </c>
      <c r="K318" s="680">
        <v>1</v>
      </c>
      <c r="L318" s="680">
        <f t="shared" si="99"/>
        <v>6671.3987351534788</v>
      </c>
      <c r="M318" s="668">
        <v>7302</v>
      </c>
      <c r="N318" s="668"/>
      <c r="O318" s="556" t="s">
        <v>364</v>
      </c>
      <c r="P318" s="669">
        <v>40812</v>
      </c>
      <c r="Q318" s="670"/>
      <c r="R318" s="572">
        <f>K318</f>
        <v>1</v>
      </c>
      <c r="S318" s="496">
        <f>4449</f>
        <v>4449</v>
      </c>
      <c r="T318" s="513">
        <f t="shared" si="75"/>
        <v>4449</v>
      </c>
      <c r="U318" s="537"/>
      <c r="V318" s="669"/>
      <c r="W318" s="496"/>
      <c r="X318" s="496"/>
      <c r="Y318" s="513"/>
    </row>
    <row r="319" spans="1:25" ht="13.5" customHeight="1">
      <c r="A319" s="564">
        <f t="shared" si="111"/>
        <v>140</v>
      </c>
      <c r="B319" s="566" t="s">
        <v>725</v>
      </c>
      <c r="C319" s="513">
        <f t="shared" si="98"/>
        <v>8087</v>
      </c>
      <c r="D319" s="680">
        <f t="shared" si="109"/>
        <v>725.35863026376683</v>
      </c>
      <c r="E319" s="680">
        <f t="shared" si="108"/>
        <v>191.34544192503472</v>
      </c>
      <c r="F319" s="680">
        <f t="shared" si="110"/>
        <v>406.09706154558074</v>
      </c>
      <c r="G319" s="680">
        <f t="shared" si="110"/>
        <v>73.789912077741789</v>
      </c>
      <c r="H319" s="680">
        <f t="shared" si="110"/>
        <v>703.76368964985352</v>
      </c>
      <c r="I319" s="680">
        <f t="shared" si="110"/>
        <v>122.04399969150084</v>
      </c>
      <c r="J319" s="513">
        <f t="shared" si="113"/>
        <v>10309.398735153478</v>
      </c>
      <c r="K319" s="680">
        <v>1</v>
      </c>
      <c r="L319" s="680">
        <f t="shared" si="99"/>
        <v>10309.398735153478</v>
      </c>
      <c r="M319" s="668">
        <v>12495</v>
      </c>
      <c r="N319" s="668"/>
      <c r="O319" s="556" t="s">
        <v>465</v>
      </c>
      <c r="P319" s="669">
        <v>40812</v>
      </c>
      <c r="Q319" s="670"/>
      <c r="R319" s="572">
        <f>K319/2</f>
        <v>0.5</v>
      </c>
      <c r="S319" s="496">
        <v>16173</v>
      </c>
      <c r="T319" s="513">
        <f t="shared" si="75"/>
        <v>8087</v>
      </c>
      <c r="U319" s="537"/>
      <c r="V319" s="669"/>
      <c r="W319" s="496"/>
      <c r="X319" s="496"/>
      <c r="Y319" s="513"/>
    </row>
    <row r="320" spans="1:25" ht="13.5" customHeight="1">
      <c r="A320" s="564">
        <f t="shared" si="111"/>
        <v>141</v>
      </c>
      <c r="B320" s="566" t="s">
        <v>734</v>
      </c>
      <c r="C320" s="513">
        <f t="shared" si="98"/>
        <v>22245</v>
      </c>
      <c r="D320" s="680">
        <f t="shared" si="109"/>
        <v>3626.7931513188341</v>
      </c>
      <c r="E320" s="680">
        <f t="shared" si="108"/>
        <v>956.7272096251736</v>
      </c>
      <c r="F320" s="680">
        <f t="shared" si="110"/>
        <v>2030.4853077279038</v>
      </c>
      <c r="G320" s="680">
        <f t="shared" si="110"/>
        <v>368.94956038870896</v>
      </c>
      <c r="H320" s="680">
        <f t="shared" si="110"/>
        <v>3518.8184482492675</v>
      </c>
      <c r="I320" s="680">
        <f t="shared" si="110"/>
        <v>610.21999845750418</v>
      </c>
      <c r="J320" s="513">
        <f t="shared" si="113"/>
        <v>33356.993675767393</v>
      </c>
      <c r="K320" s="680">
        <v>5</v>
      </c>
      <c r="L320" s="680">
        <f t="shared" si="99"/>
        <v>6671.3987351534788</v>
      </c>
      <c r="M320" s="668">
        <v>7295</v>
      </c>
      <c r="N320" s="668"/>
      <c r="O320" s="556" t="s">
        <v>364</v>
      </c>
      <c r="P320" s="669">
        <v>40812</v>
      </c>
      <c r="Q320" s="670"/>
      <c r="R320" s="572">
        <f>K320</f>
        <v>5</v>
      </c>
      <c r="S320" s="496">
        <f>4449</f>
        <v>4449</v>
      </c>
      <c r="T320" s="513">
        <f t="shared" si="75"/>
        <v>22245</v>
      </c>
      <c r="U320" s="537"/>
      <c r="V320" s="669"/>
      <c r="W320" s="496"/>
      <c r="X320" s="496"/>
      <c r="Y320" s="513"/>
    </row>
    <row r="321" spans="1:25" ht="13.5" customHeight="1">
      <c r="A321" s="564">
        <f t="shared" si="111"/>
        <v>142</v>
      </c>
      <c r="B321" s="566" t="s">
        <v>982</v>
      </c>
      <c r="C321" s="513">
        <f t="shared" si="98"/>
        <v>3924480</v>
      </c>
      <c r="D321" s="680">
        <f t="shared" si="109"/>
        <v>275636.27950023138</v>
      </c>
      <c r="E321" s="680">
        <f t="shared" si="108"/>
        <v>72711.267931513197</v>
      </c>
      <c r="F321" s="680">
        <f t="shared" si="110"/>
        <v>154316.88338732067</v>
      </c>
      <c r="G321" s="680">
        <f t="shared" si="110"/>
        <v>28040.166589541881</v>
      </c>
      <c r="H321" s="680">
        <f t="shared" si="110"/>
        <v>267430.20206694433</v>
      </c>
      <c r="I321" s="680">
        <f t="shared" si="110"/>
        <v>46376.719882770318</v>
      </c>
      <c r="J321" s="513">
        <f t="shared" si="113"/>
        <v>4768991.519358322</v>
      </c>
      <c r="K321" s="680">
        <v>380</v>
      </c>
      <c r="L321" s="680">
        <f t="shared" si="99"/>
        <v>12549.9776825219</v>
      </c>
      <c r="M321" s="668">
        <v>14892</v>
      </c>
      <c r="N321" s="668"/>
      <c r="O321" s="567" t="s">
        <v>597</v>
      </c>
      <c r="P321" s="669">
        <v>40813</v>
      </c>
      <c r="Q321" s="670"/>
      <c r="R321" s="572">
        <v>192</v>
      </c>
      <c r="S321" s="496">
        <v>20440</v>
      </c>
      <c r="T321" s="513">
        <f t="shared" si="75"/>
        <v>3924480</v>
      </c>
      <c r="U321" s="537"/>
      <c r="V321" s="669"/>
      <c r="W321" s="496"/>
      <c r="X321" s="496"/>
      <c r="Y321" s="513"/>
    </row>
    <row r="322" spans="1:25" ht="13.5" customHeight="1">
      <c r="A322" s="564">
        <f t="shared" si="111"/>
        <v>143</v>
      </c>
      <c r="B322" s="566" t="s">
        <v>983</v>
      </c>
      <c r="C322" s="513">
        <f t="shared" si="98"/>
        <v>1227438</v>
      </c>
      <c r="D322" s="680">
        <f t="shared" si="109"/>
        <v>90669.828782970857</v>
      </c>
      <c r="E322" s="680">
        <f t="shared" si="108"/>
        <v>23918.180240629339</v>
      </c>
      <c r="F322" s="680">
        <f t="shared" si="110"/>
        <v>50762.132693197593</v>
      </c>
      <c r="G322" s="680">
        <f t="shared" si="110"/>
        <v>9223.7390097177231</v>
      </c>
      <c r="H322" s="680">
        <f t="shared" si="110"/>
        <v>87970.461206231688</v>
      </c>
      <c r="I322" s="680">
        <f t="shared" si="110"/>
        <v>15255.499961437605</v>
      </c>
      <c r="J322" s="513">
        <f t="shared" si="113"/>
        <v>1505237.8418941847</v>
      </c>
      <c r="K322" s="680">
        <v>125</v>
      </c>
      <c r="L322" s="680">
        <f t="shared" si="99"/>
        <v>12041.902735153477</v>
      </c>
      <c r="M322" s="668">
        <v>13169</v>
      </c>
      <c r="N322" s="668"/>
      <c r="O322" s="556" t="s">
        <v>559</v>
      </c>
      <c r="P322" s="669">
        <v>40813</v>
      </c>
      <c r="Q322" s="670"/>
      <c r="R322" s="572">
        <f t="shared" ref="R322" si="114">K322/2</f>
        <v>62.5</v>
      </c>
      <c r="S322" s="496">
        <v>19639</v>
      </c>
      <c r="T322" s="513">
        <f t="shared" si="75"/>
        <v>1227438</v>
      </c>
      <c r="U322" s="537"/>
      <c r="V322" s="669"/>
      <c r="W322" s="496"/>
      <c r="X322" s="496"/>
      <c r="Y322" s="513"/>
    </row>
    <row r="323" spans="1:25" ht="13.5" customHeight="1">
      <c r="A323" s="564">
        <f t="shared" si="111"/>
        <v>144</v>
      </c>
      <c r="B323" s="566" t="s">
        <v>984</v>
      </c>
      <c r="C323" s="513">
        <f t="shared" si="98"/>
        <v>6904800</v>
      </c>
      <c r="D323" s="680">
        <f t="shared" si="109"/>
        <v>417081.21240166592</v>
      </c>
      <c r="E323" s="680">
        <f t="shared" si="108"/>
        <v>110023.62910689496</v>
      </c>
      <c r="F323" s="680">
        <f t="shared" si="110"/>
        <v>233505.81038870892</v>
      </c>
      <c r="G323" s="680">
        <f t="shared" si="110"/>
        <v>42429.199444701531</v>
      </c>
      <c r="H323" s="680">
        <f t="shared" si="110"/>
        <v>404664.12154866575</v>
      </c>
      <c r="I323" s="680">
        <f t="shared" si="110"/>
        <v>70175.299822612986</v>
      </c>
      <c r="J323" s="513">
        <f t="shared" si="113"/>
        <v>8182679.2727132495</v>
      </c>
      <c r="K323" s="680">
        <v>575</v>
      </c>
      <c r="L323" s="680">
        <f t="shared" si="99"/>
        <v>14230.746561240434</v>
      </c>
      <c r="M323" s="668">
        <v>17333</v>
      </c>
      <c r="N323" s="668"/>
      <c r="O323" s="567" t="s">
        <v>603</v>
      </c>
      <c r="P323" s="669">
        <v>40813</v>
      </c>
      <c r="Q323" s="670"/>
      <c r="R323" s="572">
        <v>288</v>
      </c>
      <c r="S323" s="496">
        <v>23975</v>
      </c>
      <c r="T323" s="513">
        <f t="shared" si="75"/>
        <v>6904800</v>
      </c>
      <c r="U323" s="537"/>
      <c r="V323" s="669"/>
      <c r="W323" s="496"/>
      <c r="X323" s="496"/>
      <c r="Y323" s="513"/>
    </row>
    <row r="324" spans="1:25" ht="13.5" customHeight="1">
      <c r="A324" s="564">
        <f>IF(B324&lt;&gt;"",A323+1,"")</f>
        <v>145</v>
      </c>
      <c r="B324" s="566" t="s">
        <v>984</v>
      </c>
      <c r="C324" s="513">
        <f t="shared" si="98"/>
        <v>7192500</v>
      </c>
      <c r="D324" s="680">
        <f t="shared" si="109"/>
        <v>435215.17815826007</v>
      </c>
      <c r="E324" s="680">
        <f t="shared" si="108"/>
        <v>114807.26515502084</v>
      </c>
      <c r="F324" s="680">
        <f t="shared" si="110"/>
        <v>243658.23692734845</v>
      </c>
      <c r="G324" s="680">
        <f t="shared" si="110"/>
        <v>44273.947246645075</v>
      </c>
      <c r="H324" s="680">
        <f t="shared" si="110"/>
        <v>422258.21378991212</v>
      </c>
      <c r="I324" s="680">
        <f t="shared" si="110"/>
        <v>73226.399814900506</v>
      </c>
      <c r="J324" s="513">
        <f t="shared" si="113"/>
        <v>8525939.2410920858</v>
      </c>
      <c r="K324" s="680">
        <v>600</v>
      </c>
      <c r="L324" s="680">
        <f t="shared" si="99"/>
        <v>14209.898735153476</v>
      </c>
      <c r="M324" s="668">
        <v>17333</v>
      </c>
      <c r="N324" s="668"/>
      <c r="O324" s="567" t="s">
        <v>603</v>
      </c>
      <c r="P324" s="669">
        <v>40813</v>
      </c>
      <c r="Q324" s="670"/>
      <c r="R324" s="572">
        <f>K324/2</f>
        <v>300</v>
      </c>
      <c r="S324" s="496">
        <v>23975</v>
      </c>
      <c r="T324" s="513">
        <f t="shared" si="75"/>
        <v>7192500</v>
      </c>
      <c r="U324" s="537"/>
      <c r="V324" s="669"/>
      <c r="W324" s="496"/>
      <c r="X324" s="496"/>
      <c r="Y324" s="513"/>
    </row>
    <row r="325" spans="1:25" ht="13.5" customHeight="1">
      <c r="A325" s="564">
        <f>IF(B325&lt;&gt;"",A324+1,"")</f>
        <v>146</v>
      </c>
      <c r="B325" s="566" t="s">
        <v>983</v>
      </c>
      <c r="C325" s="513">
        <f t="shared" si="98"/>
        <v>1227437</v>
      </c>
      <c r="D325" s="680">
        <f t="shared" si="109"/>
        <v>90669.828782970857</v>
      </c>
      <c r="E325" s="680">
        <f t="shared" si="108"/>
        <v>23918.180240629339</v>
      </c>
      <c r="F325" s="680">
        <f t="shared" si="110"/>
        <v>50762.132693197593</v>
      </c>
      <c r="G325" s="680">
        <f t="shared" si="110"/>
        <v>9223.7390097177231</v>
      </c>
      <c r="H325" s="680">
        <f t="shared" si="110"/>
        <v>87970.461206231688</v>
      </c>
      <c r="I325" s="680">
        <f t="shared" si="110"/>
        <v>15255.499961437605</v>
      </c>
      <c r="J325" s="513">
        <f t="shared" si="113"/>
        <v>1505236.8418941847</v>
      </c>
      <c r="K325" s="680">
        <v>125</v>
      </c>
      <c r="L325" s="680">
        <f t="shared" si="99"/>
        <v>12041.894735153477</v>
      </c>
      <c r="M325" s="668">
        <v>13169</v>
      </c>
      <c r="N325" s="668"/>
      <c r="O325" s="556" t="s">
        <v>559</v>
      </c>
      <c r="P325" s="669">
        <v>40813</v>
      </c>
      <c r="Q325" s="670"/>
      <c r="R325" s="572">
        <f t="shared" ref="R325" si="115">K325/2</f>
        <v>62.5</v>
      </c>
      <c r="S325" s="496">
        <v>19638.991999999998</v>
      </c>
      <c r="T325" s="513">
        <f t="shared" si="75"/>
        <v>1227437</v>
      </c>
      <c r="U325" s="537"/>
      <c r="V325" s="669"/>
      <c r="W325" s="496"/>
      <c r="X325" s="496"/>
      <c r="Y325" s="513"/>
    </row>
    <row r="326" spans="1:25" ht="13.5" customHeight="1">
      <c r="A326" s="564">
        <f t="shared" si="111"/>
        <v>147</v>
      </c>
      <c r="B326" s="566" t="s">
        <v>985</v>
      </c>
      <c r="C326" s="513">
        <f t="shared" si="98"/>
        <v>1776600</v>
      </c>
      <c r="D326" s="680">
        <f t="shared" si="109"/>
        <v>108803.79453956502</v>
      </c>
      <c r="E326" s="680">
        <f t="shared" si="108"/>
        <v>28701.81628875521</v>
      </c>
      <c r="F326" s="680">
        <f t="shared" si="110"/>
        <v>60914.559231837113</v>
      </c>
      <c r="G326" s="680">
        <f t="shared" si="110"/>
        <v>11068.486811661269</v>
      </c>
      <c r="H326" s="680">
        <f t="shared" si="110"/>
        <v>105564.55344747803</v>
      </c>
      <c r="I326" s="680">
        <f t="shared" si="110"/>
        <v>18306.599953725126</v>
      </c>
      <c r="J326" s="513">
        <f t="shared" si="113"/>
        <v>2109959.8102730215</v>
      </c>
      <c r="K326" s="680">
        <v>150</v>
      </c>
      <c r="L326" s="680">
        <f t="shared" si="99"/>
        <v>14066.398735153476</v>
      </c>
      <c r="M326" s="668">
        <v>15453</v>
      </c>
      <c r="N326" s="668"/>
      <c r="O326" s="567" t="s">
        <v>601</v>
      </c>
      <c r="P326" s="669">
        <v>40813</v>
      </c>
      <c r="Q326" s="670"/>
      <c r="R326" s="572">
        <f>K326/2</f>
        <v>75</v>
      </c>
      <c r="S326" s="496">
        <v>23688</v>
      </c>
      <c r="T326" s="513">
        <f t="shared" si="75"/>
        <v>1776600</v>
      </c>
      <c r="U326" s="537"/>
      <c r="V326" s="669"/>
      <c r="W326" s="496"/>
      <c r="X326" s="496"/>
      <c r="Y326" s="513"/>
    </row>
    <row r="327" spans="1:25" ht="13.5" customHeight="1">
      <c r="A327" s="564">
        <f t="shared" si="111"/>
        <v>148</v>
      </c>
      <c r="B327" s="566" t="s">
        <v>986</v>
      </c>
      <c r="C327" s="513">
        <f t="shared" si="98"/>
        <v>690525</v>
      </c>
      <c r="D327" s="680">
        <f t="shared" si="109"/>
        <v>65282.276723739014</v>
      </c>
      <c r="E327" s="680">
        <f t="shared" si="108"/>
        <v>17221.089773253123</v>
      </c>
      <c r="F327" s="680">
        <f t="shared" si="110"/>
        <v>36548.735539102265</v>
      </c>
      <c r="G327" s="680">
        <f t="shared" si="110"/>
        <v>6641.0920869967613</v>
      </c>
      <c r="H327" s="680">
        <f t="shared" si="110"/>
        <v>63338.732068486817</v>
      </c>
      <c r="I327" s="680">
        <f t="shared" si="110"/>
        <v>10983.959972235076</v>
      </c>
      <c r="J327" s="513">
        <f t="shared" si="113"/>
        <v>890540.88616381295</v>
      </c>
      <c r="K327" s="680">
        <v>90</v>
      </c>
      <c r="L327" s="680">
        <f t="shared" si="99"/>
        <v>9894.8987351534779</v>
      </c>
      <c r="M327" s="668">
        <v>11613</v>
      </c>
      <c r="N327" s="668"/>
      <c r="O327" s="556" t="s">
        <v>532</v>
      </c>
      <c r="P327" s="669">
        <v>40813</v>
      </c>
      <c r="Q327" s="670"/>
      <c r="R327" s="572">
        <f t="shared" ref="R327" si="116">K327/2</f>
        <v>45</v>
      </c>
      <c r="S327" s="496">
        <v>15345</v>
      </c>
      <c r="T327" s="513">
        <f t="shared" si="75"/>
        <v>690525</v>
      </c>
      <c r="U327" s="537"/>
      <c r="V327" s="669"/>
      <c r="W327" s="496"/>
      <c r="X327" s="496"/>
      <c r="Y327" s="513"/>
    </row>
    <row r="328" spans="1:25" ht="13.5" customHeight="1">
      <c r="A328" s="564">
        <f t="shared" si="111"/>
        <v>149</v>
      </c>
      <c r="B328" s="566" t="s">
        <v>986</v>
      </c>
      <c r="C328" s="513">
        <f t="shared" si="98"/>
        <v>1678700</v>
      </c>
      <c r="D328" s="680">
        <f t="shared" si="109"/>
        <v>145071.72605275337</v>
      </c>
      <c r="E328" s="680">
        <f t="shared" si="108"/>
        <v>38269.088385006944</v>
      </c>
      <c r="F328" s="680">
        <f t="shared" si="110"/>
        <v>81219.412309116145</v>
      </c>
      <c r="G328" s="680">
        <f t="shared" si="110"/>
        <v>14757.982415548358</v>
      </c>
      <c r="H328" s="680">
        <f t="shared" si="110"/>
        <v>140752.7379299707</v>
      </c>
      <c r="I328" s="680">
        <f t="shared" si="110"/>
        <v>24408.79993830017</v>
      </c>
      <c r="J328" s="513">
        <f t="shared" si="113"/>
        <v>2123179.7470306954</v>
      </c>
      <c r="K328" s="680">
        <v>200</v>
      </c>
      <c r="L328" s="680">
        <f t="shared" si="99"/>
        <v>10615.898735153478</v>
      </c>
      <c r="M328" s="668">
        <v>11613</v>
      </c>
      <c r="N328" s="668"/>
      <c r="O328" s="556" t="s">
        <v>558</v>
      </c>
      <c r="P328" s="669">
        <v>40813</v>
      </c>
      <c r="Q328" s="670"/>
      <c r="R328" s="572">
        <v>100</v>
      </c>
      <c r="S328" s="496">
        <v>16787</v>
      </c>
      <c r="T328" s="513">
        <f t="shared" si="75"/>
        <v>1678700</v>
      </c>
      <c r="U328" s="537"/>
      <c r="V328" s="669"/>
      <c r="W328" s="496"/>
      <c r="X328" s="496"/>
      <c r="Y328" s="513"/>
    </row>
    <row r="329" spans="1:25" ht="13.5" customHeight="1">
      <c r="A329" s="564">
        <f t="shared" si="111"/>
        <v>150</v>
      </c>
      <c r="B329" s="566" t="s">
        <v>987</v>
      </c>
      <c r="C329" s="513">
        <f t="shared" si="98"/>
        <v>662860</v>
      </c>
      <c r="D329" s="680">
        <f t="shared" si="109"/>
        <v>79789.449329014344</v>
      </c>
      <c r="E329" s="680">
        <f t="shared" si="108"/>
        <v>21047.998611753821</v>
      </c>
      <c r="F329" s="680">
        <f t="shared" si="110"/>
        <v>44670.676770013881</v>
      </c>
      <c r="G329" s="680">
        <f t="shared" si="110"/>
        <v>8116.8903285515971</v>
      </c>
      <c r="H329" s="680">
        <f t="shared" si="110"/>
        <v>77414.005861483893</v>
      </c>
      <c r="I329" s="680">
        <f t="shared" si="110"/>
        <v>13424.839966065092</v>
      </c>
      <c r="J329" s="513">
        <f t="shared" si="113"/>
        <v>907323.86086688272</v>
      </c>
      <c r="K329" s="680">
        <v>110</v>
      </c>
      <c r="L329" s="680">
        <f t="shared" si="99"/>
        <v>8248.3987351534797</v>
      </c>
      <c r="M329" s="668">
        <v>10580</v>
      </c>
      <c r="N329" s="668"/>
      <c r="O329" s="566" t="s">
        <v>456</v>
      </c>
      <c r="P329" s="669">
        <v>40813</v>
      </c>
      <c r="Q329" s="670"/>
      <c r="R329" s="572">
        <f>K329</f>
        <v>110</v>
      </c>
      <c r="S329" s="496">
        <v>6026</v>
      </c>
      <c r="T329" s="513">
        <f t="shared" si="75"/>
        <v>662860</v>
      </c>
      <c r="U329" s="537"/>
      <c r="V329" s="669"/>
      <c r="W329" s="496"/>
      <c r="X329" s="496"/>
      <c r="Y329" s="513"/>
    </row>
    <row r="330" spans="1:25" ht="13.5" customHeight="1">
      <c r="A330" s="564">
        <f t="shared" si="111"/>
        <v>151</v>
      </c>
      <c r="B330" s="566" t="s">
        <v>985</v>
      </c>
      <c r="C330" s="513">
        <f t="shared" si="98"/>
        <v>3579996</v>
      </c>
      <c r="D330" s="680">
        <f t="shared" si="109"/>
        <v>199473.62332253589</v>
      </c>
      <c r="E330" s="680">
        <f t="shared" si="108"/>
        <v>52619.996529384545</v>
      </c>
      <c r="F330" s="680">
        <f t="shared" si="110"/>
        <v>111676.6919250347</v>
      </c>
      <c r="G330" s="680">
        <f t="shared" si="110"/>
        <v>20292.225821378994</v>
      </c>
      <c r="H330" s="680">
        <f t="shared" si="110"/>
        <v>193535.01465370972</v>
      </c>
      <c r="I330" s="680">
        <f t="shared" si="110"/>
        <v>33562.099915162733</v>
      </c>
      <c r="J330" s="513">
        <f t="shared" si="113"/>
        <v>4191155.6521672066</v>
      </c>
      <c r="K330" s="680">
        <v>275</v>
      </c>
      <c r="L330" s="680">
        <f t="shared" si="99"/>
        <v>15240.56600788075</v>
      </c>
      <c r="M330" s="668">
        <v>15453</v>
      </c>
      <c r="N330" s="668"/>
      <c r="O330" s="567" t="s">
        <v>574</v>
      </c>
      <c r="P330" s="669">
        <v>40813</v>
      </c>
      <c r="Q330" s="670"/>
      <c r="R330" s="572">
        <v>138</v>
      </c>
      <c r="S330" s="496">
        <v>25942</v>
      </c>
      <c r="T330" s="513">
        <f t="shared" si="75"/>
        <v>3579996</v>
      </c>
      <c r="U330" s="537"/>
      <c r="V330" s="669"/>
      <c r="W330" s="496"/>
      <c r="X330" s="496"/>
      <c r="Y330" s="513"/>
    </row>
    <row r="331" spans="1:25" ht="13.5" customHeight="1">
      <c r="A331" s="564">
        <f t="shared" si="111"/>
        <v>152</v>
      </c>
      <c r="B331" s="566" t="s">
        <v>985</v>
      </c>
      <c r="C331" s="513">
        <f t="shared" si="98"/>
        <v>2258370</v>
      </c>
      <c r="D331" s="680">
        <f t="shared" si="109"/>
        <v>166832.48496066636</v>
      </c>
      <c r="E331" s="680">
        <f t="shared" si="108"/>
        <v>44009.451642757987</v>
      </c>
      <c r="F331" s="680">
        <f t="shared" si="110"/>
        <v>93402.324155483569</v>
      </c>
      <c r="G331" s="680">
        <f t="shared" si="110"/>
        <v>16971.67977788061</v>
      </c>
      <c r="H331" s="680">
        <f t="shared" si="110"/>
        <v>161865.64861946632</v>
      </c>
      <c r="I331" s="680">
        <f t="shared" si="110"/>
        <v>28070.119929045195</v>
      </c>
      <c r="J331" s="513">
        <f t="shared" si="113"/>
        <v>2769521.7090853001</v>
      </c>
      <c r="K331" s="680">
        <v>230</v>
      </c>
      <c r="L331" s="680">
        <f t="shared" si="99"/>
        <v>12041.398735153478</v>
      </c>
      <c r="M331" s="668">
        <v>13169</v>
      </c>
      <c r="N331" s="668"/>
      <c r="O331" s="556" t="s">
        <v>519</v>
      </c>
      <c r="P331" s="669">
        <v>40813</v>
      </c>
      <c r="Q331" s="670"/>
      <c r="R331" s="572">
        <f t="shared" ref="R331" si="117">K331/2</f>
        <v>115</v>
      </c>
      <c r="S331" s="496">
        <v>19638</v>
      </c>
      <c r="T331" s="513">
        <f t="shared" si="75"/>
        <v>2258370</v>
      </c>
      <c r="U331" s="537"/>
      <c r="V331" s="669"/>
      <c r="W331" s="496"/>
      <c r="X331" s="496"/>
      <c r="Y331" s="513"/>
    </row>
    <row r="332" spans="1:25" s="691" customFormat="1" ht="13.5" customHeight="1">
      <c r="A332" s="679" t="str">
        <f>IF(B332&lt;&gt;"",#REF!+1,"")</f>
        <v/>
      </c>
      <c r="B332" s="705"/>
      <c r="C332" s="513"/>
      <c r="D332" s="680"/>
      <c r="E332" s="680"/>
      <c r="F332" s="680"/>
      <c r="G332" s="680"/>
      <c r="H332" s="680"/>
      <c r="I332" s="680"/>
      <c r="J332" s="513"/>
      <c r="K332" s="675"/>
      <c r="L332" s="680"/>
      <c r="M332" s="668"/>
      <c r="N332" s="668"/>
      <c r="O332" s="537"/>
      <c r="P332" s="669"/>
      <c r="Q332" s="670"/>
      <c r="R332" s="572"/>
      <c r="S332" s="496"/>
      <c r="T332" s="513">
        <f t="shared" si="75"/>
        <v>0</v>
      </c>
      <c r="U332" s="537"/>
      <c r="V332" s="669"/>
      <c r="W332" s="496"/>
      <c r="X332" s="496"/>
      <c r="Y332" s="513">
        <f t="shared" si="71"/>
        <v>0</v>
      </c>
    </row>
    <row r="333" spans="1:25" s="649" customFormat="1" ht="13.5" customHeight="1">
      <c r="A333" s="692"/>
      <c r="B333" s="693" t="s">
        <v>235</v>
      </c>
      <c r="C333" s="694">
        <f>SUM(C179:C332)</f>
        <v>206807315</v>
      </c>
      <c r="D333" s="694">
        <v>18810000</v>
      </c>
      <c r="E333" s="694">
        <f>$Y$333</f>
        <v>4961970</v>
      </c>
      <c r="F333" s="694">
        <v>10530909</v>
      </c>
      <c r="G333" s="694">
        <v>1913520</v>
      </c>
      <c r="H333" s="694">
        <v>18250000</v>
      </c>
      <c r="I333" s="694">
        <v>3164845</v>
      </c>
      <c r="J333" s="694">
        <f>ROUND(SUM(J179:J332),0)</f>
        <v>264438569</v>
      </c>
      <c r="K333" s="694">
        <f>ROUND(SUM(K179:K332),0)</f>
        <v>25932</v>
      </c>
      <c r="L333" s="694"/>
      <c r="M333" s="650"/>
      <c r="N333" s="650"/>
      <c r="O333" s="695"/>
      <c r="P333" s="696"/>
      <c r="Q333" s="697"/>
      <c r="R333" s="698"/>
      <c r="S333" s="520"/>
      <c r="T333" s="373">
        <f>SUM(T179:T332)</f>
        <v>206807315</v>
      </c>
      <c r="U333" s="695"/>
      <c r="V333" s="696"/>
      <c r="W333" s="699"/>
      <c r="X333" s="520"/>
      <c r="Y333" s="373">
        <f>SUM(Y179:Y332)</f>
        <v>4961970</v>
      </c>
    </row>
    <row r="334" spans="1:25" s="649" customFormat="1">
      <c r="A334" s="700"/>
      <c r="B334" s="701"/>
      <c r="C334" s="641"/>
      <c r="D334" s="641"/>
      <c r="E334" s="641"/>
      <c r="F334" s="641"/>
      <c r="G334" s="641"/>
      <c r="H334" s="641"/>
      <c r="I334" s="641"/>
      <c r="J334" s="641"/>
      <c r="K334" s="641"/>
      <c r="L334" s="641"/>
      <c r="M334" s="650"/>
      <c r="N334" s="650"/>
      <c r="O334" s="300"/>
      <c r="P334" s="299"/>
      <c r="Q334" s="706"/>
      <c r="R334" s="707"/>
      <c r="S334" s="300"/>
      <c r="T334" s="637"/>
      <c r="U334" s="300"/>
      <c r="V334" s="299"/>
      <c r="W334" s="300"/>
      <c r="X334" s="300"/>
      <c r="Y334" s="637"/>
    </row>
    <row r="335" spans="1:25" ht="18" customHeight="1">
      <c r="A335" s="232" t="str">
        <f>TH!$A$1</f>
        <v>Đơn vị: CÔNG TY TNHH SX TM KIM DUNG PHÁT</v>
      </c>
      <c r="B335" s="649"/>
      <c r="C335" s="300"/>
      <c r="D335" s="300"/>
      <c r="E335" s="300"/>
      <c r="F335" s="300"/>
      <c r="G335" s="300"/>
      <c r="H335" s="300"/>
      <c r="I335" s="300"/>
      <c r="J335" s="300"/>
      <c r="K335" s="236"/>
      <c r="L335" s="300"/>
      <c r="M335" s="650"/>
      <c r="N335" s="650"/>
      <c r="O335" s="300"/>
      <c r="P335" s="299"/>
      <c r="U335" s="300"/>
      <c r="V335" s="299"/>
    </row>
    <row r="336" spans="1:25" ht="18.75" customHeight="1">
      <c r="A336" s="641" t="s">
        <v>750</v>
      </c>
      <c r="B336" s="641"/>
      <c r="C336" s="641"/>
      <c r="D336" s="641"/>
      <c r="E336" s="641"/>
      <c r="F336" s="641"/>
      <c r="G336" s="641"/>
      <c r="H336" s="641"/>
      <c r="I336" s="641"/>
      <c r="J336" s="641"/>
      <c r="K336" s="641"/>
      <c r="L336" s="641"/>
      <c r="M336" s="650"/>
      <c r="N336" s="650"/>
      <c r="O336" s="300"/>
      <c r="P336" s="299"/>
      <c r="U336" s="300"/>
      <c r="V336" s="299"/>
    </row>
    <row r="337" spans="1:25" ht="13.5" customHeight="1">
      <c r="A337" s="641"/>
      <c r="B337" s="651"/>
      <c r="C337" s="651"/>
      <c r="D337" s="651"/>
      <c r="E337" s="651"/>
      <c r="F337" s="651"/>
      <c r="G337" s="651"/>
      <c r="H337" s="651"/>
      <c r="I337" s="641"/>
      <c r="J337" s="651"/>
      <c r="K337" s="652"/>
      <c r="L337" s="651"/>
      <c r="M337" s="650"/>
      <c r="N337" s="650"/>
      <c r="O337" s="300"/>
      <c r="P337" s="299"/>
      <c r="U337" s="300"/>
      <c r="V337" s="299"/>
    </row>
    <row r="338" spans="1:25" ht="12.75" customHeight="1">
      <c r="A338" s="653"/>
      <c r="B338" s="654"/>
      <c r="C338" s="654"/>
      <c r="D338" s="654"/>
      <c r="E338" s="654"/>
      <c r="F338" s="654"/>
      <c r="G338" s="654"/>
      <c r="H338" s="654"/>
      <c r="I338" s="654"/>
      <c r="J338" s="654"/>
      <c r="K338" s="655"/>
      <c r="L338" s="654"/>
      <c r="M338" s="650"/>
      <c r="N338" s="650"/>
      <c r="O338" s="300"/>
      <c r="P338" s="299"/>
      <c r="U338" s="300"/>
      <c r="V338" s="299"/>
    </row>
    <row r="339" spans="1:25" s="664" customFormat="1" ht="30.75" customHeight="1">
      <c r="A339" s="656" t="s">
        <v>32</v>
      </c>
      <c r="B339" s="657" t="s">
        <v>225</v>
      </c>
      <c r="C339" s="658" t="s">
        <v>228</v>
      </c>
      <c r="D339" s="658" t="s">
        <v>756</v>
      </c>
      <c r="E339" s="658" t="s">
        <v>229</v>
      </c>
      <c r="F339" s="658" t="s">
        <v>747</v>
      </c>
      <c r="G339" s="658" t="s">
        <v>230</v>
      </c>
      <c r="H339" s="659" t="s">
        <v>231</v>
      </c>
      <c r="I339" s="658" t="s">
        <v>746</v>
      </c>
      <c r="J339" s="658" t="s">
        <v>232</v>
      </c>
      <c r="K339" s="660" t="s">
        <v>226</v>
      </c>
      <c r="L339" s="658" t="s">
        <v>233</v>
      </c>
      <c r="M339" s="661"/>
      <c r="N339" s="661"/>
      <c r="O339" s="657" t="s">
        <v>225</v>
      </c>
      <c r="P339" s="658" t="s">
        <v>219</v>
      </c>
      <c r="Q339" s="662"/>
      <c r="R339" s="663" t="s">
        <v>185</v>
      </c>
      <c r="S339" s="658" t="s">
        <v>227</v>
      </c>
      <c r="T339" s="658" t="s">
        <v>234</v>
      </c>
      <c r="U339" s="657" t="s">
        <v>225</v>
      </c>
      <c r="V339" s="658" t="s">
        <v>219</v>
      </c>
      <c r="W339" s="658" t="s">
        <v>185</v>
      </c>
      <c r="X339" s="658" t="s">
        <v>227</v>
      </c>
      <c r="Y339" s="657" t="s">
        <v>234</v>
      </c>
    </row>
    <row r="340" spans="1:25" ht="16.5" customHeight="1">
      <c r="A340" s="564">
        <v>1</v>
      </c>
      <c r="B340" s="566" t="s">
        <v>1179</v>
      </c>
      <c r="C340" s="513">
        <f>T340</f>
        <v>22794000</v>
      </c>
      <c r="D340" s="680">
        <f t="shared" ref="D340:I349" si="118">IF($K$582&lt;&gt;0,D$582/$K$582*$K340,0)</f>
        <v>951901.33156419208</v>
      </c>
      <c r="E340" s="680">
        <f t="shared" si="118"/>
        <v>301211.71913454746</v>
      </c>
      <c r="F340" s="680">
        <f t="shared" si="118"/>
        <v>649448.92674470867</v>
      </c>
      <c r="G340" s="680">
        <f t="shared" si="118"/>
        <v>51910.338776296361</v>
      </c>
      <c r="H340" s="680">
        <f t="shared" si="118"/>
        <v>945170.88621139817</v>
      </c>
      <c r="I340" s="680">
        <f t="shared" si="118"/>
        <v>242746.6073148287</v>
      </c>
      <c r="J340" s="513">
        <f>SUM(C340:I340)</f>
        <v>25936389.809745971</v>
      </c>
      <c r="K340" s="680">
        <v>2420</v>
      </c>
      <c r="L340" s="680">
        <f>IF(K340&lt;&gt;"",J340/K340,"")</f>
        <v>10717.516450308252</v>
      </c>
      <c r="M340" s="668">
        <v>17447.77438016529</v>
      </c>
      <c r="N340" s="668"/>
      <c r="O340" s="567" t="s">
        <v>629</v>
      </c>
      <c r="P340" s="672">
        <v>40821</v>
      </c>
      <c r="Q340" s="670"/>
      <c r="R340" s="572">
        <v>1200</v>
      </c>
      <c r="S340" s="295">
        <v>18995</v>
      </c>
      <c r="T340" s="513">
        <f t="shared" ref="T340:T581" si="119">ROUND(R340*S340,0)</f>
        <v>22794000</v>
      </c>
      <c r="U340" s="671" t="s">
        <v>365</v>
      </c>
      <c r="V340" s="672">
        <v>40817</v>
      </c>
      <c r="W340" s="496">
        <v>50</v>
      </c>
      <c r="X340" s="295">
        <v>25000</v>
      </c>
      <c r="Y340" s="513">
        <f t="shared" ref="Y340:Y581" si="120">ROUND(W340*X340,0)</f>
        <v>1250000</v>
      </c>
    </row>
    <row r="341" spans="1:25" ht="16.5" customHeight="1">
      <c r="A341" s="564">
        <f t="shared" ref="A341:A404" si="121">IF(B341&lt;&gt;"",A340+1,"")</f>
        <v>2</v>
      </c>
      <c r="B341" s="566" t="s">
        <v>1181</v>
      </c>
      <c r="C341" s="513">
        <f t="shared" ref="C341:C404" si="122">T341</f>
        <v>28272900</v>
      </c>
      <c r="D341" s="680">
        <f t="shared" si="118"/>
        <v>1162013.5310317159</v>
      </c>
      <c r="E341" s="680">
        <f t="shared" si="118"/>
        <v>367697.87133769307</v>
      </c>
      <c r="F341" s="680">
        <f t="shared" si="118"/>
        <v>792801.118737048</v>
      </c>
      <c r="G341" s="680">
        <f t="shared" si="118"/>
        <v>63368.454332736677</v>
      </c>
      <c r="H341" s="680">
        <f t="shared" si="118"/>
        <v>1153797.4814155602</v>
      </c>
      <c r="I341" s="680">
        <f t="shared" si="118"/>
        <v>296327.81566589454</v>
      </c>
      <c r="J341" s="513">
        <f t="shared" ref="J341:J404" si="123">SUM(C341:I341)-1</f>
        <v>32108905.272520646</v>
      </c>
      <c r="K341" s="680">
        <v>2954.1641048824595</v>
      </c>
      <c r="L341" s="680">
        <f t="shared" ref="L341" si="124">IF(K341&lt;&gt;"",J341/K341,"")</f>
        <v>10869.032366703337</v>
      </c>
      <c r="M341" s="668">
        <v>19908</v>
      </c>
      <c r="N341" s="668"/>
      <c r="O341" s="567" t="s">
        <v>625</v>
      </c>
      <c r="P341" s="672">
        <v>40831</v>
      </c>
      <c r="Q341" s="670"/>
      <c r="R341" s="572">
        <v>1460</v>
      </c>
      <c r="S341" s="296">
        <v>19365</v>
      </c>
      <c r="T341" s="513">
        <f t="shared" si="119"/>
        <v>28272900</v>
      </c>
      <c r="U341" s="671" t="s">
        <v>365</v>
      </c>
      <c r="V341" s="672">
        <v>40847</v>
      </c>
      <c r="W341" s="496">
        <v>50</v>
      </c>
      <c r="X341" s="296">
        <v>25000</v>
      </c>
      <c r="Y341" s="513">
        <f t="shared" si="120"/>
        <v>1250000</v>
      </c>
    </row>
    <row r="342" spans="1:25" ht="16.5" customHeight="1">
      <c r="A342" s="564">
        <f t="shared" si="121"/>
        <v>3</v>
      </c>
      <c r="B342" s="566" t="s">
        <v>1200</v>
      </c>
      <c r="C342" s="513">
        <f t="shared" si="122"/>
        <v>1283249</v>
      </c>
      <c r="D342" s="680">
        <f t="shared" si="118"/>
        <v>47201.718920538449</v>
      </c>
      <c r="E342" s="680">
        <f t="shared" si="118"/>
        <v>14936.118304192438</v>
      </c>
      <c r="F342" s="680">
        <f t="shared" si="118"/>
        <v>32204.079012134313</v>
      </c>
      <c r="G342" s="680">
        <f t="shared" si="118"/>
        <v>2574.0663856014726</v>
      </c>
      <c r="H342" s="680">
        <f t="shared" si="118"/>
        <v>46867.97782866437</v>
      </c>
      <c r="I342" s="680">
        <f t="shared" si="118"/>
        <v>12037.021850322084</v>
      </c>
      <c r="J342" s="513">
        <f t="shared" si="123"/>
        <v>1439068.9823014531</v>
      </c>
      <c r="K342" s="680">
        <v>120</v>
      </c>
      <c r="L342" s="680">
        <f t="shared" ref="L342:L405" si="125">IF(K342&lt;&gt;"",J342/K342,"")</f>
        <v>11992.241519178777</v>
      </c>
      <c r="M342" s="668">
        <v>20820</v>
      </c>
      <c r="N342" s="668"/>
      <c r="O342" s="556" t="s">
        <v>540</v>
      </c>
      <c r="P342" s="672">
        <v>40833</v>
      </c>
      <c r="Q342" s="670"/>
      <c r="R342" s="572">
        <v>43</v>
      </c>
      <c r="S342" s="296">
        <v>29843</v>
      </c>
      <c r="T342" s="513">
        <f t="shared" ref="T342:T405" si="126">ROUND(R342*S342,0)</f>
        <v>1283249</v>
      </c>
      <c r="U342" s="537" t="s">
        <v>452</v>
      </c>
      <c r="V342" s="672">
        <v>40817</v>
      </c>
      <c r="W342" s="296">
        <v>1</v>
      </c>
      <c r="X342" s="296">
        <v>1300000</v>
      </c>
      <c r="Y342" s="513">
        <f t="shared" ref="Y342:Y405" si="127">ROUND(W342*X342,0)</f>
        <v>1300000</v>
      </c>
    </row>
    <row r="343" spans="1:25" ht="16.5" customHeight="1">
      <c r="A343" s="564">
        <f t="shared" si="121"/>
        <v>4</v>
      </c>
      <c r="B343" s="566" t="s">
        <v>1199</v>
      </c>
      <c r="C343" s="513">
        <f t="shared" si="122"/>
        <v>955600</v>
      </c>
      <c r="D343" s="680">
        <f t="shared" si="118"/>
        <v>39334.765767115372</v>
      </c>
      <c r="E343" s="680">
        <f t="shared" si="118"/>
        <v>12446.765253493697</v>
      </c>
      <c r="F343" s="680">
        <f t="shared" si="118"/>
        <v>26836.732510111928</v>
      </c>
      <c r="G343" s="680">
        <f t="shared" si="118"/>
        <v>2145.0553213345602</v>
      </c>
      <c r="H343" s="680">
        <f t="shared" si="118"/>
        <v>39056.648190553642</v>
      </c>
      <c r="I343" s="680">
        <f t="shared" si="118"/>
        <v>10030.85154193507</v>
      </c>
      <c r="J343" s="513">
        <f t="shared" si="123"/>
        <v>1085449.8185845441</v>
      </c>
      <c r="K343" s="680">
        <v>100</v>
      </c>
      <c r="L343" s="680">
        <f t="shared" si="125"/>
        <v>10854.498185845441</v>
      </c>
      <c r="M343" s="668">
        <v>14880</v>
      </c>
      <c r="N343" s="668"/>
      <c r="O343" s="556" t="s">
        <v>461</v>
      </c>
      <c r="P343" s="672">
        <v>40833</v>
      </c>
      <c r="Q343" s="670"/>
      <c r="R343" s="572">
        <v>50</v>
      </c>
      <c r="S343" s="296">
        <v>19112</v>
      </c>
      <c r="T343" s="513">
        <f t="shared" si="126"/>
        <v>955600</v>
      </c>
      <c r="U343" s="537" t="s">
        <v>317</v>
      </c>
      <c r="V343" s="672">
        <v>40822</v>
      </c>
      <c r="W343" s="708">
        <v>48</v>
      </c>
      <c r="X343" s="677">
        <v>42000</v>
      </c>
      <c r="Y343" s="513">
        <f t="shared" si="127"/>
        <v>2016000</v>
      </c>
    </row>
    <row r="344" spans="1:25" ht="16.5" customHeight="1">
      <c r="A344" s="564">
        <f t="shared" si="121"/>
        <v>5</v>
      </c>
      <c r="B344" s="566" t="s">
        <v>1201</v>
      </c>
      <c r="C344" s="513">
        <f t="shared" si="122"/>
        <v>3164980</v>
      </c>
      <c r="D344" s="680">
        <f t="shared" si="118"/>
        <v>98336.91441778843</v>
      </c>
      <c r="E344" s="680">
        <f t="shared" si="118"/>
        <v>31116.913133734244</v>
      </c>
      <c r="F344" s="680">
        <f t="shared" si="118"/>
        <v>67091.831275279823</v>
      </c>
      <c r="G344" s="680">
        <f t="shared" si="118"/>
        <v>5362.6383033364009</v>
      </c>
      <c r="H344" s="680">
        <f t="shared" si="118"/>
        <v>97641.620476384109</v>
      </c>
      <c r="I344" s="680">
        <f t="shared" si="118"/>
        <v>25077.128854837676</v>
      </c>
      <c r="J344" s="513">
        <f t="shared" si="123"/>
        <v>3489606.0464613605</v>
      </c>
      <c r="K344" s="680">
        <v>250</v>
      </c>
      <c r="L344" s="680">
        <f t="shared" si="125"/>
        <v>13958.424185845442</v>
      </c>
      <c r="M344" s="668">
        <v>26203</v>
      </c>
      <c r="N344" s="668"/>
      <c r="O344" s="565" t="s">
        <v>356</v>
      </c>
      <c r="P344" s="672">
        <v>40833</v>
      </c>
      <c r="Q344" s="670"/>
      <c r="R344" s="572">
        <v>130</v>
      </c>
      <c r="S344" s="296">
        <v>24346</v>
      </c>
      <c r="T344" s="513">
        <f t="shared" si="126"/>
        <v>3164980</v>
      </c>
      <c r="U344" s="537"/>
      <c r="V344" s="672"/>
      <c r="W344" s="496"/>
      <c r="X344" s="296"/>
      <c r="Y344" s="513">
        <f t="shared" si="127"/>
        <v>0</v>
      </c>
    </row>
    <row r="345" spans="1:25" ht="16.5" customHeight="1">
      <c r="A345" s="564">
        <f t="shared" si="121"/>
        <v>6</v>
      </c>
      <c r="B345" s="566" t="s">
        <v>1202</v>
      </c>
      <c r="C345" s="513">
        <f t="shared" si="122"/>
        <v>1056020</v>
      </c>
      <c r="D345" s="680">
        <f t="shared" si="118"/>
        <v>55068.672073961527</v>
      </c>
      <c r="E345" s="680">
        <f t="shared" si="118"/>
        <v>17425.471354891175</v>
      </c>
      <c r="F345" s="680">
        <f t="shared" si="118"/>
        <v>37571.425514156697</v>
      </c>
      <c r="G345" s="680">
        <f t="shared" si="118"/>
        <v>3003.0774498683845</v>
      </c>
      <c r="H345" s="680">
        <f t="shared" si="118"/>
        <v>54679.307466775099</v>
      </c>
      <c r="I345" s="680">
        <f t="shared" si="118"/>
        <v>14043.192158709098</v>
      </c>
      <c r="J345" s="513">
        <f t="shared" si="123"/>
        <v>1237810.1460183619</v>
      </c>
      <c r="K345" s="680">
        <v>140</v>
      </c>
      <c r="L345" s="680">
        <f t="shared" si="125"/>
        <v>8841.5010429882987</v>
      </c>
      <c r="M345" s="668">
        <v>11355</v>
      </c>
      <c r="N345" s="668"/>
      <c r="O345" s="556" t="s">
        <v>556</v>
      </c>
      <c r="P345" s="672">
        <v>40833</v>
      </c>
      <c r="Q345" s="670"/>
      <c r="R345" s="572">
        <v>140</v>
      </c>
      <c r="S345" s="296">
        <v>7543</v>
      </c>
      <c r="T345" s="513">
        <f t="shared" si="126"/>
        <v>1056020</v>
      </c>
      <c r="U345" s="537"/>
      <c r="V345" s="672"/>
      <c r="W345" s="496"/>
      <c r="X345" s="296"/>
      <c r="Y345" s="513">
        <f t="shared" si="127"/>
        <v>0</v>
      </c>
    </row>
    <row r="346" spans="1:25" ht="16.5" customHeight="1">
      <c r="A346" s="564">
        <f t="shared" si="121"/>
        <v>7</v>
      </c>
      <c r="B346" s="566" t="s">
        <v>1203</v>
      </c>
      <c r="C346" s="513">
        <f t="shared" si="122"/>
        <v>328440</v>
      </c>
      <c r="D346" s="680">
        <f t="shared" si="118"/>
        <v>19667.382883557686</v>
      </c>
      <c r="E346" s="680">
        <f t="shared" si="118"/>
        <v>6223.3826267468485</v>
      </c>
      <c r="F346" s="680">
        <f t="shared" si="118"/>
        <v>13418.366255055964</v>
      </c>
      <c r="G346" s="680">
        <f t="shared" si="118"/>
        <v>1072.5276606672801</v>
      </c>
      <c r="H346" s="680">
        <f t="shared" si="118"/>
        <v>19528.324095276821</v>
      </c>
      <c r="I346" s="680">
        <f t="shared" si="118"/>
        <v>5015.4257709675348</v>
      </c>
      <c r="J346" s="513">
        <f t="shared" si="123"/>
        <v>393364.40929227212</v>
      </c>
      <c r="K346" s="680">
        <v>50</v>
      </c>
      <c r="L346" s="680">
        <f t="shared" si="125"/>
        <v>7867.2881858454421</v>
      </c>
      <c r="M346" s="668">
        <v>11420</v>
      </c>
      <c r="N346" s="668"/>
      <c r="O346" s="567" t="s">
        <v>596</v>
      </c>
      <c r="P346" s="672">
        <v>40833</v>
      </c>
      <c r="Q346" s="670"/>
      <c r="R346" s="572">
        <v>10</v>
      </c>
      <c r="S346" s="296">
        <v>32844</v>
      </c>
      <c r="T346" s="513">
        <f t="shared" si="126"/>
        <v>328440</v>
      </c>
      <c r="U346" s="537"/>
      <c r="V346" s="672"/>
      <c r="W346" s="496"/>
      <c r="X346" s="296"/>
      <c r="Y346" s="513">
        <f t="shared" si="127"/>
        <v>0</v>
      </c>
    </row>
    <row r="347" spans="1:25" ht="16.5" customHeight="1">
      <c r="A347" s="564">
        <f t="shared" si="121"/>
        <v>8</v>
      </c>
      <c r="B347" s="566" t="s">
        <v>1204</v>
      </c>
      <c r="C347" s="513">
        <f t="shared" si="122"/>
        <v>594436</v>
      </c>
      <c r="D347" s="680">
        <f t="shared" si="118"/>
        <v>27534.336036980763</v>
      </c>
      <c r="E347" s="680">
        <f t="shared" si="118"/>
        <v>8712.7356774455875</v>
      </c>
      <c r="F347" s="680">
        <f t="shared" si="118"/>
        <v>18785.712757078349</v>
      </c>
      <c r="G347" s="680">
        <f t="shared" si="118"/>
        <v>1501.5387249341923</v>
      </c>
      <c r="H347" s="680">
        <f t="shared" si="118"/>
        <v>27339.653733387549</v>
      </c>
      <c r="I347" s="680">
        <f t="shared" si="118"/>
        <v>7021.5960793545491</v>
      </c>
      <c r="J347" s="513">
        <f t="shared" si="123"/>
        <v>685330.57300918095</v>
      </c>
      <c r="K347" s="680">
        <v>70</v>
      </c>
      <c r="L347" s="680">
        <f t="shared" si="125"/>
        <v>9790.4367572740139</v>
      </c>
      <c r="M347" s="668">
        <v>14450</v>
      </c>
      <c r="N347" s="668"/>
      <c r="O347" s="567" t="s">
        <v>567</v>
      </c>
      <c r="P347" s="672">
        <v>40833</v>
      </c>
      <c r="Q347" s="670"/>
      <c r="R347" s="572">
        <v>20</v>
      </c>
      <c r="S347" s="296">
        <v>29721.8</v>
      </c>
      <c r="T347" s="513">
        <f t="shared" si="126"/>
        <v>594436</v>
      </c>
      <c r="U347" s="537"/>
      <c r="V347" s="672"/>
      <c r="W347" s="496"/>
      <c r="X347" s="296"/>
      <c r="Y347" s="513">
        <f t="shared" si="127"/>
        <v>0</v>
      </c>
    </row>
    <row r="348" spans="1:25" ht="16.5" customHeight="1">
      <c r="A348" s="564">
        <f t="shared" si="121"/>
        <v>9</v>
      </c>
      <c r="B348" s="566" t="s">
        <v>1205</v>
      </c>
      <c r="C348" s="513">
        <f t="shared" si="122"/>
        <v>306880</v>
      </c>
      <c r="D348" s="680">
        <f t="shared" si="118"/>
        <v>21240.773514242301</v>
      </c>
      <c r="E348" s="680">
        <f t="shared" si="118"/>
        <v>6721.2532368865968</v>
      </c>
      <c r="F348" s="680">
        <f t="shared" si="118"/>
        <v>14491.83555546044</v>
      </c>
      <c r="G348" s="680">
        <f t="shared" si="118"/>
        <v>1158.3298735206627</v>
      </c>
      <c r="H348" s="680">
        <f t="shared" si="118"/>
        <v>21090.590022898967</v>
      </c>
      <c r="I348" s="680">
        <f t="shared" si="118"/>
        <v>5416.6598326449375</v>
      </c>
      <c r="J348" s="513">
        <f t="shared" si="123"/>
        <v>376998.44203565386</v>
      </c>
      <c r="K348" s="680">
        <v>54</v>
      </c>
      <c r="L348" s="680">
        <f t="shared" si="125"/>
        <v>6981.4526302898867</v>
      </c>
      <c r="M348" s="668">
        <v>13881</v>
      </c>
      <c r="N348" s="668"/>
      <c r="O348" s="567" t="s">
        <v>590</v>
      </c>
      <c r="P348" s="672">
        <v>40833</v>
      </c>
      <c r="Q348" s="670"/>
      <c r="R348" s="572">
        <v>16</v>
      </c>
      <c r="S348" s="296">
        <v>19180</v>
      </c>
      <c r="T348" s="513">
        <f t="shared" si="126"/>
        <v>306880</v>
      </c>
      <c r="U348" s="537"/>
      <c r="V348" s="672"/>
      <c r="W348" s="496"/>
      <c r="X348" s="296"/>
      <c r="Y348" s="513">
        <f t="shared" si="127"/>
        <v>0</v>
      </c>
    </row>
    <row r="349" spans="1:25" ht="16.5" customHeight="1">
      <c r="A349" s="564">
        <f t="shared" si="121"/>
        <v>10</v>
      </c>
      <c r="B349" s="566" t="s">
        <v>1206</v>
      </c>
      <c r="C349" s="513">
        <f t="shared" si="122"/>
        <v>1340640</v>
      </c>
      <c r="D349" s="680">
        <f t="shared" si="118"/>
        <v>35401.289190403833</v>
      </c>
      <c r="E349" s="680">
        <f t="shared" si="118"/>
        <v>11202.088728144328</v>
      </c>
      <c r="F349" s="680">
        <f t="shared" si="118"/>
        <v>24153.059259100733</v>
      </c>
      <c r="G349" s="680">
        <f t="shared" si="118"/>
        <v>1930.5497892011044</v>
      </c>
      <c r="H349" s="680">
        <f t="shared" si="118"/>
        <v>35150.983371498281</v>
      </c>
      <c r="I349" s="680">
        <f t="shared" si="118"/>
        <v>9027.7663877415634</v>
      </c>
      <c r="J349" s="513">
        <f t="shared" si="123"/>
        <v>1457504.7367260898</v>
      </c>
      <c r="K349" s="680">
        <v>90</v>
      </c>
      <c r="L349" s="680">
        <f t="shared" si="125"/>
        <v>16194.497074734332</v>
      </c>
      <c r="M349" s="668">
        <v>20891</v>
      </c>
      <c r="N349" s="668"/>
      <c r="O349" s="567" t="s">
        <v>589</v>
      </c>
      <c r="P349" s="672">
        <v>40833</v>
      </c>
      <c r="Q349" s="670"/>
      <c r="R349" s="572">
        <v>45</v>
      </c>
      <c r="S349" s="296">
        <v>29792</v>
      </c>
      <c r="T349" s="513">
        <f t="shared" si="126"/>
        <v>1340640</v>
      </c>
      <c r="U349" s="537"/>
      <c r="V349" s="672"/>
      <c r="W349" s="496"/>
      <c r="X349" s="296"/>
      <c r="Y349" s="513">
        <f t="shared" si="127"/>
        <v>0</v>
      </c>
    </row>
    <row r="350" spans="1:25" ht="16.5" customHeight="1">
      <c r="A350" s="564">
        <f t="shared" si="121"/>
        <v>11</v>
      </c>
      <c r="B350" s="566" t="s">
        <v>1207</v>
      </c>
      <c r="C350" s="513">
        <f t="shared" si="122"/>
        <v>1112146</v>
      </c>
      <c r="D350" s="680">
        <f t="shared" ref="D350:I359" si="128">IF($K$582&lt;&gt;0,D$582/$K$582*$K350,0)</f>
        <v>39334.765767115372</v>
      </c>
      <c r="E350" s="680">
        <f t="shared" si="128"/>
        <v>12446.765253493697</v>
      </c>
      <c r="F350" s="680">
        <f t="shared" si="128"/>
        <v>26836.732510111928</v>
      </c>
      <c r="G350" s="680">
        <f t="shared" si="128"/>
        <v>2145.0553213345602</v>
      </c>
      <c r="H350" s="680">
        <f t="shared" si="128"/>
        <v>39056.648190553642</v>
      </c>
      <c r="I350" s="680">
        <f t="shared" si="128"/>
        <v>10030.85154193507</v>
      </c>
      <c r="J350" s="513">
        <f t="shared" si="123"/>
        <v>1241995.8185845444</v>
      </c>
      <c r="K350" s="680">
        <v>100</v>
      </c>
      <c r="L350" s="680">
        <f t="shared" si="125"/>
        <v>12419.958185845444</v>
      </c>
      <c r="M350" s="668">
        <v>16534</v>
      </c>
      <c r="N350" s="668"/>
      <c r="O350" s="567" t="s">
        <v>593</v>
      </c>
      <c r="P350" s="672">
        <v>40833</v>
      </c>
      <c r="Q350" s="670"/>
      <c r="R350" s="572">
        <v>37</v>
      </c>
      <c r="S350" s="296">
        <v>30058</v>
      </c>
      <c r="T350" s="513">
        <f t="shared" si="126"/>
        <v>1112146</v>
      </c>
      <c r="U350" s="537"/>
      <c r="V350" s="672"/>
      <c r="W350" s="496"/>
      <c r="X350" s="296"/>
      <c r="Y350" s="513">
        <f t="shared" si="127"/>
        <v>0</v>
      </c>
    </row>
    <row r="351" spans="1:25" ht="16.5" customHeight="1">
      <c r="A351" s="564">
        <f t="shared" si="121"/>
        <v>12</v>
      </c>
      <c r="B351" s="566" t="s">
        <v>1206</v>
      </c>
      <c r="C351" s="513">
        <f t="shared" si="122"/>
        <v>2724120</v>
      </c>
      <c r="D351" s="680">
        <f t="shared" si="128"/>
        <v>78669.531534230744</v>
      </c>
      <c r="E351" s="680">
        <f t="shared" si="128"/>
        <v>24893.530506987394</v>
      </c>
      <c r="F351" s="680">
        <f t="shared" si="128"/>
        <v>53673.465020223855</v>
      </c>
      <c r="G351" s="680">
        <f t="shared" si="128"/>
        <v>4290.1106426691204</v>
      </c>
      <c r="H351" s="680">
        <f t="shared" si="128"/>
        <v>78113.296381107284</v>
      </c>
      <c r="I351" s="680">
        <f t="shared" si="128"/>
        <v>20061.703083870139</v>
      </c>
      <c r="J351" s="513">
        <f t="shared" si="123"/>
        <v>2983820.6371690887</v>
      </c>
      <c r="K351" s="680">
        <v>200</v>
      </c>
      <c r="L351" s="680">
        <f t="shared" si="125"/>
        <v>14919.103185845444</v>
      </c>
      <c r="M351" s="668">
        <v>20981</v>
      </c>
      <c r="N351" s="668"/>
      <c r="O351" s="567" t="s">
        <v>602</v>
      </c>
      <c r="P351" s="672">
        <v>40833</v>
      </c>
      <c r="Q351" s="670"/>
      <c r="R351" s="572">
        <v>94</v>
      </c>
      <c r="S351" s="296">
        <v>28980</v>
      </c>
      <c r="T351" s="513">
        <f t="shared" si="126"/>
        <v>2724120</v>
      </c>
      <c r="U351" s="537"/>
      <c r="V351" s="672"/>
      <c r="W351" s="496"/>
      <c r="X351" s="296"/>
      <c r="Y351" s="513">
        <f t="shared" si="127"/>
        <v>0</v>
      </c>
    </row>
    <row r="352" spans="1:25" ht="16.5" customHeight="1">
      <c r="A352" s="564">
        <f t="shared" si="121"/>
        <v>13</v>
      </c>
      <c r="B352" s="566" t="s">
        <v>1208</v>
      </c>
      <c r="C352" s="513">
        <f t="shared" si="122"/>
        <v>571200</v>
      </c>
      <c r="D352" s="680">
        <f t="shared" si="128"/>
        <v>19667.382883557686</v>
      </c>
      <c r="E352" s="680">
        <f t="shared" si="128"/>
        <v>6223.3826267468485</v>
      </c>
      <c r="F352" s="680">
        <f t="shared" si="128"/>
        <v>13418.366255055964</v>
      </c>
      <c r="G352" s="680">
        <f t="shared" si="128"/>
        <v>1072.5276606672801</v>
      </c>
      <c r="H352" s="680">
        <f t="shared" si="128"/>
        <v>19528.324095276821</v>
      </c>
      <c r="I352" s="680">
        <f t="shared" si="128"/>
        <v>5015.4257709675348</v>
      </c>
      <c r="J352" s="513">
        <f t="shared" si="123"/>
        <v>636124.40929227218</v>
      </c>
      <c r="K352" s="680">
        <v>50</v>
      </c>
      <c r="L352" s="680">
        <f t="shared" si="125"/>
        <v>12722.488185845443</v>
      </c>
      <c r="M352" s="668">
        <v>15669</v>
      </c>
      <c r="N352" s="668"/>
      <c r="O352" s="567" t="s">
        <v>595</v>
      </c>
      <c r="P352" s="672">
        <v>40833</v>
      </c>
      <c r="Q352" s="670"/>
      <c r="R352" s="572">
        <v>20</v>
      </c>
      <c r="S352" s="296">
        <v>28560</v>
      </c>
      <c r="T352" s="513">
        <f t="shared" si="126"/>
        <v>571200</v>
      </c>
      <c r="U352" s="537"/>
      <c r="V352" s="672"/>
      <c r="W352" s="496"/>
      <c r="X352" s="296"/>
      <c r="Y352" s="513">
        <f t="shared" si="127"/>
        <v>0</v>
      </c>
    </row>
    <row r="353" spans="1:25" ht="16.5" customHeight="1">
      <c r="A353" s="564">
        <f t="shared" si="121"/>
        <v>14</v>
      </c>
      <c r="B353" s="566" t="s">
        <v>1209</v>
      </c>
      <c r="C353" s="513">
        <f t="shared" si="122"/>
        <v>502843</v>
      </c>
      <c r="D353" s="680">
        <f t="shared" si="128"/>
        <v>11800.429730134612</v>
      </c>
      <c r="E353" s="680">
        <f t="shared" si="128"/>
        <v>3734.0295760481094</v>
      </c>
      <c r="F353" s="680">
        <f t="shared" si="128"/>
        <v>8051.0197530335781</v>
      </c>
      <c r="G353" s="680">
        <f t="shared" si="128"/>
        <v>643.51659640036814</v>
      </c>
      <c r="H353" s="680">
        <f t="shared" si="128"/>
        <v>11716.994457166093</v>
      </c>
      <c r="I353" s="680">
        <f t="shared" si="128"/>
        <v>3009.255462580521</v>
      </c>
      <c r="J353" s="513">
        <f t="shared" si="123"/>
        <v>541797.24557536317</v>
      </c>
      <c r="K353" s="680">
        <v>30</v>
      </c>
      <c r="L353" s="680">
        <f t="shared" si="125"/>
        <v>18059.908185845437</v>
      </c>
      <c r="M353" s="668">
        <v>20326</v>
      </c>
      <c r="N353" s="668"/>
      <c r="O353" s="556" t="s">
        <v>542</v>
      </c>
      <c r="P353" s="672">
        <v>40833</v>
      </c>
      <c r="Q353" s="670"/>
      <c r="R353" s="572">
        <v>17</v>
      </c>
      <c r="S353" s="296">
        <v>29579</v>
      </c>
      <c r="T353" s="513">
        <f t="shared" si="126"/>
        <v>502843</v>
      </c>
      <c r="U353" s="537"/>
      <c r="V353" s="672"/>
      <c r="W353" s="496"/>
      <c r="X353" s="296"/>
      <c r="Y353" s="513">
        <f t="shared" si="127"/>
        <v>0</v>
      </c>
    </row>
    <row r="354" spans="1:25" ht="16.5" customHeight="1">
      <c r="A354" s="564">
        <f t="shared" si="121"/>
        <v>15</v>
      </c>
      <c r="B354" s="566" t="s">
        <v>1210</v>
      </c>
      <c r="C354" s="513">
        <f t="shared" si="122"/>
        <v>871350</v>
      </c>
      <c r="D354" s="680">
        <f t="shared" si="128"/>
        <v>59002.148650673058</v>
      </c>
      <c r="E354" s="680">
        <f t="shared" si="128"/>
        <v>18670.147880240547</v>
      </c>
      <c r="F354" s="680">
        <f t="shared" si="128"/>
        <v>40255.098765167888</v>
      </c>
      <c r="G354" s="680">
        <f t="shared" si="128"/>
        <v>3217.5829820018407</v>
      </c>
      <c r="H354" s="680">
        <f t="shared" si="128"/>
        <v>58584.972285830459</v>
      </c>
      <c r="I354" s="680">
        <f t="shared" si="128"/>
        <v>15046.277312902605</v>
      </c>
      <c r="J354" s="513">
        <f t="shared" si="123"/>
        <v>1066125.2278768164</v>
      </c>
      <c r="K354" s="680">
        <v>150</v>
      </c>
      <c r="L354" s="680">
        <f t="shared" si="125"/>
        <v>7107.5015191787761</v>
      </c>
      <c r="M354" s="668">
        <v>10397</v>
      </c>
      <c r="N354" s="668"/>
      <c r="O354" s="556" t="s">
        <v>467</v>
      </c>
      <c r="P354" s="672">
        <v>40836</v>
      </c>
      <c r="Q354" s="670"/>
      <c r="R354" s="572">
        <f>K354/3</f>
        <v>50</v>
      </c>
      <c r="S354" s="296">
        <v>17427</v>
      </c>
      <c r="T354" s="513">
        <f t="shared" si="126"/>
        <v>871350</v>
      </c>
      <c r="U354" s="537"/>
      <c r="V354" s="672"/>
      <c r="W354" s="496"/>
      <c r="X354" s="296"/>
      <c r="Y354" s="513">
        <f t="shared" si="127"/>
        <v>0</v>
      </c>
    </row>
    <row r="355" spans="1:25" ht="16.5" customHeight="1">
      <c r="A355" s="564">
        <f t="shared" si="121"/>
        <v>16</v>
      </c>
      <c r="B355" s="566" t="s">
        <v>1211</v>
      </c>
      <c r="C355" s="513">
        <f t="shared" si="122"/>
        <v>1911200</v>
      </c>
      <c r="D355" s="680">
        <f t="shared" si="128"/>
        <v>78669.531534230744</v>
      </c>
      <c r="E355" s="680">
        <f t="shared" si="128"/>
        <v>24893.530506987394</v>
      </c>
      <c r="F355" s="680">
        <f t="shared" si="128"/>
        <v>53673.465020223855</v>
      </c>
      <c r="G355" s="680">
        <f t="shared" si="128"/>
        <v>4290.1106426691204</v>
      </c>
      <c r="H355" s="680">
        <f t="shared" si="128"/>
        <v>78113.296381107284</v>
      </c>
      <c r="I355" s="680">
        <f t="shared" si="128"/>
        <v>20061.703083870139</v>
      </c>
      <c r="J355" s="513">
        <f t="shared" si="123"/>
        <v>2170900.6371690882</v>
      </c>
      <c r="K355" s="680">
        <v>200</v>
      </c>
      <c r="L355" s="680">
        <f t="shared" si="125"/>
        <v>10854.50318584544</v>
      </c>
      <c r="M355" s="668">
        <v>12869</v>
      </c>
      <c r="N355" s="668"/>
      <c r="O355" s="556" t="s">
        <v>461</v>
      </c>
      <c r="P355" s="672">
        <v>40836</v>
      </c>
      <c r="Q355" s="670"/>
      <c r="R355" s="495">
        <v>100</v>
      </c>
      <c r="S355" s="300">
        <v>19112</v>
      </c>
      <c r="T355" s="513">
        <f t="shared" si="126"/>
        <v>1911200</v>
      </c>
      <c r="U355" s="537"/>
      <c r="V355" s="672"/>
      <c r="W355" s="496"/>
      <c r="X355" s="296"/>
      <c r="Y355" s="513">
        <f t="shared" si="127"/>
        <v>0</v>
      </c>
    </row>
    <row r="356" spans="1:25" ht="16.5" customHeight="1">
      <c r="A356" s="564">
        <f t="shared" si="121"/>
        <v>17</v>
      </c>
      <c r="B356" s="566" t="s">
        <v>1204</v>
      </c>
      <c r="C356" s="513">
        <f t="shared" si="122"/>
        <v>1839000</v>
      </c>
      <c r="D356" s="680">
        <f t="shared" si="128"/>
        <v>86536.484687653821</v>
      </c>
      <c r="E356" s="680">
        <f t="shared" si="128"/>
        <v>27382.883557686135</v>
      </c>
      <c r="F356" s="680">
        <f t="shared" si="128"/>
        <v>59040.811522246237</v>
      </c>
      <c r="G356" s="680">
        <f t="shared" si="128"/>
        <v>4719.1217069360328</v>
      </c>
      <c r="H356" s="680">
        <f t="shared" si="128"/>
        <v>85924.626019218005</v>
      </c>
      <c r="I356" s="680">
        <f t="shared" si="128"/>
        <v>22067.873392257152</v>
      </c>
      <c r="J356" s="513">
        <f t="shared" si="123"/>
        <v>2124670.8008859977</v>
      </c>
      <c r="K356" s="680">
        <v>220</v>
      </c>
      <c r="L356" s="680">
        <f t="shared" si="125"/>
        <v>9657.5945494818079</v>
      </c>
      <c r="M356" s="668">
        <v>14450</v>
      </c>
      <c r="N356" s="668"/>
      <c r="O356" s="556" t="s">
        <v>539</v>
      </c>
      <c r="P356" s="672">
        <v>40836</v>
      </c>
      <c r="Q356" s="670"/>
      <c r="R356" s="572">
        <v>100</v>
      </c>
      <c r="S356" s="296">
        <v>18390</v>
      </c>
      <c r="T356" s="513">
        <f t="shared" si="126"/>
        <v>1839000</v>
      </c>
      <c r="U356" s="537"/>
      <c r="V356" s="672"/>
      <c r="W356" s="496"/>
      <c r="X356" s="296"/>
      <c r="Y356" s="513">
        <f t="shared" si="127"/>
        <v>0</v>
      </c>
    </row>
    <row r="357" spans="1:25" ht="16.5" customHeight="1">
      <c r="A357" s="564">
        <f t="shared" si="121"/>
        <v>18</v>
      </c>
      <c r="B357" s="566" t="s">
        <v>1203</v>
      </c>
      <c r="C357" s="513">
        <f t="shared" si="122"/>
        <v>1103760</v>
      </c>
      <c r="D357" s="680">
        <f t="shared" si="128"/>
        <v>70802.578380807667</v>
      </c>
      <c r="E357" s="680">
        <f t="shared" si="128"/>
        <v>22404.177456288657</v>
      </c>
      <c r="F357" s="680">
        <f t="shared" si="128"/>
        <v>48306.118518201467</v>
      </c>
      <c r="G357" s="680">
        <f t="shared" si="128"/>
        <v>3861.0995784022089</v>
      </c>
      <c r="H357" s="680">
        <f t="shared" si="128"/>
        <v>70301.966742996563</v>
      </c>
      <c r="I357" s="680">
        <f t="shared" si="128"/>
        <v>18055.532775483127</v>
      </c>
      <c r="J357" s="513">
        <f t="shared" si="123"/>
        <v>1337490.4734521797</v>
      </c>
      <c r="K357" s="680">
        <v>180</v>
      </c>
      <c r="L357" s="680">
        <f t="shared" si="125"/>
        <v>7430.5026302898868</v>
      </c>
      <c r="M357" s="668">
        <v>11420</v>
      </c>
      <c r="N357" s="668"/>
      <c r="O357" s="567" t="s">
        <v>588</v>
      </c>
      <c r="P357" s="672">
        <v>40836</v>
      </c>
      <c r="Q357" s="670"/>
      <c r="R357" s="572">
        <f>K357/3</f>
        <v>60</v>
      </c>
      <c r="S357" s="296">
        <v>18396</v>
      </c>
      <c r="T357" s="513">
        <f t="shared" si="126"/>
        <v>1103760</v>
      </c>
      <c r="U357" s="537"/>
      <c r="V357" s="672"/>
      <c r="W357" s="496"/>
      <c r="X357" s="296"/>
      <c r="Y357" s="513">
        <f t="shared" si="127"/>
        <v>0</v>
      </c>
    </row>
    <row r="358" spans="1:25" ht="16.5" customHeight="1">
      <c r="A358" s="564">
        <f t="shared" si="121"/>
        <v>19</v>
      </c>
      <c r="B358" s="566" t="s">
        <v>1205</v>
      </c>
      <c r="C358" s="513">
        <f t="shared" si="122"/>
        <v>2921880</v>
      </c>
      <c r="D358" s="680">
        <f t="shared" si="128"/>
        <v>116824.25432833267</v>
      </c>
      <c r="E358" s="680">
        <f t="shared" si="128"/>
        <v>36966.892802876282</v>
      </c>
      <c r="F358" s="680">
        <f t="shared" si="128"/>
        <v>79705.095555032414</v>
      </c>
      <c r="G358" s="680">
        <f t="shared" si="128"/>
        <v>6370.8143043636446</v>
      </c>
      <c r="H358" s="680">
        <f t="shared" si="128"/>
        <v>115998.24512594432</v>
      </c>
      <c r="I358" s="680">
        <f t="shared" si="128"/>
        <v>29791.629079547158</v>
      </c>
      <c r="J358" s="513">
        <f t="shared" si="123"/>
        <v>3307535.9311960968</v>
      </c>
      <c r="K358" s="680">
        <v>297</v>
      </c>
      <c r="L358" s="680">
        <f t="shared" si="125"/>
        <v>11136.484616821876</v>
      </c>
      <c r="M358" s="668">
        <v>13881</v>
      </c>
      <c r="N358" s="668"/>
      <c r="O358" s="556" t="s">
        <v>527</v>
      </c>
      <c r="P358" s="672">
        <v>40836</v>
      </c>
      <c r="Q358" s="670"/>
      <c r="R358" s="495">
        <v>130</v>
      </c>
      <c r="S358" s="300">
        <v>22476</v>
      </c>
      <c r="T358" s="513">
        <f t="shared" si="126"/>
        <v>2921880</v>
      </c>
      <c r="U358" s="537"/>
      <c r="V358" s="672"/>
      <c r="W358" s="496"/>
      <c r="X358" s="296"/>
      <c r="Y358" s="513">
        <f t="shared" si="127"/>
        <v>0</v>
      </c>
    </row>
    <row r="359" spans="1:25" ht="16.5" customHeight="1">
      <c r="A359" s="564">
        <f t="shared" si="121"/>
        <v>20</v>
      </c>
      <c r="B359" s="566" t="s">
        <v>1209</v>
      </c>
      <c r="C359" s="513">
        <f t="shared" si="122"/>
        <v>3173700</v>
      </c>
      <c r="D359" s="680">
        <f t="shared" si="128"/>
        <v>125871.25045476919</v>
      </c>
      <c r="E359" s="680">
        <f t="shared" si="128"/>
        <v>39829.648811179832</v>
      </c>
      <c r="F359" s="680">
        <f t="shared" si="128"/>
        <v>85877.544032358157</v>
      </c>
      <c r="G359" s="680">
        <f t="shared" si="128"/>
        <v>6864.1770282705929</v>
      </c>
      <c r="H359" s="680">
        <f t="shared" si="128"/>
        <v>124981.27420977165</v>
      </c>
      <c r="I359" s="680">
        <f t="shared" si="128"/>
        <v>32098.724934192222</v>
      </c>
      <c r="J359" s="513">
        <f t="shared" si="123"/>
        <v>3589221.6194705414</v>
      </c>
      <c r="K359" s="680">
        <v>320</v>
      </c>
      <c r="L359" s="680">
        <f t="shared" si="125"/>
        <v>11216.317560845442</v>
      </c>
      <c r="M359" s="668">
        <v>17372</v>
      </c>
      <c r="N359" s="668"/>
      <c r="O359" s="556" t="s">
        <v>531</v>
      </c>
      <c r="P359" s="672">
        <v>40836</v>
      </c>
      <c r="Q359" s="670"/>
      <c r="R359" s="572">
        <v>150</v>
      </c>
      <c r="S359" s="296">
        <v>21158</v>
      </c>
      <c r="T359" s="513">
        <f t="shared" si="126"/>
        <v>3173700</v>
      </c>
      <c r="U359" s="537"/>
      <c r="V359" s="672"/>
      <c r="W359" s="496"/>
      <c r="X359" s="296"/>
      <c r="Y359" s="513">
        <f t="shared" si="127"/>
        <v>0</v>
      </c>
    </row>
    <row r="360" spans="1:25" ht="16.5" customHeight="1">
      <c r="A360" s="564">
        <f t="shared" si="121"/>
        <v>21</v>
      </c>
      <c r="B360" s="566" t="s">
        <v>1206</v>
      </c>
      <c r="C360" s="513">
        <f t="shared" si="122"/>
        <v>2160449</v>
      </c>
      <c r="D360" s="680">
        <f t="shared" ref="D360:I369" si="129">IF($K$582&lt;&gt;0,D$582/$K$582*$K360,0)</f>
        <v>59002.148650673058</v>
      </c>
      <c r="E360" s="680">
        <f t="shared" si="129"/>
        <v>18670.147880240547</v>
      </c>
      <c r="F360" s="680">
        <f t="shared" si="129"/>
        <v>40255.098765167888</v>
      </c>
      <c r="G360" s="680">
        <f t="shared" si="129"/>
        <v>3217.5829820018407</v>
      </c>
      <c r="H360" s="680">
        <f t="shared" si="129"/>
        <v>58584.972285830459</v>
      </c>
      <c r="I360" s="680">
        <f t="shared" si="129"/>
        <v>15046.277312902605</v>
      </c>
      <c r="J360" s="513">
        <f t="shared" si="123"/>
        <v>2355224.2278768164</v>
      </c>
      <c r="K360" s="680">
        <v>150</v>
      </c>
      <c r="L360" s="680">
        <f t="shared" si="125"/>
        <v>15701.494852512109</v>
      </c>
      <c r="M360" s="668">
        <v>20981</v>
      </c>
      <c r="N360" s="668"/>
      <c r="O360" s="567" t="s">
        <v>534</v>
      </c>
      <c r="P360" s="672">
        <v>40836</v>
      </c>
      <c r="Q360" s="670"/>
      <c r="R360" s="572">
        <v>90</v>
      </c>
      <c r="S360" s="296">
        <v>24004.988888888889</v>
      </c>
      <c r="T360" s="513">
        <f t="shared" si="126"/>
        <v>2160449</v>
      </c>
      <c r="U360" s="537"/>
      <c r="V360" s="672"/>
      <c r="W360" s="496"/>
      <c r="X360" s="296"/>
      <c r="Y360" s="513">
        <f t="shared" si="127"/>
        <v>0</v>
      </c>
    </row>
    <row r="361" spans="1:25" ht="16.5" customHeight="1">
      <c r="A361" s="564">
        <f t="shared" si="121"/>
        <v>22</v>
      </c>
      <c r="B361" s="566" t="s">
        <v>1212</v>
      </c>
      <c r="C361" s="513">
        <f t="shared" si="122"/>
        <v>2554450</v>
      </c>
      <c r="D361" s="680">
        <f t="shared" si="129"/>
        <v>106203.86757121151</v>
      </c>
      <c r="E361" s="680">
        <f t="shared" si="129"/>
        <v>33606.266184432985</v>
      </c>
      <c r="F361" s="680">
        <f t="shared" si="129"/>
        <v>72459.177777302204</v>
      </c>
      <c r="G361" s="680">
        <f t="shared" si="129"/>
        <v>5791.6493676033133</v>
      </c>
      <c r="H361" s="680">
        <f t="shared" si="129"/>
        <v>105452.95011449483</v>
      </c>
      <c r="I361" s="680">
        <f t="shared" si="129"/>
        <v>27083.299163224689</v>
      </c>
      <c r="J361" s="513">
        <f t="shared" si="123"/>
        <v>2905046.2101782691</v>
      </c>
      <c r="K361" s="680">
        <v>270</v>
      </c>
      <c r="L361" s="680">
        <f t="shared" si="125"/>
        <v>10759.430408067663</v>
      </c>
      <c r="M361" s="668">
        <v>16832</v>
      </c>
      <c r="N361" s="668"/>
      <c r="O361" s="556" t="s">
        <v>606</v>
      </c>
      <c r="P361" s="672">
        <v>40836</v>
      </c>
      <c r="Q361" s="670"/>
      <c r="R361" s="572">
        <v>94</v>
      </c>
      <c r="S361" s="296">
        <v>27175</v>
      </c>
      <c r="T361" s="513">
        <f t="shared" si="126"/>
        <v>2554450</v>
      </c>
      <c r="U361" s="537"/>
      <c r="V361" s="672"/>
      <c r="W361" s="496"/>
      <c r="X361" s="296"/>
      <c r="Y361" s="513">
        <f t="shared" si="127"/>
        <v>0</v>
      </c>
    </row>
    <row r="362" spans="1:25" ht="16.5" customHeight="1">
      <c r="A362" s="564">
        <f t="shared" si="121"/>
        <v>23</v>
      </c>
      <c r="B362" s="566" t="s">
        <v>724</v>
      </c>
      <c r="C362" s="513">
        <f t="shared" si="122"/>
        <v>1115328</v>
      </c>
      <c r="D362" s="680">
        <f t="shared" si="129"/>
        <v>74736.054957519213</v>
      </c>
      <c r="E362" s="680">
        <f t="shared" si="129"/>
        <v>23648.853981638025</v>
      </c>
      <c r="F362" s="680">
        <f t="shared" si="129"/>
        <v>50989.791769212658</v>
      </c>
      <c r="G362" s="680">
        <f t="shared" si="129"/>
        <v>4075.6051105356646</v>
      </c>
      <c r="H362" s="680">
        <f t="shared" si="129"/>
        <v>74207.631562051916</v>
      </c>
      <c r="I362" s="680">
        <f t="shared" si="129"/>
        <v>19058.617929676631</v>
      </c>
      <c r="J362" s="513">
        <f t="shared" si="123"/>
        <v>1362043.555310634</v>
      </c>
      <c r="K362" s="680">
        <v>190</v>
      </c>
      <c r="L362" s="680">
        <f t="shared" si="125"/>
        <v>7168.6502911086</v>
      </c>
      <c r="M362" s="668">
        <v>10253</v>
      </c>
      <c r="N362" s="668"/>
      <c r="O362" s="556" t="s">
        <v>467</v>
      </c>
      <c r="P362" s="672">
        <v>40836</v>
      </c>
      <c r="Q362" s="670"/>
      <c r="R362" s="572">
        <v>64</v>
      </c>
      <c r="S362" s="296">
        <v>17427</v>
      </c>
      <c r="T362" s="513">
        <f t="shared" si="126"/>
        <v>1115328</v>
      </c>
      <c r="U362" s="537"/>
      <c r="V362" s="672"/>
      <c r="W362" s="496"/>
      <c r="X362" s="296"/>
      <c r="Y362" s="513">
        <f t="shared" si="127"/>
        <v>0</v>
      </c>
    </row>
    <row r="363" spans="1:25" ht="16.5" customHeight="1">
      <c r="A363" s="564">
        <f t="shared" si="121"/>
        <v>24</v>
      </c>
      <c r="B363" s="566" t="s">
        <v>722</v>
      </c>
      <c r="C363" s="513">
        <f t="shared" si="122"/>
        <v>1864689</v>
      </c>
      <c r="D363" s="680">
        <f t="shared" si="129"/>
        <v>125871.25045476919</v>
      </c>
      <c r="E363" s="680">
        <f t="shared" si="129"/>
        <v>39829.648811179832</v>
      </c>
      <c r="F363" s="680">
        <f t="shared" si="129"/>
        <v>85877.544032358157</v>
      </c>
      <c r="G363" s="680">
        <f t="shared" si="129"/>
        <v>6864.1770282705929</v>
      </c>
      <c r="H363" s="680">
        <f t="shared" si="129"/>
        <v>124981.27420977165</v>
      </c>
      <c r="I363" s="680">
        <f t="shared" si="129"/>
        <v>32098.724934192222</v>
      </c>
      <c r="J363" s="513">
        <f t="shared" si="123"/>
        <v>2280210.6194705418</v>
      </c>
      <c r="K363" s="680">
        <v>320</v>
      </c>
      <c r="L363" s="680">
        <f t="shared" si="125"/>
        <v>7125.6581858454429</v>
      </c>
      <c r="M363" s="668">
        <v>10595</v>
      </c>
      <c r="N363" s="668"/>
      <c r="O363" s="556" t="s">
        <v>467</v>
      </c>
      <c r="P363" s="672">
        <v>40836</v>
      </c>
      <c r="Q363" s="670"/>
      <c r="R363" s="572">
        <v>107</v>
      </c>
      <c r="S363" s="296">
        <v>17427</v>
      </c>
      <c r="T363" s="513">
        <f t="shared" si="126"/>
        <v>1864689</v>
      </c>
      <c r="U363" s="537"/>
      <c r="V363" s="672"/>
      <c r="W363" s="496"/>
      <c r="X363" s="296"/>
      <c r="Y363" s="513">
        <f t="shared" si="127"/>
        <v>0</v>
      </c>
    </row>
    <row r="364" spans="1:25" ht="16.5" customHeight="1">
      <c r="A364" s="564">
        <f t="shared" si="121"/>
        <v>25</v>
      </c>
      <c r="B364" s="566" t="s">
        <v>731</v>
      </c>
      <c r="C364" s="513">
        <f t="shared" si="122"/>
        <v>2427360</v>
      </c>
      <c r="D364" s="680">
        <f t="shared" si="129"/>
        <v>118004.29730134612</v>
      </c>
      <c r="E364" s="680">
        <f t="shared" si="129"/>
        <v>37340.295760481094</v>
      </c>
      <c r="F364" s="680">
        <f t="shared" si="129"/>
        <v>80510.197530335776</v>
      </c>
      <c r="G364" s="680">
        <f t="shared" si="129"/>
        <v>6435.1659640036814</v>
      </c>
      <c r="H364" s="680">
        <f t="shared" si="129"/>
        <v>117169.94457166092</v>
      </c>
      <c r="I364" s="680">
        <f t="shared" si="129"/>
        <v>30092.554625805209</v>
      </c>
      <c r="J364" s="513">
        <f t="shared" si="123"/>
        <v>2816911.4557536324</v>
      </c>
      <c r="K364" s="680">
        <v>300</v>
      </c>
      <c r="L364" s="680">
        <f t="shared" si="125"/>
        <v>9389.7048525121081</v>
      </c>
      <c r="M364" s="668">
        <v>12179</v>
      </c>
      <c r="N364" s="668"/>
      <c r="O364" s="556" t="s">
        <v>548</v>
      </c>
      <c r="P364" s="672">
        <v>40836</v>
      </c>
      <c r="Q364" s="670"/>
      <c r="R364" s="572">
        <v>104</v>
      </c>
      <c r="S364" s="296">
        <v>23340</v>
      </c>
      <c r="T364" s="513">
        <f t="shared" si="126"/>
        <v>2427360</v>
      </c>
      <c r="U364" s="537"/>
      <c r="V364" s="672"/>
      <c r="W364" s="496"/>
      <c r="X364" s="296"/>
      <c r="Y364" s="513">
        <f t="shared" si="127"/>
        <v>0</v>
      </c>
    </row>
    <row r="365" spans="1:25" ht="16.5" customHeight="1">
      <c r="A365" s="564">
        <f t="shared" si="121"/>
        <v>26</v>
      </c>
      <c r="B365" s="566" t="s">
        <v>726</v>
      </c>
      <c r="C365" s="513">
        <f t="shared" si="122"/>
        <v>3534076</v>
      </c>
      <c r="D365" s="680">
        <f t="shared" si="129"/>
        <v>137671.68018490382</v>
      </c>
      <c r="E365" s="680">
        <f t="shared" si="129"/>
        <v>43563.678387227941</v>
      </c>
      <c r="F365" s="680">
        <f t="shared" si="129"/>
        <v>93928.563785391743</v>
      </c>
      <c r="G365" s="680">
        <f t="shared" si="129"/>
        <v>7507.6936246709611</v>
      </c>
      <c r="H365" s="680">
        <f t="shared" si="129"/>
        <v>136698.26866693774</v>
      </c>
      <c r="I365" s="680">
        <f t="shared" si="129"/>
        <v>35107.980396772742</v>
      </c>
      <c r="J365" s="513">
        <f t="shared" si="123"/>
        <v>3988552.8650459056</v>
      </c>
      <c r="K365" s="680">
        <v>350</v>
      </c>
      <c r="L365" s="680">
        <f t="shared" si="125"/>
        <v>11395.865328702588</v>
      </c>
      <c r="M365" s="668">
        <v>15618</v>
      </c>
      <c r="N365" s="668"/>
      <c r="O365" s="567" t="s">
        <v>586</v>
      </c>
      <c r="P365" s="672">
        <v>40836</v>
      </c>
      <c r="Q365" s="670"/>
      <c r="R365" s="572">
        <v>182</v>
      </c>
      <c r="S365" s="296">
        <v>19418</v>
      </c>
      <c r="T365" s="513">
        <f t="shared" si="126"/>
        <v>3534076</v>
      </c>
      <c r="U365" s="537"/>
      <c r="V365" s="672"/>
      <c r="W365" s="496"/>
      <c r="X365" s="296"/>
      <c r="Y365" s="513">
        <f t="shared" si="127"/>
        <v>0</v>
      </c>
    </row>
    <row r="366" spans="1:25" ht="16.5" customHeight="1">
      <c r="A366" s="564">
        <f t="shared" si="121"/>
        <v>27</v>
      </c>
      <c r="B366" s="566" t="s">
        <v>1207</v>
      </c>
      <c r="C366" s="513">
        <f t="shared" si="122"/>
        <v>2857816</v>
      </c>
      <c r="D366" s="680">
        <f t="shared" si="129"/>
        <v>114070.82072463458</v>
      </c>
      <c r="E366" s="680">
        <f t="shared" si="129"/>
        <v>36095.619235131722</v>
      </c>
      <c r="F366" s="680">
        <f t="shared" si="129"/>
        <v>77826.524279324585</v>
      </c>
      <c r="G366" s="680">
        <f t="shared" si="129"/>
        <v>6220.6604318702248</v>
      </c>
      <c r="H366" s="680">
        <f t="shared" si="129"/>
        <v>113264.27975260557</v>
      </c>
      <c r="I366" s="680">
        <f t="shared" si="129"/>
        <v>29089.469471611701</v>
      </c>
      <c r="J366" s="513">
        <f t="shared" si="123"/>
        <v>3234382.3738951785</v>
      </c>
      <c r="K366" s="680">
        <v>290</v>
      </c>
      <c r="L366" s="680">
        <f t="shared" si="125"/>
        <v>11153.042668604065</v>
      </c>
      <c r="M366" s="668">
        <v>16534</v>
      </c>
      <c r="N366" s="668"/>
      <c r="O366" s="556" t="s">
        <v>547</v>
      </c>
      <c r="P366" s="672">
        <v>40836</v>
      </c>
      <c r="Q366" s="670"/>
      <c r="R366" s="572">
        <v>104</v>
      </c>
      <c r="S366" s="296">
        <v>27479</v>
      </c>
      <c r="T366" s="513">
        <f t="shared" si="126"/>
        <v>2857816</v>
      </c>
      <c r="U366" s="537"/>
      <c r="V366" s="672"/>
      <c r="W366" s="496"/>
      <c r="X366" s="296"/>
      <c r="Y366" s="513">
        <f t="shared" si="127"/>
        <v>0</v>
      </c>
    </row>
    <row r="367" spans="1:25" ht="16.5" customHeight="1">
      <c r="A367" s="564">
        <f t="shared" si="121"/>
        <v>28</v>
      </c>
      <c r="B367" s="566" t="s">
        <v>1213</v>
      </c>
      <c r="C367" s="513">
        <f t="shared" si="122"/>
        <v>1840280</v>
      </c>
      <c r="D367" s="680">
        <f t="shared" si="129"/>
        <v>51135.195497249988</v>
      </c>
      <c r="E367" s="680">
        <f t="shared" si="129"/>
        <v>16180.794829541806</v>
      </c>
      <c r="F367" s="680">
        <f t="shared" si="129"/>
        <v>34887.752263145507</v>
      </c>
      <c r="G367" s="680">
        <f t="shared" si="129"/>
        <v>2788.5719177349283</v>
      </c>
      <c r="H367" s="680">
        <f t="shared" si="129"/>
        <v>50773.642647719738</v>
      </c>
      <c r="I367" s="680">
        <f t="shared" si="129"/>
        <v>13040.10700451559</v>
      </c>
      <c r="J367" s="513">
        <f t="shared" si="123"/>
        <v>2009085.0641599076</v>
      </c>
      <c r="K367" s="680">
        <v>130</v>
      </c>
      <c r="L367" s="680">
        <f t="shared" si="125"/>
        <v>15454.500493537751</v>
      </c>
      <c r="M367" s="668">
        <v>20633</v>
      </c>
      <c r="N367" s="668"/>
      <c r="O367" s="566" t="s">
        <v>460</v>
      </c>
      <c r="P367" s="672">
        <v>40836</v>
      </c>
      <c r="Q367" s="670"/>
      <c r="R367" s="572">
        <v>52</v>
      </c>
      <c r="S367" s="296">
        <v>35390</v>
      </c>
      <c r="T367" s="513">
        <f t="shared" si="126"/>
        <v>1840280</v>
      </c>
      <c r="U367" s="537"/>
      <c r="V367" s="672"/>
      <c r="W367" s="496"/>
      <c r="X367" s="296"/>
      <c r="Y367" s="513">
        <f t="shared" si="127"/>
        <v>0</v>
      </c>
    </row>
    <row r="368" spans="1:25" ht="16.5" customHeight="1">
      <c r="A368" s="564">
        <f t="shared" si="121"/>
        <v>29</v>
      </c>
      <c r="B368" s="566" t="s">
        <v>722</v>
      </c>
      <c r="C368" s="513">
        <f t="shared" si="122"/>
        <v>1219890</v>
      </c>
      <c r="D368" s="680">
        <f t="shared" si="129"/>
        <v>82603.00811094229</v>
      </c>
      <c r="E368" s="680">
        <f t="shared" si="129"/>
        <v>26138.207032336766</v>
      </c>
      <c r="F368" s="680">
        <f t="shared" si="129"/>
        <v>56357.138271235046</v>
      </c>
      <c r="G368" s="680">
        <f t="shared" si="129"/>
        <v>4504.616174802577</v>
      </c>
      <c r="H368" s="680">
        <f t="shared" si="129"/>
        <v>82018.961200162652</v>
      </c>
      <c r="I368" s="680">
        <f t="shared" si="129"/>
        <v>21064.788238063647</v>
      </c>
      <c r="J368" s="513">
        <f t="shared" si="123"/>
        <v>1492575.7190275432</v>
      </c>
      <c r="K368" s="680">
        <v>210</v>
      </c>
      <c r="L368" s="680">
        <f t="shared" si="125"/>
        <v>7107.5034239406823</v>
      </c>
      <c r="M368" s="668">
        <v>10595</v>
      </c>
      <c r="N368" s="668"/>
      <c r="O368" s="556" t="s">
        <v>467</v>
      </c>
      <c r="P368" s="672">
        <v>40838</v>
      </c>
      <c r="Q368" s="670"/>
      <c r="R368" s="572">
        <f>K368/3</f>
        <v>70</v>
      </c>
      <c r="S368" s="296">
        <v>17427</v>
      </c>
      <c r="T368" s="513">
        <f t="shared" si="126"/>
        <v>1219890</v>
      </c>
      <c r="U368" s="537"/>
      <c r="V368" s="672"/>
      <c r="W368" s="496"/>
      <c r="X368" s="296"/>
      <c r="Y368" s="513">
        <f t="shared" si="127"/>
        <v>0</v>
      </c>
    </row>
    <row r="369" spans="1:25" ht="16.5" customHeight="1">
      <c r="A369" s="564">
        <f t="shared" si="121"/>
        <v>30</v>
      </c>
      <c r="B369" s="566" t="s">
        <v>1214</v>
      </c>
      <c r="C369" s="513">
        <f t="shared" si="122"/>
        <v>1102850</v>
      </c>
      <c r="D369" s="680">
        <f t="shared" si="129"/>
        <v>59002.148650673058</v>
      </c>
      <c r="E369" s="680">
        <f t="shared" si="129"/>
        <v>18670.147880240547</v>
      </c>
      <c r="F369" s="680">
        <f t="shared" si="129"/>
        <v>40255.098765167888</v>
      </c>
      <c r="G369" s="680">
        <f t="shared" si="129"/>
        <v>3217.5829820018407</v>
      </c>
      <c r="H369" s="680">
        <f t="shared" si="129"/>
        <v>58584.972285830459</v>
      </c>
      <c r="I369" s="680">
        <f t="shared" si="129"/>
        <v>15046.277312902605</v>
      </c>
      <c r="J369" s="513">
        <f t="shared" si="123"/>
        <v>1297625.2278768162</v>
      </c>
      <c r="K369" s="680">
        <v>150</v>
      </c>
      <c r="L369" s="680">
        <f t="shared" si="125"/>
        <v>8650.8348525121073</v>
      </c>
      <c r="M369" s="668">
        <v>17966</v>
      </c>
      <c r="N369" s="668"/>
      <c r="O369" s="567" t="s">
        <v>603</v>
      </c>
      <c r="P369" s="672">
        <v>40838</v>
      </c>
      <c r="Q369" s="670"/>
      <c r="R369" s="572">
        <v>46</v>
      </c>
      <c r="S369" s="296">
        <v>23975</v>
      </c>
      <c r="T369" s="513">
        <f t="shared" si="126"/>
        <v>1102850</v>
      </c>
      <c r="U369" s="537"/>
      <c r="V369" s="672"/>
      <c r="W369" s="496"/>
      <c r="X369" s="296"/>
      <c r="Y369" s="513">
        <f t="shared" si="127"/>
        <v>0</v>
      </c>
    </row>
    <row r="370" spans="1:25" ht="16.5" customHeight="1">
      <c r="A370" s="564">
        <f t="shared" si="121"/>
        <v>31</v>
      </c>
      <c r="B370" s="566" t="s">
        <v>1215</v>
      </c>
      <c r="C370" s="513">
        <f t="shared" si="122"/>
        <v>2784936</v>
      </c>
      <c r="D370" s="680">
        <f t="shared" ref="D370:I379" si="130">IF($K$582&lt;&gt;0,D$582/$K$582*$K370,0)</f>
        <v>134524.89892353458</v>
      </c>
      <c r="E370" s="680">
        <f t="shared" si="130"/>
        <v>42567.937166948446</v>
      </c>
      <c r="F370" s="680">
        <f t="shared" si="130"/>
        <v>91781.625184582794</v>
      </c>
      <c r="G370" s="680">
        <f t="shared" si="130"/>
        <v>7336.0891989641968</v>
      </c>
      <c r="H370" s="680">
        <f t="shared" si="130"/>
        <v>133573.73681169347</v>
      </c>
      <c r="I370" s="680">
        <f t="shared" si="130"/>
        <v>34305.512273417939</v>
      </c>
      <c r="J370" s="513">
        <f t="shared" si="123"/>
        <v>3229024.799559141</v>
      </c>
      <c r="K370" s="680">
        <v>342</v>
      </c>
      <c r="L370" s="680">
        <f t="shared" si="125"/>
        <v>9441.5929811670794</v>
      </c>
      <c r="M370" s="668">
        <v>14535</v>
      </c>
      <c r="N370" s="668"/>
      <c r="O370" s="567" t="s">
        <v>584</v>
      </c>
      <c r="P370" s="672">
        <v>40838</v>
      </c>
      <c r="Q370" s="670"/>
      <c r="R370" s="572">
        <v>132</v>
      </c>
      <c r="S370" s="296">
        <v>21098</v>
      </c>
      <c r="T370" s="513">
        <f t="shared" si="126"/>
        <v>2784936</v>
      </c>
      <c r="U370" s="537"/>
      <c r="V370" s="672"/>
      <c r="W370" s="496"/>
      <c r="X370" s="296"/>
      <c r="Y370" s="513">
        <f t="shared" si="127"/>
        <v>0</v>
      </c>
    </row>
    <row r="371" spans="1:25" ht="16.5" customHeight="1">
      <c r="A371" s="564">
        <f t="shared" si="121"/>
        <v>32</v>
      </c>
      <c r="B371" s="566" t="s">
        <v>723</v>
      </c>
      <c r="C371" s="513">
        <f t="shared" si="122"/>
        <v>919800</v>
      </c>
      <c r="D371" s="680">
        <f t="shared" si="130"/>
        <v>59002.148650673058</v>
      </c>
      <c r="E371" s="680">
        <f t="shared" si="130"/>
        <v>18670.147880240547</v>
      </c>
      <c r="F371" s="680">
        <f t="shared" si="130"/>
        <v>40255.098765167888</v>
      </c>
      <c r="G371" s="680">
        <f t="shared" si="130"/>
        <v>3217.5829820018407</v>
      </c>
      <c r="H371" s="680">
        <f t="shared" si="130"/>
        <v>58584.972285830459</v>
      </c>
      <c r="I371" s="680">
        <f t="shared" si="130"/>
        <v>15046.277312902605</v>
      </c>
      <c r="J371" s="513">
        <f t="shared" si="123"/>
        <v>1114575.2278768164</v>
      </c>
      <c r="K371" s="680">
        <v>150</v>
      </c>
      <c r="L371" s="680">
        <f t="shared" si="125"/>
        <v>7430.5015191787761</v>
      </c>
      <c r="M371" s="668">
        <v>11321</v>
      </c>
      <c r="N371" s="668"/>
      <c r="O371" s="567" t="s">
        <v>588</v>
      </c>
      <c r="P371" s="672">
        <v>40838</v>
      </c>
      <c r="Q371" s="670"/>
      <c r="R371" s="572">
        <f>K371/3</f>
        <v>50</v>
      </c>
      <c r="S371" s="296">
        <v>18396</v>
      </c>
      <c r="T371" s="513">
        <f t="shared" si="126"/>
        <v>919800</v>
      </c>
      <c r="U371" s="537"/>
      <c r="V371" s="672"/>
      <c r="W371" s="496"/>
      <c r="X371" s="296"/>
      <c r="Y371" s="513">
        <f t="shared" si="127"/>
        <v>0</v>
      </c>
    </row>
    <row r="372" spans="1:25" ht="16.5" customHeight="1">
      <c r="A372" s="564">
        <f t="shared" si="121"/>
        <v>33</v>
      </c>
      <c r="B372" s="566" t="s">
        <v>1216</v>
      </c>
      <c r="C372" s="513">
        <f t="shared" si="122"/>
        <v>941058</v>
      </c>
      <c r="D372" s="680">
        <f t="shared" si="130"/>
        <v>62935.625227384597</v>
      </c>
      <c r="E372" s="680">
        <f t="shared" si="130"/>
        <v>19914.824405589916</v>
      </c>
      <c r="F372" s="680">
        <f t="shared" si="130"/>
        <v>42938.772016179078</v>
      </c>
      <c r="G372" s="680">
        <f t="shared" si="130"/>
        <v>3432.0885141352965</v>
      </c>
      <c r="H372" s="680">
        <f t="shared" si="130"/>
        <v>62490.637104885827</v>
      </c>
      <c r="I372" s="680">
        <f t="shared" si="130"/>
        <v>16049.362467096111</v>
      </c>
      <c r="J372" s="513">
        <f t="shared" si="123"/>
        <v>1148818.3097352709</v>
      </c>
      <c r="K372" s="680">
        <v>160</v>
      </c>
      <c r="L372" s="680">
        <f t="shared" si="125"/>
        <v>7180.114435845443</v>
      </c>
      <c r="M372" s="668">
        <v>10267</v>
      </c>
      <c r="N372" s="668"/>
      <c r="O372" s="556" t="s">
        <v>467</v>
      </c>
      <c r="P372" s="672">
        <v>40838</v>
      </c>
      <c r="Q372" s="670"/>
      <c r="R372" s="572">
        <v>54</v>
      </c>
      <c r="S372" s="296">
        <v>17427</v>
      </c>
      <c r="T372" s="513">
        <f t="shared" si="126"/>
        <v>941058</v>
      </c>
      <c r="U372" s="537"/>
      <c r="V372" s="672"/>
      <c r="W372" s="496"/>
      <c r="X372" s="296"/>
      <c r="Y372" s="513">
        <f t="shared" si="127"/>
        <v>0</v>
      </c>
    </row>
    <row r="373" spans="1:25" ht="16.5" customHeight="1">
      <c r="A373" s="564">
        <f t="shared" si="121"/>
        <v>34</v>
      </c>
      <c r="B373" s="566" t="s">
        <v>958</v>
      </c>
      <c r="C373" s="513">
        <f t="shared" si="122"/>
        <v>919800</v>
      </c>
      <c r="D373" s="680">
        <f t="shared" si="130"/>
        <v>39334.765767115372</v>
      </c>
      <c r="E373" s="680">
        <f t="shared" si="130"/>
        <v>12446.765253493697</v>
      </c>
      <c r="F373" s="680">
        <f t="shared" si="130"/>
        <v>26836.732510111928</v>
      </c>
      <c r="G373" s="680">
        <f t="shared" si="130"/>
        <v>2145.0553213345602</v>
      </c>
      <c r="H373" s="680">
        <f t="shared" si="130"/>
        <v>39056.648190553642</v>
      </c>
      <c r="I373" s="680">
        <f t="shared" si="130"/>
        <v>10030.85154193507</v>
      </c>
      <c r="J373" s="513">
        <f t="shared" si="123"/>
        <v>1049649.8185845441</v>
      </c>
      <c r="K373" s="680">
        <v>100</v>
      </c>
      <c r="L373" s="680">
        <f t="shared" si="125"/>
        <v>10496.498185845441</v>
      </c>
      <c r="M373" s="668">
        <v>13099</v>
      </c>
      <c r="N373" s="668"/>
      <c r="O373" s="567" t="s">
        <v>588</v>
      </c>
      <c r="P373" s="672">
        <v>40838</v>
      </c>
      <c r="Q373" s="670"/>
      <c r="R373" s="572">
        <v>50</v>
      </c>
      <c r="S373" s="296">
        <v>18396</v>
      </c>
      <c r="T373" s="513">
        <f t="shared" si="126"/>
        <v>919800</v>
      </c>
      <c r="U373" s="537"/>
      <c r="V373" s="672"/>
      <c r="W373" s="496"/>
      <c r="X373" s="296"/>
      <c r="Y373" s="513">
        <f t="shared" si="127"/>
        <v>0</v>
      </c>
    </row>
    <row r="374" spans="1:25" ht="16.5" customHeight="1">
      <c r="A374" s="564">
        <f t="shared" si="121"/>
        <v>35</v>
      </c>
      <c r="B374" s="566" t="s">
        <v>725</v>
      </c>
      <c r="C374" s="513">
        <f t="shared" si="122"/>
        <v>1528960</v>
      </c>
      <c r="D374" s="680">
        <f t="shared" si="130"/>
        <v>66869.101804096135</v>
      </c>
      <c r="E374" s="680">
        <f t="shared" si="130"/>
        <v>21159.500930939284</v>
      </c>
      <c r="F374" s="680">
        <f t="shared" si="130"/>
        <v>45622.445267190276</v>
      </c>
      <c r="G374" s="680">
        <f t="shared" si="130"/>
        <v>3646.5940462687527</v>
      </c>
      <c r="H374" s="680">
        <f t="shared" si="130"/>
        <v>66396.301923941195</v>
      </c>
      <c r="I374" s="680">
        <f t="shared" si="130"/>
        <v>17052.447621289619</v>
      </c>
      <c r="J374" s="513">
        <f t="shared" si="123"/>
        <v>1749705.3915937254</v>
      </c>
      <c r="K374" s="680">
        <v>170</v>
      </c>
      <c r="L374" s="680">
        <f t="shared" si="125"/>
        <v>10292.384656433678</v>
      </c>
      <c r="M374" s="668">
        <v>12564</v>
      </c>
      <c r="N374" s="668"/>
      <c r="O374" s="556" t="s">
        <v>461</v>
      </c>
      <c r="P374" s="672">
        <v>40838</v>
      </c>
      <c r="Q374" s="670"/>
      <c r="R374" s="495">
        <v>80</v>
      </c>
      <c r="S374" s="300">
        <v>19112</v>
      </c>
      <c r="T374" s="513">
        <f t="shared" si="126"/>
        <v>1528960</v>
      </c>
      <c r="U374" s="537"/>
      <c r="V374" s="672"/>
      <c r="W374" s="496"/>
      <c r="X374" s="296"/>
      <c r="Y374" s="513">
        <f t="shared" si="127"/>
        <v>0</v>
      </c>
    </row>
    <row r="375" spans="1:25" ht="16.5" customHeight="1">
      <c r="A375" s="564">
        <f t="shared" si="121"/>
        <v>36</v>
      </c>
      <c r="B375" s="566" t="s">
        <v>728</v>
      </c>
      <c r="C375" s="513">
        <f t="shared" si="122"/>
        <v>2124760</v>
      </c>
      <c r="D375" s="680">
        <f t="shared" si="130"/>
        <v>74736.054957519213</v>
      </c>
      <c r="E375" s="680">
        <f t="shared" si="130"/>
        <v>23648.853981638025</v>
      </c>
      <c r="F375" s="680">
        <f t="shared" si="130"/>
        <v>50989.791769212658</v>
      </c>
      <c r="G375" s="680">
        <f t="shared" si="130"/>
        <v>4075.6051105356646</v>
      </c>
      <c r="H375" s="680">
        <f t="shared" si="130"/>
        <v>74207.631562051916</v>
      </c>
      <c r="I375" s="680">
        <f t="shared" si="130"/>
        <v>19058.617929676631</v>
      </c>
      <c r="J375" s="513">
        <f t="shared" si="123"/>
        <v>2371475.555310634</v>
      </c>
      <c r="K375" s="680">
        <v>190</v>
      </c>
      <c r="L375" s="680">
        <f t="shared" si="125"/>
        <v>12481.4502911086</v>
      </c>
      <c r="M375" s="668">
        <v>16284</v>
      </c>
      <c r="N375" s="668"/>
      <c r="O375" s="556" t="s">
        <v>492</v>
      </c>
      <c r="P375" s="672">
        <v>40838</v>
      </c>
      <c r="Q375" s="670"/>
      <c r="R375" s="572">
        <v>110</v>
      </c>
      <c r="S375" s="296">
        <v>19316</v>
      </c>
      <c r="T375" s="513">
        <f t="shared" si="126"/>
        <v>2124760</v>
      </c>
      <c r="U375" s="537"/>
      <c r="V375" s="672"/>
      <c r="W375" s="496"/>
      <c r="X375" s="296"/>
      <c r="Y375" s="513">
        <f t="shared" si="127"/>
        <v>0</v>
      </c>
    </row>
    <row r="376" spans="1:25" ht="16.5" customHeight="1">
      <c r="A376" s="564">
        <f t="shared" si="121"/>
        <v>37</v>
      </c>
      <c r="B376" s="566" t="s">
        <v>724</v>
      </c>
      <c r="C376" s="513">
        <f t="shared" si="122"/>
        <v>680652</v>
      </c>
      <c r="D376" s="680">
        <f t="shared" si="130"/>
        <v>43268.242343826911</v>
      </c>
      <c r="E376" s="680">
        <f t="shared" si="130"/>
        <v>13691.441778843067</v>
      </c>
      <c r="F376" s="680">
        <f t="shared" si="130"/>
        <v>29520.405761123118</v>
      </c>
      <c r="G376" s="680">
        <f t="shared" si="130"/>
        <v>2359.5608534680164</v>
      </c>
      <c r="H376" s="680">
        <f t="shared" si="130"/>
        <v>42962.313009609003</v>
      </c>
      <c r="I376" s="680">
        <f t="shared" si="130"/>
        <v>11033.936696128576</v>
      </c>
      <c r="J376" s="513">
        <f t="shared" si="123"/>
        <v>823486.90044299874</v>
      </c>
      <c r="K376" s="680">
        <v>110</v>
      </c>
      <c r="L376" s="680">
        <f t="shared" si="125"/>
        <v>7486.2445494818066</v>
      </c>
      <c r="M376" s="668">
        <v>10253</v>
      </c>
      <c r="N376" s="668"/>
      <c r="O376" s="567" t="s">
        <v>588</v>
      </c>
      <c r="P376" s="672">
        <v>40838</v>
      </c>
      <c r="Q376" s="670"/>
      <c r="R376" s="572">
        <v>37</v>
      </c>
      <c r="S376" s="296">
        <v>18396</v>
      </c>
      <c r="T376" s="513">
        <f t="shared" si="126"/>
        <v>680652</v>
      </c>
      <c r="U376" s="537"/>
      <c r="V376" s="672"/>
      <c r="W376" s="496"/>
      <c r="X376" s="296"/>
      <c r="Y376" s="513">
        <f t="shared" si="127"/>
        <v>0</v>
      </c>
    </row>
    <row r="377" spans="1:25" ht="16.5" customHeight="1">
      <c r="A377" s="564">
        <f t="shared" si="121"/>
        <v>38</v>
      </c>
      <c r="B377" s="566" t="s">
        <v>1217</v>
      </c>
      <c r="C377" s="513">
        <f t="shared" si="122"/>
        <v>2399040</v>
      </c>
      <c r="D377" s="680">
        <f t="shared" si="130"/>
        <v>118004.29730134612</v>
      </c>
      <c r="E377" s="680">
        <f t="shared" si="130"/>
        <v>37340.295760481094</v>
      </c>
      <c r="F377" s="680">
        <f t="shared" si="130"/>
        <v>80510.197530335776</v>
      </c>
      <c r="G377" s="680">
        <f t="shared" si="130"/>
        <v>6435.1659640036814</v>
      </c>
      <c r="H377" s="680">
        <f t="shared" si="130"/>
        <v>117169.94457166092</v>
      </c>
      <c r="I377" s="680">
        <f t="shared" si="130"/>
        <v>30092.554625805209</v>
      </c>
      <c r="J377" s="513">
        <f t="shared" si="123"/>
        <v>2788591.4557536324</v>
      </c>
      <c r="K377" s="680">
        <v>300</v>
      </c>
      <c r="L377" s="680">
        <f t="shared" si="125"/>
        <v>9295.3048525121085</v>
      </c>
      <c r="M377" s="668">
        <v>18620</v>
      </c>
      <c r="N377" s="668"/>
      <c r="O377" s="567" t="s">
        <v>583</v>
      </c>
      <c r="P377" s="672">
        <v>40838</v>
      </c>
      <c r="Q377" s="670"/>
      <c r="R377" s="572">
        <v>90</v>
      </c>
      <c r="S377" s="296">
        <v>26656</v>
      </c>
      <c r="T377" s="513">
        <f t="shared" si="126"/>
        <v>2399040</v>
      </c>
      <c r="U377" s="537"/>
      <c r="V377" s="672"/>
      <c r="W377" s="496"/>
      <c r="X377" s="296"/>
      <c r="Y377" s="513">
        <f t="shared" si="127"/>
        <v>0</v>
      </c>
    </row>
    <row r="378" spans="1:25" ht="16.5" customHeight="1">
      <c r="A378" s="564">
        <f t="shared" si="121"/>
        <v>39</v>
      </c>
      <c r="B378" s="566" t="s">
        <v>1186</v>
      </c>
      <c r="C378" s="513">
        <f t="shared" si="122"/>
        <v>1651608</v>
      </c>
      <c r="D378" s="680">
        <f t="shared" si="130"/>
        <v>221848.0789265307</v>
      </c>
      <c r="E378" s="680">
        <f t="shared" si="130"/>
        <v>70199.756029704455</v>
      </c>
      <c r="F378" s="680">
        <f t="shared" si="130"/>
        <v>151359.17135703127</v>
      </c>
      <c r="G378" s="680">
        <f t="shared" si="130"/>
        <v>12098.112012326921</v>
      </c>
      <c r="H378" s="680">
        <f t="shared" si="130"/>
        <v>220279.49579472255</v>
      </c>
      <c r="I378" s="680">
        <f t="shared" si="130"/>
        <v>56574.002696513795</v>
      </c>
      <c r="J378" s="513">
        <f t="shared" si="123"/>
        <v>2383965.616816829</v>
      </c>
      <c r="K378" s="680">
        <v>564</v>
      </c>
      <c r="L378" s="680">
        <f t="shared" si="125"/>
        <v>4226.8893915192002</v>
      </c>
      <c r="M378" s="668">
        <v>5080</v>
      </c>
      <c r="N378" s="668"/>
      <c r="O378" s="567" t="s">
        <v>592</v>
      </c>
      <c r="P378" s="672">
        <v>40839</v>
      </c>
      <c r="Q378" s="670"/>
      <c r="R378" s="572">
        <v>58</v>
      </c>
      <c r="S378" s="296">
        <v>28476</v>
      </c>
      <c r="T378" s="513">
        <f t="shared" si="126"/>
        <v>1651608</v>
      </c>
      <c r="U378" s="537"/>
      <c r="V378" s="672"/>
      <c r="W378" s="496"/>
      <c r="X378" s="296"/>
      <c r="Y378" s="513">
        <f t="shared" si="127"/>
        <v>0</v>
      </c>
    </row>
    <row r="379" spans="1:25" ht="16.5" customHeight="1">
      <c r="A379" s="564">
        <f t="shared" si="121"/>
        <v>40</v>
      </c>
      <c r="B379" s="566" t="s">
        <v>1188</v>
      </c>
      <c r="C379" s="513">
        <f t="shared" si="122"/>
        <v>1441440</v>
      </c>
      <c r="D379" s="680">
        <f t="shared" si="130"/>
        <v>157732.41072613266</v>
      </c>
      <c r="E379" s="680">
        <f t="shared" si="130"/>
        <v>49911.52866650973</v>
      </c>
      <c r="F379" s="680">
        <f t="shared" si="130"/>
        <v>107615.29736554883</v>
      </c>
      <c r="G379" s="680">
        <f t="shared" si="130"/>
        <v>8601.6718385515869</v>
      </c>
      <c r="H379" s="680">
        <f t="shared" si="130"/>
        <v>156617.15924412009</v>
      </c>
      <c r="I379" s="680">
        <f t="shared" si="130"/>
        <v>40223.714683159633</v>
      </c>
      <c r="J379" s="513">
        <f t="shared" si="123"/>
        <v>1962140.7825240225</v>
      </c>
      <c r="K379" s="680">
        <v>401</v>
      </c>
      <c r="L379" s="680">
        <f t="shared" si="125"/>
        <v>4893.1191584140215</v>
      </c>
      <c r="M379" s="668">
        <v>4980</v>
      </c>
      <c r="N379" s="668"/>
      <c r="O379" s="566" t="s">
        <v>459</v>
      </c>
      <c r="P379" s="672">
        <v>40839</v>
      </c>
      <c r="Q379" s="670"/>
      <c r="R379" s="572">
        <v>52</v>
      </c>
      <c r="S379" s="296">
        <v>27720</v>
      </c>
      <c r="T379" s="513">
        <f t="shared" si="126"/>
        <v>1441440</v>
      </c>
      <c r="U379" s="537"/>
      <c r="V379" s="672"/>
      <c r="W379" s="496"/>
      <c r="X379" s="296"/>
      <c r="Y379" s="513">
        <f t="shared" si="127"/>
        <v>0</v>
      </c>
    </row>
    <row r="380" spans="1:25" ht="16.5" customHeight="1">
      <c r="A380" s="564">
        <f t="shared" si="121"/>
        <v>41</v>
      </c>
      <c r="B380" s="566" t="s">
        <v>1189</v>
      </c>
      <c r="C380" s="513">
        <f t="shared" si="122"/>
        <v>1708200</v>
      </c>
      <c r="D380" s="680">
        <f t="shared" ref="D380:I389" si="131">IF($K$582&lt;&gt;0,D$582/$K$582*$K380,0)</f>
        <v>199033.91478160379</v>
      </c>
      <c r="E380" s="680">
        <f t="shared" si="131"/>
        <v>62980.632182678106</v>
      </c>
      <c r="F380" s="680">
        <f t="shared" si="131"/>
        <v>135793.86650116634</v>
      </c>
      <c r="G380" s="680">
        <f t="shared" si="131"/>
        <v>10853.979925952875</v>
      </c>
      <c r="H380" s="680">
        <f t="shared" si="131"/>
        <v>197626.63984420142</v>
      </c>
      <c r="I380" s="680">
        <f t="shared" si="131"/>
        <v>50756.108802191455</v>
      </c>
      <c r="J380" s="513">
        <f t="shared" si="123"/>
        <v>2365244.142037794</v>
      </c>
      <c r="K380" s="680">
        <v>506</v>
      </c>
      <c r="L380" s="680">
        <f t="shared" si="125"/>
        <v>4674.3955376240992</v>
      </c>
      <c r="M380" s="668">
        <v>5180</v>
      </c>
      <c r="N380" s="668"/>
      <c r="O380" s="556" t="s">
        <v>522</v>
      </c>
      <c r="P380" s="672">
        <v>40839</v>
      </c>
      <c r="Q380" s="670"/>
      <c r="R380" s="572">
        <v>52</v>
      </c>
      <c r="S380" s="296">
        <v>32850</v>
      </c>
      <c r="T380" s="513">
        <f t="shared" si="126"/>
        <v>1708200</v>
      </c>
      <c r="U380" s="537"/>
      <c r="V380" s="672"/>
      <c r="W380" s="496"/>
      <c r="X380" s="296"/>
      <c r="Y380" s="513">
        <f t="shared" si="127"/>
        <v>0</v>
      </c>
    </row>
    <row r="381" spans="1:25" ht="16.5" customHeight="1">
      <c r="A381" s="564">
        <f t="shared" si="121"/>
        <v>42</v>
      </c>
      <c r="B381" s="566" t="s">
        <v>1190</v>
      </c>
      <c r="C381" s="513">
        <f t="shared" si="122"/>
        <v>1559040</v>
      </c>
      <c r="D381" s="680">
        <f t="shared" si="131"/>
        <v>118397.64495901727</v>
      </c>
      <c r="E381" s="680">
        <f t="shared" si="131"/>
        <v>37464.76341301603</v>
      </c>
      <c r="F381" s="680">
        <f t="shared" si="131"/>
        <v>80778.564855436896</v>
      </c>
      <c r="G381" s="680">
        <f t="shared" si="131"/>
        <v>6456.6165172170267</v>
      </c>
      <c r="H381" s="680">
        <f t="shared" si="131"/>
        <v>117560.51105356646</v>
      </c>
      <c r="I381" s="680">
        <f t="shared" si="131"/>
        <v>30192.86314122456</v>
      </c>
      <c r="J381" s="513">
        <f t="shared" si="123"/>
        <v>1949889.9639394779</v>
      </c>
      <c r="K381" s="680">
        <v>301</v>
      </c>
      <c r="L381" s="680">
        <f t="shared" si="125"/>
        <v>6478.0397473072353</v>
      </c>
      <c r="M381" s="668">
        <v>6740</v>
      </c>
      <c r="N381" s="668"/>
      <c r="O381" s="556" t="s">
        <v>498</v>
      </c>
      <c r="P381" s="672">
        <v>40839</v>
      </c>
      <c r="Q381" s="670"/>
      <c r="R381" s="572">
        <v>58</v>
      </c>
      <c r="S381" s="296">
        <v>26880</v>
      </c>
      <c r="T381" s="513">
        <f t="shared" si="126"/>
        <v>1559040</v>
      </c>
      <c r="U381" s="537"/>
      <c r="V381" s="672"/>
      <c r="W381" s="496"/>
      <c r="X381" s="296"/>
      <c r="Y381" s="513">
        <f t="shared" si="127"/>
        <v>0</v>
      </c>
    </row>
    <row r="382" spans="1:25" ht="16.5" customHeight="1">
      <c r="A382" s="564">
        <f t="shared" si="121"/>
        <v>43</v>
      </c>
      <c r="B382" s="566" t="s">
        <v>1191</v>
      </c>
      <c r="C382" s="513">
        <f t="shared" si="122"/>
        <v>787864</v>
      </c>
      <c r="D382" s="680">
        <f t="shared" si="131"/>
        <v>121151.07856271535</v>
      </c>
      <c r="E382" s="680">
        <f t="shared" si="131"/>
        <v>38336.036980760589</v>
      </c>
      <c r="F382" s="680">
        <f t="shared" si="131"/>
        <v>82657.13613114474</v>
      </c>
      <c r="G382" s="680">
        <f t="shared" si="131"/>
        <v>6606.7703897104457</v>
      </c>
      <c r="H382" s="680">
        <f t="shared" si="131"/>
        <v>120294.47642690522</v>
      </c>
      <c r="I382" s="680">
        <f t="shared" si="131"/>
        <v>30895.022749160016</v>
      </c>
      <c r="J382" s="513">
        <f t="shared" si="123"/>
        <v>1187803.5212403962</v>
      </c>
      <c r="K382" s="680">
        <v>308</v>
      </c>
      <c r="L382" s="680">
        <f t="shared" si="125"/>
        <v>3856.5049390921954</v>
      </c>
      <c r="M382" s="668">
        <v>4980</v>
      </c>
      <c r="N382" s="668"/>
      <c r="O382" s="556" t="s">
        <v>613</v>
      </c>
      <c r="P382" s="672">
        <v>40839</v>
      </c>
      <c r="Q382" s="670"/>
      <c r="R382" s="572">
        <v>22</v>
      </c>
      <c r="S382" s="296">
        <v>35812</v>
      </c>
      <c r="T382" s="513">
        <f t="shared" si="126"/>
        <v>787864</v>
      </c>
      <c r="U382" s="537"/>
      <c r="V382" s="672"/>
      <c r="W382" s="496"/>
      <c r="X382" s="296"/>
      <c r="Y382" s="513">
        <f t="shared" si="127"/>
        <v>0</v>
      </c>
    </row>
    <row r="383" spans="1:25" ht="16.5" customHeight="1">
      <c r="A383" s="564">
        <f t="shared" si="121"/>
        <v>44</v>
      </c>
      <c r="B383" s="566" t="s">
        <v>1192</v>
      </c>
      <c r="C383" s="513">
        <f t="shared" si="122"/>
        <v>2283008</v>
      </c>
      <c r="D383" s="680">
        <f t="shared" si="131"/>
        <v>199033.91478160379</v>
      </c>
      <c r="E383" s="680">
        <f t="shared" si="131"/>
        <v>62980.632182678106</v>
      </c>
      <c r="F383" s="680">
        <f t="shared" si="131"/>
        <v>135793.86650116634</v>
      </c>
      <c r="G383" s="680">
        <f t="shared" si="131"/>
        <v>10853.979925952875</v>
      </c>
      <c r="H383" s="680">
        <f t="shared" si="131"/>
        <v>197626.63984420142</v>
      </c>
      <c r="I383" s="680">
        <f t="shared" si="131"/>
        <v>50756.108802191455</v>
      </c>
      <c r="J383" s="513">
        <f t="shared" si="123"/>
        <v>2940052.1420377945</v>
      </c>
      <c r="K383" s="680">
        <v>506</v>
      </c>
      <c r="L383" s="680">
        <f t="shared" si="125"/>
        <v>5810.3797273474202</v>
      </c>
      <c r="M383" s="668">
        <v>6680</v>
      </c>
      <c r="N383" s="668"/>
      <c r="O383" s="556" t="s">
        <v>472</v>
      </c>
      <c r="P383" s="672">
        <v>40839</v>
      </c>
      <c r="Q383" s="670"/>
      <c r="R383" s="572">
        <v>52</v>
      </c>
      <c r="S383" s="296">
        <v>43904</v>
      </c>
      <c r="T383" s="513">
        <f t="shared" si="126"/>
        <v>2283008</v>
      </c>
      <c r="U383" s="537"/>
      <c r="V383" s="672"/>
      <c r="W383" s="496"/>
      <c r="X383" s="296"/>
      <c r="Y383" s="513">
        <f t="shared" si="127"/>
        <v>0</v>
      </c>
    </row>
    <row r="384" spans="1:25" ht="16.5" customHeight="1">
      <c r="A384" s="564">
        <f t="shared" si="121"/>
        <v>45</v>
      </c>
      <c r="B384" s="566" t="s">
        <v>1193</v>
      </c>
      <c r="C384" s="513">
        <f t="shared" si="122"/>
        <v>1215739</v>
      </c>
      <c r="D384" s="680">
        <f t="shared" si="131"/>
        <v>155765.67243777687</v>
      </c>
      <c r="E384" s="680">
        <f t="shared" si="131"/>
        <v>49289.19040383504</v>
      </c>
      <c r="F384" s="680">
        <f t="shared" si="131"/>
        <v>106273.46074004323</v>
      </c>
      <c r="G384" s="680">
        <f t="shared" si="131"/>
        <v>8494.4190724848595</v>
      </c>
      <c r="H384" s="680">
        <f t="shared" si="131"/>
        <v>154664.32683459242</v>
      </c>
      <c r="I384" s="680">
        <f t="shared" si="131"/>
        <v>39722.172106062877</v>
      </c>
      <c r="J384" s="513">
        <f t="shared" si="123"/>
        <v>1729947.2415947956</v>
      </c>
      <c r="K384" s="680">
        <v>396</v>
      </c>
      <c r="L384" s="680">
        <f t="shared" si="125"/>
        <v>4368.5536403908982</v>
      </c>
      <c r="M384" s="668">
        <v>4400</v>
      </c>
      <c r="N384" s="668"/>
      <c r="O384" s="556" t="s">
        <v>541</v>
      </c>
      <c r="P384" s="672">
        <v>40839</v>
      </c>
      <c r="Q384" s="670"/>
      <c r="R384" s="572">
        <v>43</v>
      </c>
      <c r="S384" s="296">
        <v>28273</v>
      </c>
      <c r="T384" s="513">
        <f t="shared" si="126"/>
        <v>1215739</v>
      </c>
      <c r="U384" s="537"/>
      <c r="V384" s="672"/>
      <c r="W384" s="496"/>
      <c r="X384" s="296"/>
      <c r="Y384" s="513">
        <f t="shared" si="127"/>
        <v>0</v>
      </c>
    </row>
    <row r="385" spans="1:25" ht="16.5" customHeight="1">
      <c r="A385" s="564">
        <f t="shared" si="121"/>
        <v>46</v>
      </c>
      <c r="B385" s="566" t="s">
        <v>1194</v>
      </c>
      <c r="C385" s="513">
        <f t="shared" si="122"/>
        <v>243250</v>
      </c>
      <c r="D385" s="680">
        <f t="shared" si="131"/>
        <v>110137.34414792305</v>
      </c>
      <c r="E385" s="680">
        <f t="shared" si="131"/>
        <v>34850.94270978235</v>
      </c>
      <c r="F385" s="680">
        <f t="shared" si="131"/>
        <v>75142.851028313395</v>
      </c>
      <c r="G385" s="680">
        <f t="shared" si="131"/>
        <v>6006.154899736769</v>
      </c>
      <c r="H385" s="680">
        <f t="shared" si="131"/>
        <v>109358.6149335502</v>
      </c>
      <c r="I385" s="680">
        <f t="shared" si="131"/>
        <v>28086.384317418197</v>
      </c>
      <c r="J385" s="513">
        <f t="shared" si="123"/>
        <v>606831.29203672393</v>
      </c>
      <c r="K385" s="680">
        <v>280</v>
      </c>
      <c r="L385" s="680">
        <f t="shared" si="125"/>
        <v>2167.2546144168714</v>
      </c>
      <c r="M385" s="668">
        <v>2700</v>
      </c>
      <c r="N385" s="668"/>
      <c r="O385" s="556" t="s">
        <v>379</v>
      </c>
      <c r="P385" s="672">
        <v>40839</v>
      </c>
      <c r="Q385" s="670"/>
      <c r="R385" s="572">
        <v>10</v>
      </c>
      <c r="S385" s="296">
        <v>24325</v>
      </c>
      <c r="T385" s="513">
        <f t="shared" si="126"/>
        <v>243250</v>
      </c>
      <c r="U385" s="537"/>
      <c r="V385" s="672"/>
      <c r="W385" s="496"/>
      <c r="X385" s="296"/>
      <c r="Y385" s="513">
        <f t="shared" si="127"/>
        <v>0</v>
      </c>
    </row>
    <row r="386" spans="1:25" ht="16.5" customHeight="1">
      <c r="A386" s="564">
        <f t="shared" si="121"/>
        <v>47</v>
      </c>
      <c r="B386" s="566" t="s">
        <v>1195</v>
      </c>
      <c r="C386" s="513">
        <f t="shared" si="122"/>
        <v>3173916</v>
      </c>
      <c r="D386" s="680">
        <f t="shared" si="131"/>
        <v>64902.36351574037</v>
      </c>
      <c r="E386" s="680">
        <f t="shared" si="131"/>
        <v>20537.162668264602</v>
      </c>
      <c r="F386" s="680">
        <f t="shared" si="131"/>
        <v>44280.608641684681</v>
      </c>
      <c r="G386" s="680">
        <f t="shared" si="131"/>
        <v>3539.3412802020248</v>
      </c>
      <c r="H386" s="680">
        <f t="shared" si="131"/>
        <v>64443.469514413511</v>
      </c>
      <c r="I386" s="680">
        <f t="shared" si="131"/>
        <v>16550.905044192867</v>
      </c>
      <c r="J386" s="513">
        <f t="shared" si="123"/>
        <v>3388168.8506644978</v>
      </c>
      <c r="K386" s="680">
        <v>165</v>
      </c>
      <c r="L386" s="680">
        <f t="shared" si="125"/>
        <v>20534.356670693927</v>
      </c>
      <c r="M386" s="668">
        <v>25900</v>
      </c>
      <c r="N386" s="668"/>
      <c r="O386" s="567" t="s">
        <v>565</v>
      </c>
      <c r="P386" s="672">
        <v>40840</v>
      </c>
      <c r="Q386" s="670"/>
      <c r="R386" s="572">
        <v>86</v>
      </c>
      <c r="S386" s="296">
        <v>36906</v>
      </c>
      <c r="T386" s="513">
        <f t="shared" si="126"/>
        <v>3173916</v>
      </c>
      <c r="U386" s="537"/>
      <c r="V386" s="672"/>
      <c r="W386" s="496"/>
      <c r="X386" s="296"/>
      <c r="Y386" s="513">
        <f t="shared" si="127"/>
        <v>0</v>
      </c>
    </row>
    <row r="387" spans="1:25" ht="16.5" customHeight="1">
      <c r="A387" s="564">
        <f t="shared" si="121"/>
        <v>48</v>
      </c>
      <c r="B387" s="566" t="s">
        <v>1197</v>
      </c>
      <c r="C387" s="513">
        <f t="shared" si="122"/>
        <v>7697228</v>
      </c>
      <c r="D387" s="680">
        <f t="shared" si="131"/>
        <v>224601.51253022879</v>
      </c>
      <c r="E387" s="680">
        <f t="shared" si="131"/>
        <v>71071.029597449015</v>
      </c>
      <c r="F387" s="680">
        <f t="shared" si="131"/>
        <v>153237.7426327391</v>
      </c>
      <c r="G387" s="680">
        <f t="shared" si="131"/>
        <v>12248.265884820339</v>
      </c>
      <c r="H387" s="680">
        <f t="shared" si="131"/>
        <v>223013.4611680613</v>
      </c>
      <c r="I387" s="680">
        <f t="shared" si="131"/>
        <v>57276.162304449252</v>
      </c>
      <c r="J387" s="513">
        <f t="shared" si="123"/>
        <v>8438675.1741177477</v>
      </c>
      <c r="K387" s="680">
        <v>571</v>
      </c>
      <c r="L387" s="680">
        <f t="shared" si="125"/>
        <v>14778.765628927755</v>
      </c>
      <c r="M387" s="668">
        <v>21300</v>
      </c>
      <c r="N387" s="668"/>
      <c r="O387" s="567" t="s">
        <v>570</v>
      </c>
      <c r="P387" s="672">
        <v>40840</v>
      </c>
      <c r="Q387" s="670"/>
      <c r="R387" s="572">
        <v>326</v>
      </c>
      <c r="S387" s="296">
        <v>23611.12883435583</v>
      </c>
      <c r="T387" s="513">
        <f t="shared" si="126"/>
        <v>7697228</v>
      </c>
      <c r="U387" s="537"/>
      <c r="V387" s="672"/>
      <c r="W387" s="496"/>
      <c r="X387" s="296"/>
      <c r="Y387" s="513">
        <f t="shared" si="127"/>
        <v>0</v>
      </c>
    </row>
    <row r="388" spans="1:25" ht="16.5" customHeight="1">
      <c r="A388" s="564">
        <f t="shared" si="121"/>
        <v>49</v>
      </c>
      <c r="B388" s="566" t="s">
        <v>1210</v>
      </c>
      <c r="C388" s="513">
        <f t="shared" si="122"/>
        <v>1237650</v>
      </c>
      <c r="D388" s="680">
        <f t="shared" si="131"/>
        <v>59002.148650673058</v>
      </c>
      <c r="E388" s="680">
        <f t="shared" si="131"/>
        <v>18670.147880240547</v>
      </c>
      <c r="F388" s="680">
        <f t="shared" si="131"/>
        <v>40255.098765167888</v>
      </c>
      <c r="G388" s="680">
        <f t="shared" si="131"/>
        <v>3217.5829820018407</v>
      </c>
      <c r="H388" s="680">
        <f t="shared" si="131"/>
        <v>58584.972285830459</v>
      </c>
      <c r="I388" s="680">
        <f t="shared" si="131"/>
        <v>15046.277312902605</v>
      </c>
      <c r="J388" s="513">
        <f t="shared" si="123"/>
        <v>1432425.2278768162</v>
      </c>
      <c r="K388" s="680">
        <v>150</v>
      </c>
      <c r="L388" s="680">
        <f t="shared" si="125"/>
        <v>9549.5015191787752</v>
      </c>
      <c r="M388" s="668">
        <v>10397</v>
      </c>
      <c r="N388" s="668"/>
      <c r="O388" s="567" t="s">
        <v>626</v>
      </c>
      <c r="P388" s="672">
        <v>40855</v>
      </c>
      <c r="Q388" s="670"/>
      <c r="R388" s="572">
        <f>K388/2</f>
        <v>75</v>
      </c>
      <c r="S388" s="296">
        <v>16502</v>
      </c>
      <c r="T388" s="513">
        <f t="shared" si="126"/>
        <v>1237650</v>
      </c>
      <c r="U388" s="537"/>
      <c r="V388" s="672"/>
      <c r="W388" s="496"/>
      <c r="X388" s="296"/>
      <c r="Y388" s="513">
        <f t="shared" si="127"/>
        <v>0</v>
      </c>
    </row>
    <row r="389" spans="1:25" ht="16.5" customHeight="1">
      <c r="A389" s="564">
        <f t="shared" si="121"/>
        <v>50</v>
      </c>
      <c r="B389" s="566" t="s">
        <v>1211</v>
      </c>
      <c r="C389" s="513">
        <f t="shared" si="122"/>
        <v>284460</v>
      </c>
      <c r="D389" s="680">
        <f t="shared" si="131"/>
        <v>12980.472703148074</v>
      </c>
      <c r="E389" s="680">
        <f t="shared" si="131"/>
        <v>4107.43253365292</v>
      </c>
      <c r="F389" s="680">
        <f t="shared" si="131"/>
        <v>8856.1217283369351</v>
      </c>
      <c r="G389" s="680">
        <f t="shared" si="131"/>
        <v>707.86825604040496</v>
      </c>
      <c r="H389" s="680">
        <f t="shared" si="131"/>
        <v>12888.693902882702</v>
      </c>
      <c r="I389" s="680">
        <f t="shared" si="131"/>
        <v>3310.1810088385732</v>
      </c>
      <c r="J389" s="513">
        <f t="shared" si="123"/>
        <v>327309.77013289963</v>
      </c>
      <c r="K389" s="680">
        <v>33</v>
      </c>
      <c r="L389" s="680">
        <f t="shared" si="125"/>
        <v>9918.4778828151411</v>
      </c>
      <c r="M389" s="668">
        <v>12869</v>
      </c>
      <c r="N389" s="668"/>
      <c r="O389" s="556" t="s">
        <v>484</v>
      </c>
      <c r="P389" s="672">
        <v>40855</v>
      </c>
      <c r="Q389" s="670"/>
      <c r="R389" s="572">
        <f>K389</f>
        <v>33</v>
      </c>
      <c r="S389" s="296">
        <v>8620</v>
      </c>
      <c r="T389" s="513">
        <f t="shared" si="126"/>
        <v>284460</v>
      </c>
      <c r="U389" s="537"/>
      <c r="V389" s="672"/>
      <c r="W389" s="496"/>
      <c r="X389" s="296"/>
      <c r="Y389" s="513">
        <f t="shared" si="127"/>
        <v>0</v>
      </c>
    </row>
    <row r="390" spans="1:25" ht="16.5" customHeight="1">
      <c r="A390" s="564">
        <f t="shared" si="121"/>
        <v>51</v>
      </c>
      <c r="B390" s="566" t="s">
        <v>1204</v>
      </c>
      <c r="C390" s="513">
        <f t="shared" si="122"/>
        <v>227568</v>
      </c>
      <c r="D390" s="680">
        <f t="shared" ref="D390:I399" si="132">IF($K$582&lt;&gt;0,D$582/$K$582*$K390,0)</f>
        <v>8653.6484687653829</v>
      </c>
      <c r="E390" s="680">
        <f t="shared" si="132"/>
        <v>2738.2883557686137</v>
      </c>
      <c r="F390" s="680">
        <f t="shared" si="132"/>
        <v>5904.081152224624</v>
      </c>
      <c r="G390" s="680">
        <f t="shared" si="132"/>
        <v>471.91217069360329</v>
      </c>
      <c r="H390" s="680">
        <f t="shared" si="132"/>
        <v>8592.4626019218013</v>
      </c>
      <c r="I390" s="680">
        <f t="shared" si="132"/>
        <v>2206.7873392257152</v>
      </c>
      <c r="J390" s="513">
        <f t="shared" si="123"/>
        <v>256134.18008859971</v>
      </c>
      <c r="K390" s="680">
        <v>22</v>
      </c>
      <c r="L390" s="680">
        <f t="shared" si="125"/>
        <v>11642.462731299987</v>
      </c>
      <c r="M390" s="668">
        <v>14450</v>
      </c>
      <c r="N390" s="668"/>
      <c r="O390" s="556" t="s">
        <v>555</v>
      </c>
      <c r="P390" s="672">
        <v>40855</v>
      </c>
      <c r="Q390" s="670"/>
      <c r="R390" s="572">
        <f>K390</f>
        <v>22</v>
      </c>
      <c r="S390" s="296">
        <v>10344</v>
      </c>
      <c r="T390" s="513">
        <f t="shared" si="126"/>
        <v>227568</v>
      </c>
      <c r="U390" s="537"/>
      <c r="V390" s="672"/>
      <c r="W390" s="496"/>
      <c r="X390" s="296"/>
      <c r="Y390" s="513">
        <f t="shared" si="127"/>
        <v>0</v>
      </c>
    </row>
    <row r="391" spans="1:25" ht="16.5" customHeight="1">
      <c r="A391" s="564">
        <f t="shared" si="121"/>
        <v>52</v>
      </c>
      <c r="B391" s="566" t="s">
        <v>1203</v>
      </c>
      <c r="C391" s="513">
        <f t="shared" si="122"/>
        <v>379280</v>
      </c>
      <c r="D391" s="680">
        <f t="shared" si="132"/>
        <v>17307.296937530766</v>
      </c>
      <c r="E391" s="680">
        <f t="shared" si="132"/>
        <v>5476.5767115372273</v>
      </c>
      <c r="F391" s="680">
        <f t="shared" si="132"/>
        <v>11808.162304449248</v>
      </c>
      <c r="G391" s="680">
        <f t="shared" si="132"/>
        <v>943.82434138720657</v>
      </c>
      <c r="H391" s="680">
        <f t="shared" si="132"/>
        <v>17184.925203843603</v>
      </c>
      <c r="I391" s="680">
        <f t="shared" si="132"/>
        <v>4413.5746784514304</v>
      </c>
      <c r="J391" s="513">
        <f t="shared" si="123"/>
        <v>436413.36017719941</v>
      </c>
      <c r="K391" s="680">
        <v>44</v>
      </c>
      <c r="L391" s="680">
        <f t="shared" si="125"/>
        <v>9918.4854585727135</v>
      </c>
      <c r="M391" s="668">
        <v>11420</v>
      </c>
      <c r="N391" s="668"/>
      <c r="O391" s="556" t="s">
        <v>484</v>
      </c>
      <c r="P391" s="672">
        <v>40855</v>
      </c>
      <c r="Q391" s="670"/>
      <c r="R391" s="572">
        <f>K391</f>
        <v>44</v>
      </c>
      <c r="S391" s="296">
        <v>8620</v>
      </c>
      <c r="T391" s="513">
        <f t="shared" si="126"/>
        <v>379280</v>
      </c>
      <c r="U391" s="537"/>
      <c r="V391" s="672"/>
      <c r="W391" s="496"/>
      <c r="X391" s="296"/>
      <c r="Y391" s="513">
        <f t="shared" si="127"/>
        <v>0</v>
      </c>
    </row>
    <row r="392" spans="1:25" ht="16.5" customHeight="1">
      <c r="A392" s="564">
        <f t="shared" si="121"/>
        <v>53</v>
      </c>
      <c r="B392" s="566" t="s">
        <v>1205</v>
      </c>
      <c r="C392" s="513">
        <f t="shared" si="122"/>
        <v>314309</v>
      </c>
      <c r="D392" s="680">
        <f t="shared" si="132"/>
        <v>12193.777387805765</v>
      </c>
      <c r="E392" s="680">
        <f t="shared" si="132"/>
        <v>3858.4972285830463</v>
      </c>
      <c r="F392" s="680">
        <f t="shared" si="132"/>
        <v>8319.3870781346977</v>
      </c>
      <c r="G392" s="680">
        <f t="shared" si="132"/>
        <v>664.96714961371367</v>
      </c>
      <c r="H392" s="680">
        <f t="shared" si="132"/>
        <v>12107.560939071629</v>
      </c>
      <c r="I392" s="680">
        <f t="shared" si="132"/>
        <v>3109.5639779998714</v>
      </c>
      <c r="J392" s="513">
        <f t="shared" si="123"/>
        <v>354561.75376120867</v>
      </c>
      <c r="K392" s="680">
        <v>31</v>
      </c>
      <c r="L392" s="680">
        <f t="shared" si="125"/>
        <v>11437.475927780924</v>
      </c>
      <c r="M392" s="668">
        <v>13881</v>
      </c>
      <c r="N392" s="668"/>
      <c r="O392" s="567" t="s">
        <v>619</v>
      </c>
      <c r="P392" s="672">
        <v>40855</v>
      </c>
      <c r="Q392" s="670"/>
      <c r="R392" s="572">
        <f>K392/2</f>
        <v>15.5</v>
      </c>
      <c r="S392" s="296">
        <v>20278</v>
      </c>
      <c r="T392" s="513">
        <f t="shared" si="126"/>
        <v>314309</v>
      </c>
      <c r="U392" s="537"/>
      <c r="V392" s="672"/>
      <c r="W392" s="496"/>
      <c r="X392" s="296"/>
      <c r="Y392" s="513">
        <f t="shared" si="127"/>
        <v>0</v>
      </c>
    </row>
    <row r="393" spans="1:25" ht="16.5" customHeight="1">
      <c r="A393" s="564">
        <f t="shared" si="121"/>
        <v>54</v>
      </c>
      <c r="B393" s="566" t="s">
        <v>1209</v>
      </c>
      <c r="C393" s="513">
        <f t="shared" si="122"/>
        <v>451360</v>
      </c>
      <c r="D393" s="680">
        <f t="shared" si="132"/>
        <v>12587.12504547692</v>
      </c>
      <c r="E393" s="680">
        <f t="shared" si="132"/>
        <v>3982.9648811179832</v>
      </c>
      <c r="F393" s="680">
        <f t="shared" si="132"/>
        <v>8587.7544032358164</v>
      </c>
      <c r="G393" s="680">
        <f t="shared" si="132"/>
        <v>686.41770282705932</v>
      </c>
      <c r="H393" s="680">
        <f t="shared" si="132"/>
        <v>12498.127420977165</v>
      </c>
      <c r="I393" s="680">
        <f t="shared" si="132"/>
        <v>3209.8724934192223</v>
      </c>
      <c r="J393" s="513">
        <f t="shared" si="123"/>
        <v>492911.26194705418</v>
      </c>
      <c r="K393" s="680">
        <v>32</v>
      </c>
      <c r="L393" s="680">
        <f t="shared" si="125"/>
        <v>15403.476935845443</v>
      </c>
      <c r="M393" s="668">
        <v>17372</v>
      </c>
      <c r="N393" s="668"/>
      <c r="O393" s="567" t="s">
        <v>628</v>
      </c>
      <c r="P393" s="672">
        <v>40855</v>
      </c>
      <c r="Q393" s="670"/>
      <c r="R393" s="572">
        <f>K393</f>
        <v>32</v>
      </c>
      <c r="S393" s="296">
        <v>14105</v>
      </c>
      <c r="T393" s="513">
        <f t="shared" si="126"/>
        <v>451360</v>
      </c>
      <c r="U393" s="537"/>
      <c r="V393" s="672"/>
      <c r="W393" s="496"/>
      <c r="X393" s="296"/>
      <c r="Y393" s="513">
        <f t="shared" si="127"/>
        <v>0</v>
      </c>
    </row>
    <row r="394" spans="1:25" ht="16.5" customHeight="1">
      <c r="A394" s="564">
        <f t="shared" si="121"/>
        <v>55</v>
      </c>
      <c r="B394" s="566" t="s">
        <v>1206</v>
      </c>
      <c r="C394" s="513">
        <f t="shared" si="122"/>
        <v>17368</v>
      </c>
      <c r="D394" s="680">
        <f t="shared" si="132"/>
        <v>393.34765767115374</v>
      </c>
      <c r="E394" s="680">
        <f t="shared" si="132"/>
        <v>124.46765253493697</v>
      </c>
      <c r="F394" s="680">
        <f t="shared" si="132"/>
        <v>268.36732510111926</v>
      </c>
      <c r="G394" s="680">
        <f t="shared" si="132"/>
        <v>21.450553213345604</v>
      </c>
      <c r="H394" s="680">
        <f t="shared" si="132"/>
        <v>390.56648190553642</v>
      </c>
      <c r="I394" s="680">
        <f t="shared" si="132"/>
        <v>100.3085154193507</v>
      </c>
      <c r="J394" s="513">
        <f t="shared" si="123"/>
        <v>18665.508185845447</v>
      </c>
      <c r="K394" s="680">
        <v>1</v>
      </c>
      <c r="L394" s="680">
        <f t="shared" si="125"/>
        <v>18665.508185845447</v>
      </c>
      <c r="M394" s="668">
        <v>20981</v>
      </c>
      <c r="N394" s="668"/>
      <c r="O394" s="556" t="s">
        <v>530</v>
      </c>
      <c r="P394" s="672">
        <v>40855</v>
      </c>
      <c r="Q394" s="670"/>
      <c r="R394" s="572">
        <f>K394</f>
        <v>1</v>
      </c>
      <c r="S394" s="296">
        <v>17368</v>
      </c>
      <c r="T394" s="513">
        <f t="shared" si="126"/>
        <v>17368</v>
      </c>
      <c r="U394" s="537"/>
      <c r="V394" s="672"/>
      <c r="W394" s="496"/>
      <c r="X394" s="296"/>
      <c r="Y394" s="513">
        <f t="shared" si="127"/>
        <v>0</v>
      </c>
    </row>
    <row r="395" spans="1:25" ht="16.5" customHeight="1">
      <c r="A395" s="564">
        <f t="shared" si="121"/>
        <v>56</v>
      </c>
      <c r="B395" s="566" t="s">
        <v>1212</v>
      </c>
      <c r="C395" s="513">
        <f t="shared" si="122"/>
        <v>367920</v>
      </c>
      <c r="D395" s="680">
        <f t="shared" si="132"/>
        <v>10620.38675712115</v>
      </c>
      <c r="E395" s="680">
        <f t="shared" si="132"/>
        <v>3360.6266184432984</v>
      </c>
      <c r="F395" s="680">
        <f t="shared" si="132"/>
        <v>7245.9177777302202</v>
      </c>
      <c r="G395" s="680">
        <f t="shared" si="132"/>
        <v>579.16493676033133</v>
      </c>
      <c r="H395" s="680">
        <f t="shared" si="132"/>
        <v>10545.295011449483</v>
      </c>
      <c r="I395" s="680">
        <f t="shared" si="132"/>
        <v>2708.3299163224688</v>
      </c>
      <c r="J395" s="513">
        <f t="shared" si="123"/>
        <v>402978.72101782693</v>
      </c>
      <c r="K395" s="680">
        <v>27</v>
      </c>
      <c r="L395" s="680">
        <f t="shared" si="125"/>
        <v>14925.137815475071</v>
      </c>
      <c r="M395" s="668">
        <v>16832</v>
      </c>
      <c r="N395" s="668"/>
      <c r="O395" s="556" t="s">
        <v>378</v>
      </c>
      <c r="P395" s="672">
        <v>40855</v>
      </c>
      <c r="Q395" s="670"/>
      <c r="R395" s="572">
        <v>10</v>
      </c>
      <c r="S395" s="296">
        <v>36792</v>
      </c>
      <c r="T395" s="513">
        <f t="shared" si="126"/>
        <v>367920</v>
      </c>
      <c r="U395" s="537"/>
      <c r="V395" s="672"/>
      <c r="W395" s="496"/>
      <c r="X395" s="296"/>
      <c r="Y395" s="513">
        <f t="shared" si="127"/>
        <v>0</v>
      </c>
    </row>
    <row r="396" spans="1:25" ht="16.5" customHeight="1">
      <c r="A396" s="564">
        <f t="shared" si="121"/>
        <v>57</v>
      </c>
      <c r="B396" s="566" t="s">
        <v>724</v>
      </c>
      <c r="C396" s="513">
        <f t="shared" si="122"/>
        <v>74239</v>
      </c>
      <c r="D396" s="680">
        <f t="shared" si="132"/>
        <v>4326.8242343826914</v>
      </c>
      <c r="E396" s="680">
        <f t="shared" si="132"/>
        <v>1369.1441778843068</v>
      </c>
      <c r="F396" s="680">
        <f t="shared" si="132"/>
        <v>2952.040576112312</v>
      </c>
      <c r="G396" s="680">
        <f t="shared" si="132"/>
        <v>235.95608534680164</v>
      </c>
      <c r="H396" s="680">
        <f t="shared" si="132"/>
        <v>4296.2313009609006</v>
      </c>
      <c r="I396" s="680">
        <f t="shared" si="132"/>
        <v>1103.3936696128576</v>
      </c>
      <c r="J396" s="513">
        <f t="shared" si="123"/>
        <v>88521.590044299854</v>
      </c>
      <c r="K396" s="680">
        <v>11</v>
      </c>
      <c r="L396" s="680">
        <f t="shared" si="125"/>
        <v>8047.4172767545324</v>
      </c>
      <c r="M396" s="668">
        <v>10253</v>
      </c>
      <c r="N396" s="668"/>
      <c r="O396" s="556" t="s">
        <v>478</v>
      </c>
      <c r="P396" s="672">
        <v>40855</v>
      </c>
      <c r="Q396" s="670"/>
      <c r="R396" s="572">
        <f>K396/2</f>
        <v>5.5</v>
      </c>
      <c r="S396" s="296">
        <v>13498</v>
      </c>
      <c r="T396" s="513">
        <f t="shared" si="126"/>
        <v>74239</v>
      </c>
      <c r="U396" s="537"/>
      <c r="V396" s="672"/>
      <c r="W396" s="496"/>
      <c r="X396" s="296"/>
      <c r="Y396" s="513">
        <f t="shared" si="127"/>
        <v>0</v>
      </c>
    </row>
    <row r="397" spans="1:25" ht="16.5" customHeight="1">
      <c r="A397" s="564">
        <f t="shared" si="121"/>
        <v>58</v>
      </c>
      <c r="B397" s="566" t="s">
        <v>722</v>
      </c>
      <c r="C397" s="513">
        <f t="shared" si="122"/>
        <v>2359786</v>
      </c>
      <c r="D397" s="680">
        <f t="shared" si="132"/>
        <v>112104.08243627881</v>
      </c>
      <c r="E397" s="680">
        <f t="shared" si="132"/>
        <v>35473.28097245704</v>
      </c>
      <c r="F397" s="680">
        <f t="shared" si="132"/>
        <v>76484.687653818997</v>
      </c>
      <c r="G397" s="680">
        <f t="shared" si="132"/>
        <v>6113.4076658034974</v>
      </c>
      <c r="H397" s="680">
        <f t="shared" si="132"/>
        <v>111311.44734307787</v>
      </c>
      <c r="I397" s="680">
        <f t="shared" si="132"/>
        <v>28587.926894514949</v>
      </c>
      <c r="J397" s="513">
        <f t="shared" si="123"/>
        <v>2729859.8329659514</v>
      </c>
      <c r="K397" s="680">
        <v>285</v>
      </c>
      <c r="L397" s="680">
        <f t="shared" si="125"/>
        <v>9578.4555542664966</v>
      </c>
      <c r="M397" s="668">
        <v>10595</v>
      </c>
      <c r="N397" s="668"/>
      <c r="O397" s="567" t="s">
        <v>626</v>
      </c>
      <c r="P397" s="672">
        <v>40855</v>
      </c>
      <c r="Q397" s="670"/>
      <c r="R397" s="572">
        <v>143</v>
      </c>
      <c r="S397" s="296">
        <v>16502</v>
      </c>
      <c r="T397" s="513">
        <f t="shared" si="126"/>
        <v>2359786</v>
      </c>
      <c r="U397" s="537"/>
      <c r="V397" s="672"/>
      <c r="W397" s="496"/>
      <c r="X397" s="296"/>
      <c r="Y397" s="513">
        <f t="shared" si="127"/>
        <v>0</v>
      </c>
    </row>
    <row r="398" spans="1:25" ht="16.5" customHeight="1">
      <c r="A398" s="564">
        <f t="shared" si="121"/>
        <v>59</v>
      </c>
      <c r="B398" s="566" t="s">
        <v>731</v>
      </c>
      <c r="C398" s="513">
        <f t="shared" si="122"/>
        <v>27594</v>
      </c>
      <c r="D398" s="680">
        <f t="shared" si="132"/>
        <v>1180.0429730134613</v>
      </c>
      <c r="E398" s="680">
        <f t="shared" si="132"/>
        <v>373.40295760481092</v>
      </c>
      <c r="F398" s="680">
        <f t="shared" si="132"/>
        <v>805.10197530335779</v>
      </c>
      <c r="G398" s="680">
        <f t="shared" si="132"/>
        <v>64.351659640036814</v>
      </c>
      <c r="H398" s="680">
        <f t="shared" si="132"/>
        <v>1171.6994457166093</v>
      </c>
      <c r="I398" s="680">
        <f t="shared" si="132"/>
        <v>300.92554625805212</v>
      </c>
      <c r="J398" s="513">
        <f t="shared" si="123"/>
        <v>31488.524557536326</v>
      </c>
      <c r="K398" s="680">
        <v>3</v>
      </c>
      <c r="L398" s="680">
        <f t="shared" si="125"/>
        <v>10496.174852512109</v>
      </c>
      <c r="M398" s="668">
        <v>12179</v>
      </c>
      <c r="N398" s="668"/>
      <c r="O398" s="567" t="s">
        <v>588</v>
      </c>
      <c r="P398" s="672">
        <v>40855</v>
      </c>
      <c r="Q398" s="670"/>
      <c r="R398" s="572">
        <f>K398/2</f>
        <v>1.5</v>
      </c>
      <c r="S398" s="296">
        <v>18396</v>
      </c>
      <c r="T398" s="513">
        <f t="shared" si="126"/>
        <v>27594</v>
      </c>
      <c r="U398" s="537"/>
      <c r="V398" s="672"/>
      <c r="W398" s="496"/>
      <c r="X398" s="296"/>
      <c r="Y398" s="513">
        <f t="shared" si="127"/>
        <v>0</v>
      </c>
    </row>
    <row r="399" spans="1:25" ht="16.5" customHeight="1">
      <c r="A399" s="564">
        <f t="shared" si="121"/>
        <v>60</v>
      </c>
      <c r="B399" s="566" t="s">
        <v>726</v>
      </c>
      <c r="C399" s="513">
        <f t="shared" si="122"/>
        <v>486989</v>
      </c>
      <c r="D399" s="680">
        <f t="shared" si="132"/>
        <v>14553.863333832689</v>
      </c>
      <c r="E399" s="680">
        <f t="shared" si="132"/>
        <v>4605.3031437926684</v>
      </c>
      <c r="F399" s="680">
        <f t="shared" si="132"/>
        <v>9929.5910287414135</v>
      </c>
      <c r="G399" s="680">
        <f t="shared" si="132"/>
        <v>793.6704688937873</v>
      </c>
      <c r="H399" s="680">
        <f t="shared" si="132"/>
        <v>14450.959830504848</v>
      </c>
      <c r="I399" s="680">
        <f t="shared" si="132"/>
        <v>3711.4150705159759</v>
      </c>
      <c r="J399" s="513">
        <f t="shared" si="123"/>
        <v>535032.80287628132</v>
      </c>
      <c r="K399" s="680">
        <v>37</v>
      </c>
      <c r="L399" s="680">
        <f t="shared" si="125"/>
        <v>14460.34602368328</v>
      </c>
      <c r="M399" s="668">
        <v>15618</v>
      </c>
      <c r="N399" s="668"/>
      <c r="O399" s="537" t="s">
        <v>620</v>
      </c>
      <c r="P399" s="672">
        <v>40855</v>
      </c>
      <c r="Q399" s="670"/>
      <c r="R399" s="572">
        <v>19</v>
      </c>
      <c r="S399" s="296">
        <v>25631</v>
      </c>
      <c r="T399" s="513">
        <f t="shared" si="126"/>
        <v>486989</v>
      </c>
      <c r="U399" s="537"/>
      <c r="V399" s="672"/>
      <c r="W399" s="496"/>
      <c r="X399" s="296"/>
      <c r="Y399" s="513">
        <f t="shared" si="127"/>
        <v>0</v>
      </c>
    </row>
    <row r="400" spans="1:25" ht="16.5" customHeight="1">
      <c r="A400" s="564">
        <f t="shared" si="121"/>
        <v>61</v>
      </c>
      <c r="B400" s="566" t="s">
        <v>1207</v>
      </c>
      <c r="C400" s="513">
        <f t="shared" si="122"/>
        <v>488390</v>
      </c>
      <c r="D400" s="680">
        <f t="shared" ref="D400:I409" si="133">IF($K$582&lt;&gt;0,D$582/$K$582*$K400,0)</f>
        <v>13767.168018490382</v>
      </c>
      <c r="E400" s="680">
        <f t="shared" si="133"/>
        <v>4356.3678387227937</v>
      </c>
      <c r="F400" s="680">
        <f t="shared" si="133"/>
        <v>9392.8563785391743</v>
      </c>
      <c r="G400" s="680">
        <f t="shared" si="133"/>
        <v>750.76936246709613</v>
      </c>
      <c r="H400" s="680">
        <f t="shared" si="133"/>
        <v>13669.826866693775</v>
      </c>
      <c r="I400" s="680">
        <f t="shared" si="133"/>
        <v>3510.7980396772746</v>
      </c>
      <c r="J400" s="513">
        <f t="shared" si="123"/>
        <v>533836.78650459053</v>
      </c>
      <c r="K400" s="680">
        <v>35</v>
      </c>
      <c r="L400" s="680">
        <f t="shared" si="125"/>
        <v>15252.479614416872</v>
      </c>
      <c r="M400" s="668">
        <v>16534</v>
      </c>
      <c r="N400" s="668"/>
      <c r="O400" s="556" t="s">
        <v>526</v>
      </c>
      <c r="P400" s="672">
        <v>40855</v>
      </c>
      <c r="Q400" s="670"/>
      <c r="R400" s="572">
        <f>K400</f>
        <v>35</v>
      </c>
      <c r="S400" s="296">
        <v>13954</v>
      </c>
      <c r="T400" s="513">
        <f t="shared" si="126"/>
        <v>488390</v>
      </c>
      <c r="U400" s="537"/>
      <c r="V400" s="672"/>
      <c r="W400" s="496"/>
      <c r="X400" s="296"/>
      <c r="Y400" s="513">
        <f t="shared" si="127"/>
        <v>0</v>
      </c>
    </row>
    <row r="401" spans="1:25" ht="16.5" customHeight="1">
      <c r="A401" s="564">
        <f t="shared" si="121"/>
        <v>62</v>
      </c>
      <c r="B401" s="566" t="s">
        <v>1199</v>
      </c>
      <c r="C401" s="513">
        <f t="shared" si="122"/>
        <v>563882</v>
      </c>
      <c r="D401" s="680">
        <f t="shared" si="133"/>
        <v>17307.296937530766</v>
      </c>
      <c r="E401" s="680">
        <f t="shared" si="133"/>
        <v>5476.5767115372273</v>
      </c>
      <c r="F401" s="680">
        <f t="shared" si="133"/>
        <v>11808.162304449248</v>
      </c>
      <c r="G401" s="680">
        <f t="shared" si="133"/>
        <v>943.82434138720657</v>
      </c>
      <c r="H401" s="680">
        <f t="shared" si="133"/>
        <v>17184.925203843603</v>
      </c>
      <c r="I401" s="680">
        <f t="shared" si="133"/>
        <v>4413.5746784514304</v>
      </c>
      <c r="J401" s="513">
        <f t="shared" si="123"/>
        <v>621015.36017719947</v>
      </c>
      <c r="K401" s="680">
        <v>44</v>
      </c>
      <c r="L401" s="680">
        <f t="shared" si="125"/>
        <v>14113.985458572715</v>
      </c>
      <c r="M401" s="668">
        <v>14880</v>
      </c>
      <c r="N401" s="668"/>
      <c r="O401" s="567" t="s">
        <v>620</v>
      </c>
      <c r="P401" s="672">
        <v>40855</v>
      </c>
      <c r="Q401" s="670"/>
      <c r="R401" s="572">
        <f>K401/2</f>
        <v>22</v>
      </c>
      <c r="S401" s="296">
        <v>25631</v>
      </c>
      <c r="T401" s="513">
        <f t="shared" si="126"/>
        <v>563882</v>
      </c>
      <c r="U401" s="537"/>
      <c r="V401" s="672"/>
      <c r="W401" s="496"/>
      <c r="X401" s="296"/>
      <c r="Y401" s="513">
        <f t="shared" si="127"/>
        <v>0</v>
      </c>
    </row>
    <row r="402" spans="1:25" ht="16.5" customHeight="1">
      <c r="A402" s="564">
        <f t="shared" si="121"/>
        <v>63</v>
      </c>
      <c r="B402" s="566" t="s">
        <v>1234</v>
      </c>
      <c r="C402" s="513">
        <f t="shared" si="122"/>
        <v>169648</v>
      </c>
      <c r="D402" s="680">
        <f t="shared" si="133"/>
        <v>6293.5625227384598</v>
      </c>
      <c r="E402" s="680">
        <f t="shared" si="133"/>
        <v>1991.4824405589916</v>
      </c>
      <c r="F402" s="680">
        <f t="shared" si="133"/>
        <v>4293.8772016179082</v>
      </c>
      <c r="G402" s="680">
        <f t="shared" si="133"/>
        <v>343.20885141352966</v>
      </c>
      <c r="H402" s="680">
        <f t="shared" si="133"/>
        <v>6249.0637104885827</v>
      </c>
      <c r="I402" s="680">
        <f t="shared" si="133"/>
        <v>1604.9362467096112</v>
      </c>
      <c r="J402" s="513">
        <f t="shared" si="123"/>
        <v>190423.13097352709</v>
      </c>
      <c r="K402" s="680">
        <v>16</v>
      </c>
      <c r="L402" s="680">
        <f t="shared" si="125"/>
        <v>11901.445685845443</v>
      </c>
      <c r="M402" s="668">
        <v>12847</v>
      </c>
      <c r="N402" s="668"/>
      <c r="O402" s="556" t="s">
        <v>496</v>
      </c>
      <c r="P402" s="672">
        <v>40855</v>
      </c>
      <c r="Q402" s="670"/>
      <c r="R402" s="572">
        <v>16</v>
      </c>
      <c r="S402" s="296">
        <v>10603</v>
      </c>
      <c r="T402" s="513">
        <f t="shared" si="126"/>
        <v>169648</v>
      </c>
      <c r="U402" s="537"/>
      <c r="V402" s="672"/>
      <c r="W402" s="496"/>
      <c r="X402" s="296"/>
      <c r="Y402" s="513">
        <f t="shared" si="127"/>
        <v>0</v>
      </c>
    </row>
    <row r="403" spans="1:25" ht="16.5" customHeight="1">
      <c r="A403" s="564">
        <f t="shared" si="121"/>
        <v>64</v>
      </c>
      <c r="B403" s="566" t="s">
        <v>1208</v>
      </c>
      <c r="C403" s="513">
        <f t="shared" si="122"/>
        <v>23688</v>
      </c>
      <c r="D403" s="680">
        <f t="shared" si="133"/>
        <v>786.69531534230748</v>
      </c>
      <c r="E403" s="680">
        <f t="shared" si="133"/>
        <v>248.93530506987395</v>
      </c>
      <c r="F403" s="680">
        <f t="shared" si="133"/>
        <v>536.73465020223853</v>
      </c>
      <c r="G403" s="680">
        <f t="shared" si="133"/>
        <v>42.901106426691207</v>
      </c>
      <c r="H403" s="680">
        <f t="shared" si="133"/>
        <v>781.13296381107284</v>
      </c>
      <c r="I403" s="680">
        <f t="shared" si="133"/>
        <v>200.6170308387014</v>
      </c>
      <c r="J403" s="513">
        <f t="shared" si="123"/>
        <v>26284.016371690886</v>
      </c>
      <c r="K403" s="680">
        <v>2</v>
      </c>
      <c r="L403" s="680">
        <f t="shared" si="125"/>
        <v>13142.008185845443</v>
      </c>
      <c r="M403" s="668">
        <v>15669</v>
      </c>
      <c r="N403" s="668"/>
      <c r="O403" s="567" t="s">
        <v>601</v>
      </c>
      <c r="P403" s="672">
        <v>40855</v>
      </c>
      <c r="Q403" s="670"/>
      <c r="R403" s="572">
        <f>K403/2</f>
        <v>1</v>
      </c>
      <c r="S403" s="296">
        <v>23688</v>
      </c>
      <c r="T403" s="513">
        <f t="shared" si="126"/>
        <v>23688</v>
      </c>
      <c r="U403" s="537"/>
      <c r="V403" s="672"/>
      <c r="W403" s="496"/>
      <c r="X403" s="296"/>
      <c r="Y403" s="513">
        <f t="shared" si="127"/>
        <v>0</v>
      </c>
    </row>
    <row r="404" spans="1:25" ht="16.5" customHeight="1">
      <c r="A404" s="564">
        <f t="shared" si="121"/>
        <v>65</v>
      </c>
      <c r="B404" s="566" t="s">
        <v>1199</v>
      </c>
      <c r="C404" s="513">
        <f t="shared" si="122"/>
        <v>167030</v>
      </c>
      <c r="D404" s="680">
        <f t="shared" si="133"/>
        <v>7866.9531534230746</v>
      </c>
      <c r="E404" s="680">
        <f t="shared" si="133"/>
        <v>2489.3530506987395</v>
      </c>
      <c r="F404" s="680">
        <f t="shared" si="133"/>
        <v>5367.3465020223848</v>
      </c>
      <c r="G404" s="680">
        <f t="shared" si="133"/>
        <v>429.01106426691206</v>
      </c>
      <c r="H404" s="680">
        <f t="shared" si="133"/>
        <v>7811.3296381107284</v>
      </c>
      <c r="I404" s="680">
        <f t="shared" si="133"/>
        <v>2006.1703083870138</v>
      </c>
      <c r="J404" s="513">
        <f t="shared" si="123"/>
        <v>192999.16371690884</v>
      </c>
      <c r="K404" s="680">
        <v>20</v>
      </c>
      <c r="L404" s="680">
        <f t="shared" si="125"/>
        <v>9649.9581858454421</v>
      </c>
      <c r="M404" s="668">
        <v>14880</v>
      </c>
      <c r="N404" s="668"/>
      <c r="O404" s="567" t="s">
        <v>604</v>
      </c>
      <c r="P404" s="672">
        <v>40857</v>
      </c>
      <c r="Q404" s="670"/>
      <c r="R404" s="572">
        <v>10</v>
      </c>
      <c r="S404" s="296">
        <v>16703</v>
      </c>
      <c r="T404" s="513">
        <f t="shared" si="126"/>
        <v>167030</v>
      </c>
      <c r="U404" s="537"/>
      <c r="V404" s="672"/>
      <c r="W404" s="496"/>
      <c r="X404" s="296"/>
      <c r="Y404" s="513">
        <f t="shared" si="127"/>
        <v>0</v>
      </c>
    </row>
    <row r="405" spans="1:25" ht="16.5" customHeight="1">
      <c r="A405" s="564">
        <f t="shared" ref="A405:A468" si="134">IF(B405&lt;&gt;"",A404+1,"")</f>
        <v>66</v>
      </c>
      <c r="B405" s="566" t="s">
        <v>1200</v>
      </c>
      <c r="C405" s="513">
        <f t="shared" ref="C405:C468" si="135">T405</f>
        <v>1632592</v>
      </c>
      <c r="D405" s="680">
        <f t="shared" si="133"/>
        <v>36974.679821088452</v>
      </c>
      <c r="E405" s="680">
        <f t="shared" si="133"/>
        <v>11699.959338284076</v>
      </c>
      <c r="F405" s="680">
        <f t="shared" si="133"/>
        <v>25226.528559505212</v>
      </c>
      <c r="G405" s="680">
        <f t="shared" si="133"/>
        <v>2016.3520020544868</v>
      </c>
      <c r="H405" s="680">
        <f t="shared" si="133"/>
        <v>36713.24929912042</v>
      </c>
      <c r="I405" s="680">
        <f t="shared" si="133"/>
        <v>9429.0004494189652</v>
      </c>
      <c r="J405" s="513">
        <f t="shared" ref="J405:J468" si="136">SUM(C405:I405)-1</f>
        <v>1754650.7694694716</v>
      </c>
      <c r="K405" s="680">
        <v>94</v>
      </c>
      <c r="L405" s="680">
        <f t="shared" si="125"/>
        <v>18666.497547547569</v>
      </c>
      <c r="M405" s="668">
        <v>20820</v>
      </c>
      <c r="N405" s="668"/>
      <c r="O405" s="556" t="s">
        <v>530</v>
      </c>
      <c r="P405" s="672">
        <v>40857</v>
      </c>
      <c r="Q405" s="670"/>
      <c r="R405" s="572">
        <f>K405</f>
        <v>94</v>
      </c>
      <c r="S405" s="296">
        <v>17368</v>
      </c>
      <c r="T405" s="513">
        <f t="shared" si="126"/>
        <v>1632592</v>
      </c>
      <c r="U405" s="537"/>
      <c r="V405" s="672"/>
      <c r="W405" s="496"/>
      <c r="X405" s="296"/>
      <c r="Y405" s="513">
        <f t="shared" si="127"/>
        <v>0</v>
      </c>
    </row>
    <row r="406" spans="1:25" ht="16.5" customHeight="1">
      <c r="A406" s="564">
        <f t="shared" si="134"/>
        <v>67</v>
      </c>
      <c r="B406" s="566" t="s">
        <v>1201</v>
      </c>
      <c r="C406" s="513">
        <f t="shared" si="135"/>
        <v>1176124</v>
      </c>
      <c r="D406" s="680">
        <f t="shared" si="133"/>
        <v>22814.164144926915</v>
      </c>
      <c r="E406" s="680">
        <f t="shared" si="133"/>
        <v>7219.1238470263443</v>
      </c>
      <c r="F406" s="680">
        <f t="shared" si="133"/>
        <v>15565.304855864917</v>
      </c>
      <c r="G406" s="680">
        <f t="shared" si="133"/>
        <v>1244.132086374045</v>
      </c>
      <c r="H406" s="680">
        <f t="shared" si="133"/>
        <v>22652.855950521112</v>
      </c>
      <c r="I406" s="680">
        <f t="shared" si="133"/>
        <v>5817.8938943223402</v>
      </c>
      <c r="J406" s="513">
        <f t="shared" si="136"/>
        <v>1251436.4747790359</v>
      </c>
      <c r="K406" s="680">
        <v>58</v>
      </c>
      <c r="L406" s="680">
        <f t="shared" ref="L406:L469" si="137">IF(K406&lt;&gt;"",J406/K406,"")</f>
        <v>21576.490944466135</v>
      </c>
      <c r="M406" s="668">
        <v>26203</v>
      </c>
      <c r="N406" s="668"/>
      <c r="O406" s="567" t="s">
        <v>619</v>
      </c>
      <c r="P406" s="672">
        <v>40857</v>
      </c>
      <c r="Q406" s="670"/>
      <c r="R406" s="572">
        <f>K406</f>
        <v>58</v>
      </c>
      <c r="S406" s="296">
        <v>20278</v>
      </c>
      <c r="T406" s="513">
        <f t="shared" ref="T406:T469" si="138">ROUND(R406*S406,0)</f>
        <v>1176124</v>
      </c>
      <c r="U406" s="537"/>
      <c r="V406" s="672"/>
      <c r="W406" s="496"/>
      <c r="X406" s="296"/>
      <c r="Y406" s="513">
        <f t="shared" ref="Y406:Y469" si="139">ROUND(W406*X406,0)</f>
        <v>0</v>
      </c>
    </row>
    <row r="407" spans="1:25" ht="16.5" customHeight="1">
      <c r="A407" s="564">
        <f t="shared" si="134"/>
        <v>68</v>
      </c>
      <c r="B407" s="566" t="s">
        <v>1202</v>
      </c>
      <c r="C407" s="513">
        <f t="shared" si="135"/>
        <v>34480</v>
      </c>
      <c r="D407" s="680">
        <f t="shared" si="133"/>
        <v>1573.390630684615</v>
      </c>
      <c r="E407" s="680">
        <f t="shared" si="133"/>
        <v>497.8706101397479</v>
      </c>
      <c r="F407" s="680">
        <f t="shared" si="133"/>
        <v>1073.4693004044771</v>
      </c>
      <c r="G407" s="680">
        <f t="shared" si="133"/>
        <v>85.802212853382414</v>
      </c>
      <c r="H407" s="680">
        <f t="shared" si="133"/>
        <v>1562.2659276221457</v>
      </c>
      <c r="I407" s="680">
        <f t="shared" si="133"/>
        <v>401.23406167740279</v>
      </c>
      <c r="J407" s="513">
        <f t="shared" si="136"/>
        <v>39673.032743381773</v>
      </c>
      <c r="K407" s="680">
        <v>4</v>
      </c>
      <c r="L407" s="680">
        <f t="shared" si="137"/>
        <v>9918.2581858454432</v>
      </c>
      <c r="M407" s="668">
        <v>11355</v>
      </c>
      <c r="N407" s="668"/>
      <c r="O407" s="556" t="s">
        <v>484</v>
      </c>
      <c r="P407" s="672">
        <v>40857</v>
      </c>
      <c r="Q407" s="670"/>
      <c r="R407" s="572">
        <f>K407</f>
        <v>4</v>
      </c>
      <c r="S407" s="296">
        <v>8620</v>
      </c>
      <c r="T407" s="513">
        <f t="shared" si="138"/>
        <v>34480</v>
      </c>
      <c r="U407" s="537"/>
      <c r="V407" s="672"/>
      <c r="W407" s="496"/>
      <c r="X407" s="296"/>
      <c r="Y407" s="513">
        <f t="shared" si="139"/>
        <v>0</v>
      </c>
    </row>
    <row r="408" spans="1:25" ht="16.5" customHeight="1">
      <c r="A408" s="564">
        <f t="shared" si="134"/>
        <v>69</v>
      </c>
      <c r="B408" s="566" t="s">
        <v>1203</v>
      </c>
      <c r="C408" s="513">
        <f t="shared" si="135"/>
        <v>8620</v>
      </c>
      <c r="D408" s="680">
        <f t="shared" si="133"/>
        <v>393.34765767115374</v>
      </c>
      <c r="E408" s="680">
        <f t="shared" si="133"/>
        <v>124.46765253493697</v>
      </c>
      <c r="F408" s="680">
        <f t="shared" si="133"/>
        <v>268.36732510111926</v>
      </c>
      <c r="G408" s="680">
        <f t="shared" si="133"/>
        <v>21.450553213345604</v>
      </c>
      <c r="H408" s="680">
        <f t="shared" si="133"/>
        <v>390.56648190553642</v>
      </c>
      <c r="I408" s="680">
        <f t="shared" si="133"/>
        <v>100.3085154193507</v>
      </c>
      <c r="J408" s="513">
        <f t="shared" si="136"/>
        <v>9917.5081858454432</v>
      </c>
      <c r="K408" s="680">
        <v>1</v>
      </c>
      <c r="L408" s="680">
        <f t="shared" si="137"/>
        <v>9917.5081858454432</v>
      </c>
      <c r="M408" s="668">
        <v>11420</v>
      </c>
      <c r="N408" s="668"/>
      <c r="O408" s="556" t="s">
        <v>484</v>
      </c>
      <c r="P408" s="672">
        <v>40857</v>
      </c>
      <c r="Q408" s="670"/>
      <c r="R408" s="572">
        <f>K408</f>
        <v>1</v>
      </c>
      <c r="S408" s="296">
        <v>8620</v>
      </c>
      <c r="T408" s="513">
        <f t="shared" si="138"/>
        <v>8620</v>
      </c>
      <c r="U408" s="537"/>
      <c r="V408" s="672"/>
      <c r="W408" s="496"/>
      <c r="X408" s="296"/>
      <c r="Y408" s="513">
        <f t="shared" si="139"/>
        <v>0</v>
      </c>
    </row>
    <row r="409" spans="1:25" ht="16.5" customHeight="1">
      <c r="A409" s="564">
        <f t="shared" si="134"/>
        <v>70</v>
      </c>
      <c r="B409" s="566" t="s">
        <v>1204</v>
      </c>
      <c r="C409" s="513">
        <f t="shared" si="135"/>
        <v>61488</v>
      </c>
      <c r="D409" s="680">
        <f t="shared" si="133"/>
        <v>1966.7382883557686</v>
      </c>
      <c r="E409" s="680">
        <f t="shared" si="133"/>
        <v>622.33826267468487</v>
      </c>
      <c r="F409" s="680">
        <f t="shared" si="133"/>
        <v>1341.8366255055962</v>
      </c>
      <c r="G409" s="680">
        <f t="shared" si="133"/>
        <v>107.25276606672801</v>
      </c>
      <c r="H409" s="680">
        <f t="shared" si="133"/>
        <v>1952.8324095276821</v>
      </c>
      <c r="I409" s="680">
        <f t="shared" si="133"/>
        <v>501.54257709675346</v>
      </c>
      <c r="J409" s="513">
        <f t="shared" si="136"/>
        <v>67979.540929227209</v>
      </c>
      <c r="K409" s="680">
        <v>5</v>
      </c>
      <c r="L409" s="680">
        <f t="shared" si="137"/>
        <v>13595.908185845441</v>
      </c>
      <c r="M409" s="668">
        <v>14450</v>
      </c>
      <c r="N409" s="668"/>
      <c r="O409" s="556" t="s">
        <v>615</v>
      </c>
      <c r="P409" s="672">
        <v>40857</v>
      </c>
      <c r="Q409" s="670"/>
      <c r="R409" s="572">
        <f>K409/2</f>
        <v>2.5</v>
      </c>
      <c r="S409" s="296">
        <v>24595</v>
      </c>
      <c r="T409" s="513">
        <f t="shared" si="138"/>
        <v>61488</v>
      </c>
      <c r="U409" s="537"/>
      <c r="V409" s="672"/>
      <c r="W409" s="496"/>
      <c r="X409" s="296"/>
      <c r="Y409" s="513">
        <f t="shared" si="139"/>
        <v>0</v>
      </c>
    </row>
    <row r="410" spans="1:25" ht="16.5" customHeight="1">
      <c r="A410" s="564">
        <f t="shared" si="134"/>
        <v>71</v>
      </c>
      <c r="B410" s="566" t="s">
        <v>1205</v>
      </c>
      <c r="C410" s="513">
        <f t="shared" si="135"/>
        <v>811120</v>
      </c>
      <c r="D410" s="680">
        <f t="shared" ref="D410:I419" si="140">IF($K$582&lt;&gt;0,D$582/$K$582*$K410,0)</f>
        <v>31467.812613692298</v>
      </c>
      <c r="E410" s="680">
        <f t="shared" si="140"/>
        <v>9957.4122027949579</v>
      </c>
      <c r="F410" s="680">
        <f t="shared" si="140"/>
        <v>21469.386008089539</v>
      </c>
      <c r="G410" s="680">
        <f t="shared" si="140"/>
        <v>1716.0442570676482</v>
      </c>
      <c r="H410" s="680">
        <f t="shared" si="140"/>
        <v>31245.318552442914</v>
      </c>
      <c r="I410" s="680">
        <f t="shared" si="140"/>
        <v>8024.6812335480554</v>
      </c>
      <c r="J410" s="513">
        <f t="shared" si="136"/>
        <v>914999.65486763534</v>
      </c>
      <c r="K410" s="680">
        <v>80</v>
      </c>
      <c r="L410" s="680">
        <f t="shared" si="137"/>
        <v>11437.495685845442</v>
      </c>
      <c r="M410" s="668">
        <v>13881</v>
      </c>
      <c r="N410" s="668"/>
      <c r="O410" s="567" t="s">
        <v>619</v>
      </c>
      <c r="P410" s="672">
        <v>40857</v>
      </c>
      <c r="Q410" s="670"/>
      <c r="R410" s="572">
        <f>K410/2</f>
        <v>40</v>
      </c>
      <c r="S410" s="296">
        <v>20278</v>
      </c>
      <c r="T410" s="513">
        <f t="shared" si="138"/>
        <v>811120</v>
      </c>
      <c r="U410" s="537"/>
      <c r="V410" s="672"/>
      <c r="W410" s="496"/>
      <c r="X410" s="296"/>
      <c r="Y410" s="513">
        <f t="shared" si="139"/>
        <v>0</v>
      </c>
    </row>
    <row r="411" spans="1:25" ht="16.5" customHeight="1">
      <c r="A411" s="564">
        <f t="shared" si="134"/>
        <v>72</v>
      </c>
      <c r="B411" s="566" t="s">
        <v>1206</v>
      </c>
      <c r="C411" s="513">
        <f t="shared" si="135"/>
        <v>69472</v>
      </c>
      <c r="D411" s="680">
        <f t="shared" si="140"/>
        <v>1573.390630684615</v>
      </c>
      <c r="E411" s="680">
        <f t="shared" si="140"/>
        <v>497.8706101397479</v>
      </c>
      <c r="F411" s="680">
        <f t="shared" si="140"/>
        <v>1073.4693004044771</v>
      </c>
      <c r="G411" s="680">
        <f t="shared" si="140"/>
        <v>85.802212853382414</v>
      </c>
      <c r="H411" s="680">
        <f t="shared" si="140"/>
        <v>1562.2659276221457</v>
      </c>
      <c r="I411" s="680">
        <f t="shared" si="140"/>
        <v>401.23406167740279</v>
      </c>
      <c r="J411" s="513">
        <f t="shared" si="136"/>
        <v>74665.032743381787</v>
      </c>
      <c r="K411" s="680">
        <v>4</v>
      </c>
      <c r="L411" s="680">
        <f t="shared" si="137"/>
        <v>18666.258185845447</v>
      </c>
      <c r="M411" s="668">
        <v>20891</v>
      </c>
      <c r="N411" s="668"/>
      <c r="O411" s="556" t="s">
        <v>530</v>
      </c>
      <c r="P411" s="672">
        <v>40857</v>
      </c>
      <c r="Q411" s="670"/>
      <c r="R411" s="572">
        <f>K411</f>
        <v>4</v>
      </c>
      <c r="S411" s="296">
        <v>17368</v>
      </c>
      <c r="T411" s="513">
        <f t="shared" si="138"/>
        <v>69472</v>
      </c>
      <c r="U411" s="537"/>
      <c r="V411" s="672"/>
      <c r="W411" s="496"/>
      <c r="X411" s="296"/>
      <c r="Y411" s="513">
        <f t="shared" si="139"/>
        <v>0</v>
      </c>
    </row>
    <row r="412" spans="1:25" ht="16.5" customHeight="1">
      <c r="A412" s="564">
        <f t="shared" si="134"/>
        <v>73</v>
      </c>
      <c r="B412" s="566" t="s">
        <v>1207</v>
      </c>
      <c r="C412" s="513">
        <f t="shared" si="135"/>
        <v>29457</v>
      </c>
      <c r="D412" s="680">
        <f t="shared" si="140"/>
        <v>1180.0429730134613</v>
      </c>
      <c r="E412" s="680">
        <f t="shared" si="140"/>
        <v>373.40295760481092</v>
      </c>
      <c r="F412" s="680">
        <f t="shared" si="140"/>
        <v>805.10197530335779</v>
      </c>
      <c r="G412" s="680">
        <f t="shared" si="140"/>
        <v>64.351659640036814</v>
      </c>
      <c r="H412" s="680">
        <f t="shared" si="140"/>
        <v>1171.6994457166093</v>
      </c>
      <c r="I412" s="680">
        <f t="shared" si="140"/>
        <v>300.92554625805212</v>
      </c>
      <c r="J412" s="513">
        <f t="shared" si="136"/>
        <v>33351.52455753633</v>
      </c>
      <c r="K412" s="680">
        <v>3</v>
      </c>
      <c r="L412" s="680">
        <f t="shared" si="137"/>
        <v>11117.174852512109</v>
      </c>
      <c r="M412" s="668">
        <v>16534</v>
      </c>
      <c r="N412" s="668"/>
      <c r="O412" s="556" t="s">
        <v>519</v>
      </c>
      <c r="P412" s="672">
        <v>40857</v>
      </c>
      <c r="Q412" s="670"/>
      <c r="R412" s="572">
        <v>1.5</v>
      </c>
      <c r="S412" s="296">
        <v>19638</v>
      </c>
      <c r="T412" s="513">
        <f t="shared" si="138"/>
        <v>29457</v>
      </c>
      <c r="U412" s="537"/>
      <c r="V412" s="672"/>
      <c r="W412" s="496"/>
      <c r="X412" s="296"/>
      <c r="Y412" s="513">
        <f t="shared" si="139"/>
        <v>0</v>
      </c>
    </row>
    <row r="413" spans="1:25" ht="16.5" customHeight="1">
      <c r="A413" s="564">
        <f t="shared" si="134"/>
        <v>74</v>
      </c>
      <c r="B413" s="566" t="s">
        <v>1206</v>
      </c>
      <c r="C413" s="513">
        <f t="shared" si="135"/>
        <v>69472</v>
      </c>
      <c r="D413" s="680">
        <f t="shared" si="140"/>
        <v>1573.390630684615</v>
      </c>
      <c r="E413" s="680">
        <f t="shared" si="140"/>
        <v>497.8706101397479</v>
      </c>
      <c r="F413" s="680">
        <f t="shared" si="140"/>
        <v>1073.4693004044771</v>
      </c>
      <c r="G413" s="680">
        <f t="shared" si="140"/>
        <v>85.802212853382414</v>
      </c>
      <c r="H413" s="680">
        <f t="shared" si="140"/>
        <v>1562.2659276221457</v>
      </c>
      <c r="I413" s="680">
        <f t="shared" si="140"/>
        <v>401.23406167740279</v>
      </c>
      <c r="J413" s="513">
        <f t="shared" si="136"/>
        <v>74665.032743381787</v>
      </c>
      <c r="K413" s="680">
        <v>4</v>
      </c>
      <c r="L413" s="680">
        <f t="shared" si="137"/>
        <v>18666.258185845447</v>
      </c>
      <c r="M413" s="668">
        <v>20981</v>
      </c>
      <c r="N413" s="668"/>
      <c r="O413" s="556" t="s">
        <v>530</v>
      </c>
      <c r="P413" s="672">
        <v>40857</v>
      </c>
      <c r="Q413" s="670"/>
      <c r="R413" s="572">
        <f>K413</f>
        <v>4</v>
      </c>
      <c r="S413" s="296">
        <v>17368</v>
      </c>
      <c r="T413" s="513">
        <f t="shared" si="138"/>
        <v>69472</v>
      </c>
      <c r="U413" s="537"/>
      <c r="V413" s="672"/>
      <c r="W413" s="496"/>
      <c r="X413" s="296"/>
      <c r="Y413" s="513">
        <f t="shared" si="139"/>
        <v>0</v>
      </c>
    </row>
    <row r="414" spans="1:25" ht="16.5" customHeight="1">
      <c r="A414" s="564">
        <f t="shared" si="134"/>
        <v>75</v>
      </c>
      <c r="B414" s="566" t="s">
        <v>1234</v>
      </c>
      <c r="C414" s="513">
        <f t="shared" si="135"/>
        <v>27594</v>
      </c>
      <c r="D414" s="680">
        <f t="shared" si="140"/>
        <v>1180.0429730134613</v>
      </c>
      <c r="E414" s="680">
        <f t="shared" si="140"/>
        <v>373.40295760481092</v>
      </c>
      <c r="F414" s="680">
        <f t="shared" si="140"/>
        <v>805.10197530335779</v>
      </c>
      <c r="G414" s="680">
        <f t="shared" si="140"/>
        <v>64.351659640036814</v>
      </c>
      <c r="H414" s="680">
        <f t="shared" si="140"/>
        <v>1171.6994457166093</v>
      </c>
      <c r="I414" s="680">
        <f t="shared" si="140"/>
        <v>300.92554625805212</v>
      </c>
      <c r="J414" s="513">
        <f t="shared" si="136"/>
        <v>31488.524557536326</v>
      </c>
      <c r="K414" s="680">
        <v>3</v>
      </c>
      <c r="L414" s="680">
        <f t="shared" si="137"/>
        <v>10496.174852512109</v>
      </c>
      <c r="M414" s="668">
        <v>12847</v>
      </c>
      <c r="N414" s="668"/>
      <c r="O414" s="567" t="s">
        <v>588</v>
      </c>
      <c r="P414" s="672">
        <v>40857</v>
      </c>
      <c r="Q414" s="670"/>
      <c r="R414" s="572">
        <f>K414/2</f>
        <v>1.5</v>
      </c>
      <c r="S414" s="296">
        <v>18396</v>
      </c>
      <c r="T414" s="513">
        <f t="shared" si="138"/>
        <v>27594</v>
      </c>
      <c r="U414" s="537"/>
      <c r="V414" s="672"/>
      <c r="W414" s="496"/>
      <c r="X414" s="296"/>
      <c r="Y414" s="513">
        <f t="shared" si="139"/>
        <v>0</v>
      </c>
    </row>
    <row r="415" spans="1:25" ht="16.5" customHeight="1">
      <c r="A415" s="564">
        <f t="shared" si="134"/>
        <v>76</v>
      </c>
      <c r="B415" s="566" t="s">
        <v>1236</v>
      </c>
      <c r="C415" s="513">
        <f t="shared" si="135"/>
        <v>84630</v>
      </c>
      <c r="D415" s="680">
        <f t="shared" si="140"/>
        <v>2360.0859460269226</v>
      </c>
      <c r="E415" s="680">
        <f t="shared" si="140"/>
        <v>746.80591520962184</v>
      </c>
      <c r="F415" s="680">
        <f t="shared" si="140"/>
        <v>1610.2039506067156</v>
      </c>
      <c r="G415" s="680">
        <f t="shared" si="140"/>
        <v>128.70331928007363</v>
      </c>
      <c r="H415" s="680">
        <f t="shared" si="140"/>
        <v>2343.3988914332185</v>
      </c>
      <c r="I415" s="680">
        <f t="shared" si="140"/>
        <v>601.85109251610425</v>
      </c>
      <c r="J415" s="513">
        <f t="shared" si="136"/>
        <v>92420.049115072659</v>
      </c>
      <c r="K415" s="680">
        <v>6</v>
      </c>
      <c r="L415" s="680">
        <f t="shared" si="137"/>
        <v>15403.341519178777</v>
      </c>
      <c r="M415" s="668">
        <v>17321</v>
      </c>
      <c r="N415" s="668"/>
      <c r="O415" s="567" t="s">
        <v>628</v>
      </c>
      <c r="P415" s="672">
        <v>40857</v>
      </c>
      <c r="Q415" s="670"/>
      <c r="R415" s="572">
        <f>K415</f>
        <v>6</v>
      </c>
      <c r="S415" s="296">
        <v>14105</v>
      </c>
      <c r="T415" s="513">
        <f t="shared" si="138"/>
        <v>84630</v>
      </c>
      <c r="U415" s="537"/>
      <c r="V415" s="672"/>
      <c r="W415" s="496"/>
      <c r="X415" s="296"/>
      <c r="Y415" s="513">
        <f t="shared" si="139"/>
        <v>0</v>
      </c>
    </row>
    <row r="416" spans="1:25" ht="16.5" customHeight="1">
      <c r="A416" s="564">
        <f t="shared" si="134"/>
        <v>77</v>
      </c>
      <c r="B416" s="566" t="s">
        <v>1208</v>
      </c>
      <c r="C416" s="513">
        <f t="shared" si="135"/>
        <v>538251</v>
      </c>
      <c r="D416" s="680">
        <f t="shared" si="140"/>
        <v>16520.601622188457</v>
      </c>
      <c r="E416" s="680">
        <f t="shared" si="140"/>
        <v>5227.6414064673527</v>
      </c>
      <c r="F416" s="680">
        <f t="shared" si="140"/>
        <v>11271.427654247009</v>
      </c>
      <c r="G416" s="680">
        <f t="shared" si="140"/>
        <v>900.9232349605154</v>
      </c>
      <c r="H416" s="680">
        <f t="shared" si="140"/>
        <v>16403.79224003253</v>
      </c>
      <c r="I416" s="680">
        <f t="shared" si="140"/>
        <v>4212.9576476127295</v>
      </c>
      <c r="J416" s="513">
        <f t="shared" si="136"/>
        <v>592787.34380550869</v>
      </c>
      <c r="K416" s="680">
        <v>42</v>
      </c>
      <c r="L416" s="680">
        <f t="shared" si="137"/>
        <v>14113.984376321636</v>
      </c>
      <c r="M416" s="668">
        <v>15669</v>
      </c>
      <c r="N416" s="668"/>
      <c r="O416" s="537" t="s">
        <v>620</v>
      </c>
      <c r="P416" s="672">
        <v>40857</v>
      </c>
      <c r="Q416" s="670"/>
      <c r="R416" s="572">
        <f>K416/2</f>
        <v>21</v>
      </c>
      <c r="S416" s="296">
        <v>25631</v>
      </c>
      <c r="T416" s="513">
        <f t="shared" si="138"/>
        <v>538251</v>
      </c>
      <c r="U416" s="537"/>
      <c r="V416" s="672"/>
      <c r="W416" s="496"/>
      <c r="X416" s="296"/>
      <c r="Y416" s="513">
        <f t="shared" si="139"/>
        <v>0</v>
      </c>
    </row>
    <row r="417" spans="1:25" ht="16.5" customHeight="1">
      <c r="A417" s="564">
        <f t="shared" si="134"/>
        <v>78</v>
      </c>
      <c r="B417" s="566" t="s">
        <v>1209</v>
      </c>
      <c r="C417" s="513">
        <f t="shared" si="135"/>
        <v>620620</v>
      </c>
      <c r="D417" s="680">
        <f t="shared" si="140"/>
        <v>16913.949279859611</v>
      </c>
      <c r="E417" s="680">
        <f t="shared" si="140"/>
        <v>5352.1090590022895</v>
      </c>
      <c r="F417" s="680">
        <f t="shared" si="140"/>
        <v>11539.794979348128</v>
      </c>
      <c r="G417" s="680">
        <f t="shared" si="140"/>
        <v>922.37378817386093</v>
      </c>
      <c r="H417" s="680">
        <f t="shared" si="140"/>
        <v>16794.358721938064</v>
      </c>
      <c r="I417" s="680">
        <f t="shared" si="140"/>
        <v>4313.2661630320799</v>
      </c>
      <c r="J417" s="513">
        <f t="shared" si="136"/>
        <v>676454.85199135402</v>
      </c>
      <c r="K417" s="680">
        <v>43</v>
      </c>
      <c r="L417" s="680">
        <f t="shared" si="137"/>
        <v>15731.508185845443</v>
      </c>
      <c r="M417" s="668">
        <v>17372</v>
      </c>
      <c r="N417" s="668"/>
      <c r="O417" s="567" t="s">
        <v>628</v>
      </c>
      <c r="P417" s="672">
        <v>40857</v>
      </c>
      <c r="Q417" s="670"/>
      <c r="R417" s="572">
        <v>44</v>
      </c>
      <c r="S417" s="296">
        <v>14105</v>
      </c>
      <c r="T417" s="513">
        <f t="shared" si="138"/>
        <v>620620</v>
      </c>
      <c r="U417" s="537"/>
      <c r="V417" s="672"/>
      <c r="W417" s="496"/>
      <c r="X417" s="296"/>
      <c r="Y417" s="513">
        <f t="shared" si="139"/>
        <v>0</v>
      </c>
    </row>
    <row r="418" spans="1:25" ht="16.5" customHeight="1">
      <c r="A418" s="564">
        <f t="shared" si="134"/>
        <v>79</v>
      </c>
      <c r="B418" s="566" t="s">
        <v>1237</v>
      </c>
      <c r="C418" s="513">
        <f t="shared" si="135"/>
        <v>9278250</v>
      </c>
      <c r="D418" s="680">
        <f t="shared" si="140"/>
        <v>437402.59533032298</v>
      </c>
      <c r="E418" s="680">
        <f t="shared" si="140"/>
        <v>138408.02961884992</v>
      </c>
      <c r="F418" s="680">
        <f t="shared" si="140"/>
        <v>298424.46551244461</v>
      </c>
      <c r="G418" s="680">
        <f t="shared" si="140"/>
        <v>23853.01517324031</v>
      </c>
      <c r="H418" s="680">
        <f t="shared" si="140"/>
        <v>434309.92787895649</v>
      </c>
      <c r="I418" s="680">
        <f t="shared" si="140"/>
        <v>111543.06914631798</v>
      </c>
      <c r="J418" s="513">
        <f t="shared" si="136"/>
        <v>10722190.102660133</v>
      </c>
      <c r="K418" s="680">
        <v>1112</v>
      </c>
      <c r="L418" s="680">
        <f t="shared" si="137"/>
        <v>9642.2572865648672</v>
      </c>
      <c r="M418" s="668">
        <v>13869</v>
      </c>
      <c r="N418" s="668"/>
      <c r="O418" s="567" t="s">
        <v>630</v>
      </c>
      <c r="P418" s="672">
        <v>40857</v>
      </c>
      <c r="Q418" s="670"/>
      <c r="R418" s="572">
        <v>695</v>
      </c>
      <c r="S418" s="296">
        <v>13350</v>
      </c>
      <c r="T418" s="513">
        <f t="shared" si="138"/>
        <v>9278250</v>
      </c>
      <c r="U418" s="537"/>
      <c r="V418" s="672"/>
      <c r="W418" s="496"/>
      <c r="X418" s="296"/>
      <c r="Y418" s="513">
        <f t="shared" si="139"/>
        <v>0</v>
      </c>
    </row>
    <row r="419" spans="1:25" ht="16.5" customHeight="1">
      <c r="A419" s="564">
        <f t="shared" si="134"/>
        <v>80</v>
      </c>
      <c r="B419" s="566" t="s">
        <v>1238</v>
      </c>
      <c r="C419" s="513">
        <f t="shared" si="135"/>
        <v>8343750</v>
      </c>
      <c r="D419" s="680">
        <f t="shared" si="140"/>
        <v>393347.65767115372</v>
      </c>
      <c r="E419" s="680">
        <f t="shared" si="140"/>
        <v>124467.65253493698</v>
      </c>
      <c r="F419" s="680">
        <f t="shared" si="140"/>
        <v>268367.32510111929</v>
      </c>
      <c r="G419" s="680">
        <f t="shared" si="140"/>
        <v>21450.553213345604</v>
      </c>
      <c r="H419" s="680">
        <f t="shared" si="140"/>
        <v>390566.48190553644</v>
      </c>
      <c r="I419" s="680">
        <f t="shared" si="140"/>
        <v>100308.5154193507</v>
      </c>
      <c r="J419" s="513">
        <f t="shared" si="136"/>
        <v>9642257.1858454421</v>
      </c>
      <c r="K419" s="680">
        <v>1000</v>
      </c>
      <c r="L419" s="680">
        <f t="shared" si="137"/>
        <v>9642.257185845443</v>
      </c>
      <c r="M419" s="668">
        <v>14230</v>
      </c>
      <c r="N419" s="668"/>
      <c r="O419" s="567" t="s">
        <v>630</v>
      </c>
      <c r="P419" s="672">
        <v>40857</v>
      </c>
      <c r="Q419" s="670"/>
      <c r="R419" s="572">
        <v>625</v>
      </c>
      <c r="S419" s="296">
        <v>13350</v>
      </c>
      <c r="T419" s="513">
        <f t="shared" si="138"/>
        <v>8343750</v>
      </c>
      <c r="U419" s="537"/>
      <c r="V419" s="672"/>
      <c r="W419" s="496"/>
      <c r="X419" s="296"/>
      <c r="Y419" s="513">
        <f t="shared" si="139"/>
        <v>0</v>
      </c>
    </row>
    <row r="420" spans="1:25" ht="16.5" customHeight="1">
      <c r="A420" s="564">
        <f t="shared" si="134"/>
        <v>81</v>
      </c>
      <c r="B420" s="566" t="s">
        <v>1239</v>
      </c>
      <c r="C420" s="513">
        <f t="shared" si="135"/>
        <v>139505</v>
      </c>
      <c r="D420" s="680">
        <f t="shared" ref="D420:I429" si="141">IF($K$582&lt;&gt;0,D$582/$K$582*$K420,0)</f>
        <v>9833.691441778843</v>
      </c>
      <c r="E420" s="680">
        <f t="shared" si="141"/>
        <v>3111.6913133734242</v>
      </c>
      <c r="F420" s="680">
        <f t="shared" si="141"/>
        <v>6709.1831275279819</v>
      </c>
      <c r="G420" s="680">
        <f t="shared" si="141"/>
        <v>536.26383033364004</v>
      </c>
      <c r="H420" s="680">
        <f t="shared" si="141"/>
        <v>9764.1620476384105</v>
      </c>
      <c r="I420" s="680">
        <f t="shared" si="141"/>
        <v>2507.7128854837674</v>
      </c>
      <c r="J420" s="513">
        <f t="shared" si="136"/>
        <v>171966.70464613606</v>
      </c>
      <c r="K420" s="680">
        <v>25</v>
      </c>
      <c r="L420" s="680">
        <f t="shared" si="137"/>
        <v>6878.6681858454422</v>
      </c>
      <c r="M420" s="668">
        <v>9024</v>
      </c>
      <c r="N420" s="668"/>
      <c r="O420" s="566" t="s">
        <v>359</v>
      </c>
      <c r="P420" s="672">
        <v>40857</v>
      </c>
      <c r="Q420" s="670"/>
      <c r="R420" s="572">
        <v>5</v>
      </c>
      <c r="S420" s="296">
        <v>27901</v>
      </c>
      <c r="T420" s="513">
        <f t="shared" si="138"/>
        <v>139505</v>
      </c>
      <c r="U420" s="537"/>
      <c r="V420" s="672"/>
      <c r="W420" s="496"/>
      <c r="X420" s="296"/>
      <c r="Y420" s="513">
        <f t="shared" si="139"/>
        <v>0</v>
      </c>
    </row>
    <row r="421" spans="1:25" ht="16.5" customHeight="1">
      <c r="A421" s="564">
        <f t="shared" si="134"/>
        <v>82</v>
      </c>
      <c r="B421" s="566" t="s">
        <v>1240</v>
      </c>
      <c r="C421" s="513">
        <f t="shared" si="135"/>
        <v>4449</v>
      </c>
      <c r="D421" s="680">
        <f t="shared" si="141"/>
        <v>786.69531534230748</v>
      </c>
      <c r="E421" s="680">
        <f t="shared" si="141"/>
        <v>248.93530506987395</v>
      </c>
      <c r="F421" s="680">
        <f t="shared" si="141"/>
        <v>536.73465020223853</v>
      </c>
      <c r="G421" s="680">
        <f t="shared" si="141"/>
        <v>42.901106426691207</v>
      </c>
      <c r="H421" s="680">
        <f t="shared" si="141"/>
        <v>781.13296381107284</v>
      </c>
      <c r="I421" s="680">
        <f t="shared" si="141"/>
        <v>200.6170308387014</v>
      </c>
      <c r="J421" s="513">
        <f t="shared" si="136"/>
        <v>7045.0163716908855</v>
      </c>
      <c r="K421" s="680">
        <v>2</v>
      </c>
      <c r="L421" s="680">
        <f t="shared" si="137"/>
        <v>3522.5081858454428</v>
      </c>
      <c r="M421" s="668">
        <v>4181</v>
      </c>
      <c r="N421" s="668"/>
      <c r="O421" s="556" t="s">
        <v>364</v>
      </c>
      <c r="P421" s="672">
        <v>40857</v>
      </c>
      <c r="Q421" s="670"/>
      <c r="R421" s="572">
        <v>1</v>
      </c>
      <c r="S421" s="296">
        <v>4449</v>
      </c>
      <c r="T421" s="513">
        <f t="shared" si="138"/>
        <v>4449</v>
      </c>
      <c r="U421" s="537"/>
      <c r="V421" s="672"/>
      <c r="W421" s="496"/>
      <c r="X421" s="296"/>
      <c r="Y421" s="513">
        <f t="shared" si="139"/>
        <v>0</v>
      </c>
    </row>
    <row r="422" spans="1:25" ht="16.5" customHeight="1">
      <c r="A422" s="564">
        <f t="shared" si="134"/>
        <v>83</v>
      </c>
      <c r="B422" s="566" t="s">
        <v>722</v>
      </c>
      <c r="C422" s="513">
        <f t="shared" si="135"/>
        <v>1724459</v>
      </c>
      <c r="D422" s="680">
        <f t="shared" si="141"/>
        <v>82209.660453271135</v>
      </c>
      <c r="E422" s="680">
        <f t="shared" si="141"/>
        <v>26013.739379801827</v>
      </c>
      <c r="F422" s="680">
        <f t="shared" si="141"/>
        <v>56088.770946133925</v>
      </c>
      <c r="G422" s="680">
        <f t="shared" si="141"/>
        <v>4483.1656215892308</v>
      </c>
      <c r="H422" s="680">
        <f t="shared" si="141"/>
        <v>81628.394718257114</v>
      </c>
      <c r="I422" s="680">
        <f t="shared" si="141"/>
        <v>20964.479722644297</v>
      </c>
      <c r="J422" s="513">
        <f t="shared" si="136"/>
        <v>1995846.2108416972</v>
      </c>
      <c r="K422" s="680">
        <v>209</v>
      </c>
      <c r="L422" s="680">
        <f t="shared" si="137"/>
        <v>9549.5034011564458</v>
      </c>
      <c r="M422" s="668">
        <v>10595</v>
      </c>
      <c r="N422" s="668"/>
      <c r="O422" s="567" t="s">
        <v>626</v>
      </c>
      <c r="P422" s="672">
        <v>40862</v>
      </c>
      <c r="Q422" s="670"/>
      <c r="R422" s="572">
        <f>K422/2</f>
        <v>104.5</v>
      </c>
      <c r="S422" s="296">
        <v>16502</v>
      </c>
      <c r="T422" s="513">
        <f t="shared" si="138"/>
        <v>1724459</v>
      </c>
      <c r="U422" s="537"/>
      <c r="V422" s="672"/>
      <c r="W422" s="496"/>
      <c r="X422" s="296"/>
      <c r="Y422" s="513">
        <f t="shared" si="139"/>
        <v>0</v>
      </c>
    </row>
    <row r="423" spans="1:25" ht="16.5" customHeight="1">
      <c r="A423" s="564">
        <f t="shared" si="134"/>
        <v>84</v>
      </c>
      <c r="B423" s="566" t="s">
        <v>1214</v>
      </c>
      <c r="C423" s="513">
        <f t="shared" si="135"/>
        <v>1988805</v>
      </c>
      <c r="D423" s="680">
        <f t="shared" si="141"/>
        <v>55462.019731632674</v>
      </c>
      <c r="E423" s="680">
        <f t="shared" si="141"/>
        <v>17549.939007426114</v>
      </c>
      <c r="F423" s="680">
        <f t="shared" si="141"/>
        <v>37839.792839257818</v>
      </c>
      <c r="G423" s="680">
        <f t="shared" si="141"/>
        <v>3024.5280030817303</v>
      </c>
      <c r="H423" s="680">
        <f t="shared" si="141"/>
        <v>55069.873948680637</v>
      </c>
      <c r="I423" s="680">
        <f t="shared" si="141"/>
        <v>14143.500674128449</v>
      </c>
      <c r="J423" s="513">
        <f t="shared" si="136"/>
        <v>2171893.6542042075</v>
      </c>
      <c r="K423" s="680">
        <v>141</v>
      </c>
      <c r="L423" s="680">
        <f t="shared" si="137"/>
        <v>15403.501093646861</v>
      </c>
      <c r="M423" s="668">
        <v>17966</v>
      </c>
      <c r="N423" s="668"/>
      <c r="O423" s="567" t="s">
        <v>628</v>
      </c>
      <c r="P423" s="672">
        <v>40862</v>
      </c>
      <c r="Q423" s="670"/>
      <c r="R423" s="572">
        <f>K423</f>
        <v>141</v>
      </c>
      <c r="S423" s="296">
        <v>14105</v>
      </c>
      <c r="T423" s="513">
        <f t="shared" si="138"/>
        <v>1988805</v>
      </c>
      <c r="U423" s="537"/>
      <c r="V423" s="672"/>
      <c r="W423" s="496"/>
      <c r="X423" s="296"/>
      <c r="Y423" s="513">
        <f t="shared" si="139"/>
        <v>0</v>
      </c>
    </row>
    <row r="424" spans="1:25" ht="16.5" customHeight="1">
      <c r="A424" s="564">
        <f t="shared" si="134"/>
        <v>85</v>
      </c>
      <c r="B424" s="566" t="s">
        <v>1215</v>
      </c>
      <c r="C424" s="513">
        <f t="shared" si="135"/>
        <v>3528372</v>
      </c>
      <c r="D424" s="680">
        <f t="shared" si="141"/>
        <v>136884.98486956151</v>
      </c>
      <c r="E424" s="680">
        <f t="shared" si="141"/>
        <v>43314.743082158064</v>
      </c>
      <c r="F424" s="680">
        <f t="shared" si="141"/>
        <v>93391.829135189502</v>
      </c>
      <c r="G424" s="680">
        <f t="shared" si="141"/>
        <v>7464.7925182442705</v>
      </c>
      <c r="H424" s="680">
        <f t="shared" si="141"/>
        <v>135917.13570312667</v>
      </c>
      <c r="I424" s="680">
        <f t="shared" si="141"/>
        <v>34907.363365934041</v>
      </c>
      <c r="J424" s="513">
        <f t="shared" si="136"/>
        <v>3980251.8486742144</v>
      </c>
      <c r="K424" s="680">
        <v>348</v>
      </c>
      <c r="L424" s="680">
        <f t="shared" si="137"/>
        <v>11437.505312282225</v>
      </c>
      <c r="M424" s="668">
        <v>14535</v>
      </c>
      <c r="N424" s="668"/>
      <c r="O424" s="567" t="s">
        <v>619</v>
      </c>
      <c r="P424" s="672">
        <v>40862</v>
      </c>
      <c r="Q424" s="670"/>
      <c r="R424" s="572">
        <f>K424/2</f>
        <v>174</v>
      </c>
      <c r="S424" s="296">
        <v>20278</v>
      </c>
      <c r="T424" s="513">
        <f t="shared" si="138"/>
        <v>3528372</v>
      </c>
      <c r="U424" s="537"/>
      <c r="V424" s="672"/>
      <c r="W424" s="496"/>
      <c r="X424" s="296"/>
      <c r="Y424" s="513">
        <f t="shared" si="139"/>
        <v>0</v>
      </c>
    </row>
    <row r="425" spans="1:25" ht="16.5" customHeight="1">
      <c r="A425" s="564">
        <f t="shared" si="134"/>
        <v>86</v>
      </c>
      <c r="B425" s="566" t="s">
        <v>723</v>
      </c>
      <c r="C425" s="513">
        <f t="shared" si="135"/>
        <v>327560</v>
      </c>
      <c r="D425" s="680">
        <f t="shared" si="141"/>
        <v>14947.210991503842</v>
      </c>
      <c r="E425" s="680">
        <f t="shared" si="141"/>
        <v>4729.7707963276052</v>
      </c>
      <c r="F425" s="680">
        <f t="shared" si="141"/>
        <v>10197.958353842532</v>
      </c>
      <c r="G425" s="680">
        <f t="shared" si="141"/>
        <v>815.12102210713294</v>
      </c>
      <c r="H425" s="680">
        <f t="shared" si="141"/>
        <v>14841.526312410384</v>
      </c>
      <c r="I425" s="680">
        <f t="shared" si="141"/>
        <v>3811.7235859353264</v>
      </c>
      <c r="J425" s="513">
        <f t="shared" si="136"/>
        <v>376902.31106212683</v>
      </c>
      <c r="K425" s="680">
        <v>38</v>
      </c>
      <c r="L425" s="680">
        <f t="shared" si="137"/>
        <v>9918.4818700559699</v>
      </c>
      <c r="M425" s="668">
        <v>11321</v>
      </c>
      <c r="N425" s="668"/>
      <c r="O425" s="556" t="s">
        <v>484</v>
      </c>
      <c r="P425" s="672">
        <v>40862</v>
      </c>
      <c r="Q425" s="670"/>
      <c r="R425" s="572">
        <f>K425</f>
        <v>38</v>
      </c>
      <c r="S425" s="296">
        <v>8620</v>
      </c>
      <c r="T425" s="513">
        <f t="shared" si="138"/>
        <v>327560</v>
      </c>
      <c r="U425" s="537"/>
      <c r="V425" s="672"/>
      <c r="W425" s="496"/>
      <c r="X425" s="296"/>
      <c r="Y425" s="513">
        <f t="shared" si="139"/>
        <v>0</v>
      </c>
    </row>
    <row r="426" spans="1:25" ht="16.5" customHeight="1">
      <c r="A426" s="564">
        <f t="shared" si="134"/>
        <v>87</v>
      </c>
      <c r="B426" s="566" t="s">
        <v>1216</v>
      </c>
      <c r="C426" s="513">
        <f t="shared" si="135"/>
        <v>169260</v>
      </c>
      <c r="D426" s="680">
        <f t="shared" si="141"/>
        <v>9440.3437841076902</v>
      </c>
      <c r="E426" s="680">
        <f t="shared" si="141"/>
        <v>2987.2236608384874</v>
      </c>
      <c r="F426" s="680">
        <f t="shared" si="141"/>
        <v>6440.8158024268623</v>
      </c>
      <c r="G426" s="680">
        <f t="shared" si="141"/>
        <v>514.81327712029452</v>
      </c>
      <c r="H426" s="680">
        <f t="shared" si="141"/>
        <v>9373.5955657328741</v>
      </c>
      <c r="I426" s="680">
        <f t="shared" si="141"/>
        <v>2407.404370064417</v>
      </c>
      <c r="J426" s="513">
        <f t="shared" si="136"/>
        <v>200423.19646029061</v>
      </c>
      <c r="K426" s="680">
        <v>24</v>
      </c>
      <c r="L426" s="680">
        <f t="shared" si="137"/>
        <v>8350.9665191787753</v>
      </c>
      <c r="M426" s="668">
        <v>10267</v>
      </c>
      <c r="N426" s="668"/>
      <c r="O426" s="567" t="s">
        <v>628</v>
      </c>
      <c r="P426" s="672">
        <v>40862</v>
      </c>
      <c r="Q426" s="670"/>
      <c r="R426" s="572">
        <v>12</v>
      </c>
      <c r="S426" s="296">
        <v>14105</v>
      </c>
      <c r="T426" s="513">
        <f t="shared" si="138"/>
        <v>169260</v>
      </c>
      <c r="U426" s="537"/>
      <c r="V426" s="672"/>
      <c r="W426" s="496"/>
      <c r="X426" s="296"/>
      <c r="Y426" s="513">
        <f t="shared" si="139"/>
        <v>0</v>
      </c>
    </row>
    <row r="427" spans="1:25" ht="16.5" customHeight="1">
      <c r="A427" s="564">
        <f t="shared" si="134"/>
        <v>88</v>
      </c>
      <c r="B427" s="566" t="s">
        <v>958</v>
      </c>
      <c r="C427" s="513">
        <f t="shared" si="135"/>
        <v>10139</v>
      </c>
      <c r="D427" s="680">
        <f t="shared" si="141"/>
        <v>393.34765767115374</v>
      </c>
      <c r="E427" s="680">
        <f t="shared" si="141"/>
        <v>124.46765253493697</v>
      </c>
      <c r="F427" s="680">
        <f t="shared" si="141"/>
        <v>268.36732510111926</v>
      </c>
      <c r="G427" s="680">
        <f t="shared" si="141"/>
        <v>21.450553213345604</v>
      </c>
      <c r="H427" s="680">
        <f t="shared" si="141"/>
        <v>390.56648190553642</v>
      </c>
      <c r="I427" s="680">
        <f t="shared" si="141"/>
        <v>100.3085154193507</v>
      </c>
      <c r="J427" s="513">
        <f t="shared" si="136"/>
        <v>11436.508185845443</v>
      </c>
      <c r="K427" s="680">
        <v>1</v>
      </c>
      <c r="L427" s="680">
        <f t="shared" si="137"/>
        <v>11436.508185845443</v>
      </c>
      <c r="M427" s="668">
        <v>13099</v>
      </c>
      <c r="N427" s="668"/>
      <c r="O427" s="567" t="s">
        <v>619</v>
      </c>
      <c r="P427" s="672">
        <v>40862</v>
      </c>
      <c r="Q427" s="670"/>
      <c r="R427" s="572">
        <f>K427/2</f>
        <v>0.5</v>
      </c>
      <c r="S427" s="296">
        <v>20278</v>
      </c>
      <c r="T427" s="513">
        <f t="shared" si="138"/>
        <v>10139</v>
      </c>
      <c r="U427" s="537"/>
      <c r="V427" s="672"/>
      <c r="W427" s="496"/>
      <c r="X427" s="296"/>
      <c r="Y427" s="513">
        <f t="shared" si="139"/>
        <v>0</v>
      </c>
    </row>
    <row r="428" spans="1:25" ht="16.5" customHeight="1">
      <c r="A428" s="564">
        <f t="shared" si="134"/>
        <v>89</v>
      </c>
      <c r="B428" s="566" t="s">
        <v>725</v>
      </c>
      <c r="C428" s="513">
        <f t="shared" si="135"/>
        <v>27594</v>
      </c>
      <c r="D428" s="680">
        <f t="shared" si="141"/>
        <v>1180.0429730134613</v>
      </c>
      <c r="E428" s="680">
        <f t="shared" si="141"/>
        <v>373.40295760481092</v>
      </c>
      <c r="F428" s="680">
        <f t="shared" si="141"/>
        <v>805.10197530335779</v>
      </c>
      <c r="G428" s="680">
        <f t="shared" si="141"/>
        <v>64.351659640036814</v>
      </c>
      <c r="H428" s="680">
        <f t="shared" si="141"/>
        <v>1171.6994457166093</v>
      </c>
      <c r="I428" s="680">
        <f t="shared" si="141"/>
        <v>300.92554625805212</v>
      </c>
      <c r="J428" s="513">
        <f t="shared" si="136"/>
        <v>31488.524557536326</v>
      </c>
      <c r="K428" s="680">
        <v>3</v>
      </c>
      <c r="L428" s="680">
        <f t="shared" si="137"/>
        <v>10496.174852512109</v>
      </c>
      <c r="M428" s="668">
        <v>12564</v>
      </c>
      <c r="N428" s="668"/>
      <c r="O428" s="567" t="s">
        <v>588</v>
      </c>
      <c r="P428" s="672">
        <v>40862</v>
      </c>
      <c r="Q428" s="670"/>
      <c r="R428" s="572">
        <f>K428/2</f>
        <v>1.5</v>
      </c>
      <c r="S428" s="296">
        <v>18396</v>
      </c>
      <c r="T428" s="513">
        <f t="shared" si="138"/>
        <v>27594</v>
      </c>
      <c r="U428" s="537"/>
      <c r="V428" s="672"/>
      <c r="W428" s="496"/>
      <c r="X428" s="296"/>
      <c r="Y428" s="513">
        <f t="shared" si="139"/>
        <v>0</v>
      </c>
    </row>
    <row r="429" spans="1:25" ht="16.5" customHeight="1">
      <c r="A429" s="564">
        <f t="shared" si="134"/>
        <v>90</v>
      </c>
      <c r="B429" s="566" t="s">
        <v>728</v>
      </c>
      <c r="C429" s="513">
        <f t="shared" si="135"/>
        <v>29457</v>
      </c>
      <c r="D429" s="680">
        <f t="shared" si="141"/>
        <v>1180.0429730134613</v>
      </c>
      <c r="E429" s="680">
        <f t="shared" si="141"/>
        <v>373.40295760481092</v>
      </c>
      <c r="F429" s="680">
        <f t="shared" si="141"/>
        <v>805.10197530335779</v>
      </c>
      <c r="G429" s="680">
        <f t="shared" si="141"/>
        <v>64.351659640036814</v>
      </c>
      <c r="H429" s="680">
        <f t="shared" si="141"/>
        <v>1171.6994457166093</v>
      </c>
      <c r="I429" s="680">
        <f t="shared" si="141"/>
        <v>300.92554625805212</v>
      </c>
      <c r="J429" s="513">
        <f t="shared" si="136"/>
        <v>33351.52455753633</v>
      </c>
      <c r="K429" s="680">
        <v>3</v>
      </c>
      <c r="L429" s="680">
        <f t="shared" si="137"/>
        <v>11117.174852512109</v>
      </c>
      <c r="M429" s="668">
        <v>16284</v>
      </c>
      <c r="N429" s="668"/>
      <c r="O429" s="556" t="s">
        <v>519</v>
      </c>
      <c r="P429" s="672">
        <v>40862</v>
      </c>
      <c r="Q429" s="670"/>
      <c r="R429" s="572">
        <v>1.5</v>
      </c>
      <c r="S429" s="296">
        <v>19638</v>
      </c>
      <c r="T429" s="513">
        <f t="shared" si="138"/>
        <v>29457</v>
      </c>
      <c r="U429" s="537"/>
      <c r="V429" s="672"/>
      <c r="W429" s="496"/>
      <c r="X429" s="296"/>
      <c r="Y429" s="513">
        <f t="shared" si="139"/>
        <v>0</v>
      </c>
    </row>
    <row r="430" spans="1:25" ht="16.5" customHeight="1">
      <c r="A430" s="564">
        <f t="shared" si="134"/>
        <v>91</v>
      </c>
      <c r="B430" s="566" t="s">
        <v>724</v>
      </c>
      <c r="C430" s="513">
        <f t="shared" si="135"/>
        <v>33745</v>
      </c>
      <c r="D430" s="680">
        <f t="shared" ref="D430:I439" si="142">IF($K$582&lt;&gt;0,D$582/$K$582*$K430,0)</f>
        <v>1966.7382883557686</v>
      </c>
      <c r="E430" s="680">
        <f t="shared" si="142"/>
        <v>622.33826267468487</v>
      </c>
      <c r="F430" s="680">
        <f t="shared" si="142"/>
        <v>1341.8366255055962</v>
      </c>
      <c r="G430" s="680">
        <f t="shared" si="142"/>
        <v>107.25276606672801</v>
      </c>
      <c r="H430" s="680">
        <f t="shared" si="142"/>
        <v>1952.8324095276821</v>
      </c>
      <c r="I430" s="680">
        <f t="shared" si="142"/>
        <v>501.54257709675346</v>
      </c>
      <c r="J430" s="513">
        <f t="shared" si="136"/>
        <v>40236.540929227209</v>
      </c>
      <c r="K430" s="680">
        <v>5</v>
      </c>
      <c r="L430" s="680">
        <f t="shared" si="137"/>
        <v>8047.3081858454416</v>
      </c>
      <c r="M430" s="668">
        <v>10253</v>
      </c>
      <c r="N430" s="668"/>
      <c r="O430" s="556" t="s">
        <v>478</v>
      </c>
      <c r="P430" s="672">
        <v>40862</v>
      </c>
      <c r="Q430" s="670"/>
      <c r="R430" s="572">
        <f>K430/2</f>
        <v>2.5</v>
      </c>
      <c r="S430" s="296">
        <v>13498</v>
      </c>
      <c r="T430" s="513">
        <f t="shared" si="138"/>
        <v>33745</v>
      </c>
      <c r="U430" s="537"/>
      <c r="V430" s="672"/>
      <c r="W430" s="496"/>
      <c r="X430" s="296"/>
      <c r="Y430" s="513">
        <f t="shared" si="139"/>
        <v>0</v>
      </c>
    </row>
    <row r="431" spans="1:25" ht="16.5" customHeight="1">
      <c r="A431" s="564">
        <f t="shared" si="134"/>
        <v>92</v>
      </c>
      <c r="B431" s="566" t="s">
        <v>1242</v>
      </c>
      <c r="C431" s="513">
        <f t="shared" si="135"/>
        <v>26996</v>
      </c>
      <c r="D431" s="680">
        <f t="shared" si="142"/>
        <v>1573.390630684615</v>
      </c>
      <c r="E431" s="680">
        <f t="shared" si="142"/>
        <v>497.8706101397479</v>
      </c>
      <c r="F431" s="680">
        <f t="shared" si="142"/>
        <v>1073.4693004044771</v>
      </c>
      <c r="G431" s="680">
        <f t="shared" si="142"/>
        <v>85.802212853382414</v>
      </c>
      <c r="H431" s="680">
        <f t="shared" si="142"/>
        <v>1562.2659276221457</v>
      </c>
      <c r="I431" s="680">
        <f t="shared" si="142"/>
        <v>401.23406167740279</v>
      </c>
      <c r="J431" s="513">
        <f t="shared" si="136"/>
        <v>32189.032743381769</v>
      </c>
      <c r="K431" s="680">
        <v>4</v>
      </c>
      <c r="L431" s="680">
        <f t="shared" si="137"/>
        <v>8047.2581858454423</v>
      </c>
      <c r="M431" s="668">
        <v>10026</v>
      </c>
      <c r="N431" s="668"/>
      <c r="O431" s="556" t="s">
        <v>478</v>
      </c>
      <c r="P431" s="672">
        <v>40862</v>
      </c>
      <c r="Q431" s="670"/>
      <c r="R431" s="572">
        <f>K431/2</f>
        <v>2</v>
      </c>
      <c r="S431" s="296">
        <v>13498</v>
      </c>
      <c r="T431" s="513">
        <f t="shared" si="138"/>
        <v>26996</v>
      </c>
      <c r="U431" s="537"/>
      <c r="V431" s="672"/>
      <c r="W431" s="496"/>
      <c r="X431" s="296"/>
      <c r="Y431" s="513">
        <f t="shared" si="139"/>
        <v>0</v>
      </c>
    </row>
    <row r="432" spans="1:25" ht="16.5" customHeight="1">
      <c r="A432" s="564">
        <f t="shared" si="134"/>
        <v>93</v>
      </c>
      <c r="B432" s="566" t="s">
        <v>979</v>
      </c>
      <c r="C432" s="513">
        <f t="shared" si="135"/>
        <v>4449</v>
      </c>
      <c r="D432" s="680">
        <f t="shared" si="142"/>
        <v>393.34765767115374</v>
      </c>
      <c r="E432" s="680">
        <f t="shared" si="142"/>
        <v>124.46765253493697</v>
      </c>
      <c r="F432" s="680">
        <f t="shared" si="142"/>
        <v>268.36732510111926</v>
      </c>
      <c r="G432" s="680">
        <f t="shared" si="142"/>
        <v>21.450553213345604</v>
      </c>
      <c r="H432" s="680">
        <f t="shared" si="142"/>
        <v>390.56648190553642</v>
      </c>
      <c r="I432" s="680">
        <f t="shared" si="142"/>
        <v>100.3085154193507</v>
      </c>
      <c r="J432" s="513">
        <f t="shared" si="136"/>
        <v>5746.5081858454423</v>
      </c>
      <c r="K432" s="680">
        <v>1</v>
      </c>
      <c r="L432" s="680">
        <f t="shared" si="137"/>
        <v>5746.5081858454423</v>
      </c>
      <c r="M432" s="668">
        <v>7285</v>
      </c>
      <c r="N432" s="668"/>
      <c r="O432" s="556" t="s">
        <v>364</v>
      </c>
      <c r="P432" s="672">
        <v>40862</v>
      </c>
      <c r="Q432" s="670"/>
      <c r="R432" s="572">
        <f>K432</f>
        <v>1</v>
      </c>
      <c r="S432" s="296">
        <v>4449</v>
      </c>
      <c r="T432" s="513">
        <f t="shared" si="138"/>
        <v>4449</v>
      </c>
      <c r="U432" s="537"/>
      <c r="V432" s="672"/>
      <c r="W432" s="496"/>
      <c r="X432" s="296"/>
      <c r="Y432" s="513">
        <f t="shared" si="139"/>
        <v>0</v>
      </c>
    </row>
    <row r="433" spans="1:25" ht="16.5" customHeight="1">
      <c r="A433" s="564">
        <f t="shared" si="134"/>
        <v>94</v>
      </c>
      <c r="B433" s="566" t="s">
        <v>733</v>
      </c>
      <c r="C433" s="513">
        <f t="shared" si="135"/>
        <v>15086</v>
      </c>
      <c r="D433" s="680">
        <f t="shared" si="142"/>
        <v>1573.390630684615</v>
      </c>
      <c r="E433" s="680">
        <f t="shared" si="142"/>
        <v>497.8706101397479</v>
      </c>
      <c r="F433" s="680">
        <f t="shared" si="142"/>
        <v>1073.4693004044771</v>
      </c>
      <c r="G433" s="680">
        <f t="shared" si="142"/>
        <v>85.802212853382414</v>
      </c>
      <c r="H433" s="680">
        <f t="shared" si="142"/>
        <v>1562.2659276221457</v>
      </c>
      <c r="I433" s="680">
        <f t="shared" si="142"/>
        <v>401.23406167740279</v>
      </c>
      <c r="J433" s="513">
        <f t="shared" si="136"/>
        <v>20279.032743381769</v>
      </c>
      <c r="K433" s="680">
        <v>4</v>
      </c>
      <c r="L433" s="680">
        <f t="shared" si="137"/>
        <v>5069.7581858454423</v>
      </c>
      <c r="M433" s="668">
        <v>5210</v>
      </c>
      <c r="N433" s="668"/>
      <c r="O433" s="556" t="s">
        <v>556</v>
      </c>
      <c r="P433" s="672">
        <v>40862</v>
      </c>
      <c r="Q433" s="670"/>
      <c r="R433" s="572">
        <v>2</v>
      </c>
      <c r="S433" s="296">
        <v>7543</v>
      </c>
      <c r="T433" s="513">
        <f t="shared" si="138"/>
        <v>15086</v>
      </c>
      <c r="U433" s="537"/>
      <c r="V433" s="672"/>
      <c r="W433" s="496"/>
      <c r="X433" s="296"/>
      <c r="Y433" s="513">
        <f t="shared" si="139"/>
        <v>0</v>
      </c>
    </row>
    <row r="434" spans="1:25" ht="16.5" customHeight="1">
      <c r="A434" s="564">
        <f t="shared" si="134"/>
        <v>95</v>
      </c>
      <c r="B434" s="566" t="s">
        <v>872</v>
      </c>
      <c r="C434" s="513">
        <f t="shared" si="135"/>
        <v>17796</v>
      </c>
      <c r="D434" s="680">
        <f t="shared" si="142"/>
        <v>1573.390630684615</v>
      </c>
      <c r="E434" s="680">
        <f t="shared" si="142"/>
        <v>497.8706101397479</v>
      </c>
      <c r="F434" s="680">
        <f t="shared" si="142"/>
        <v>1073.4693004044771</v>
      </c>
      <c r="G434" s="680">
        <f t="shared" si="142"/>
        <v>85.802212853382414</v>
      </c>
      <c r="H434" s="680">
        <f t="shared" si="142"/>
        <v>1562.2659276221457</v>
      </c>
      <c r="I434" s="680">
        <f t="shared" si="142"/>
        <v>401.23406167740279</v>
      </c>
      <c r="J434" s="513">
        <f t="shared" si="136"/>
        <v>22989.032743381769</v>
      </c>
      <c r="K434" s="680">
        <v>4</v>
      </c>
      <c r="L434" s="680">
        <f t="shared" si="137"/>
        <v>5747.2581858454423</v>
      </c>
      <c r="M434" s="668">
        <v>7094</v>
      </c>
      <c r="N434" s="668"/>
      <c r="O434" s="556" t="s">
        <v>364</v>
      </c>
      <c r="P434" s="672">
        <v>40862</v>
      </c>
      <c r="Q434" s="670"/>
      <c r="R434" s="572">
        <f>K434</f>
        <v>4</v>
      </c>
      <c r="S434" s="296">
        <v>4449</v>
      </c>
      <c r="T434" s="513">
        <f t="shared" si="138"/>
        <v>17796</v>
      </c>
      <c r="U434" s="537"/>
      <c r="V434" s="672"/>
      <c r="W434" s="496"/>
      <c r="X434" s="296"/>
      <c r="Y434" s="513">
        <f t="shared" si="139"/>
        <v>0</v>
      </c>
    </row>
    <row r="435" spans="1:25" ht="16.5" customHeight="1">
      <c r="A435" s="564">
        <f t="shared" si="134"/>
        <v>96</v>
      </c>
      <c r="B435" s="566" t="s">
        <v>734</v>
      </c>
      <c r="C435" s="513">
        <f t="shared" si="135"/>
        <v>8898</v>
      </c>
      <c r="D435" s="680">
        <f t="shared" si="142"/>
        <v>786.69531534230748</v>
      </c>
      <c r="E435" s="680">
        <f t="shared" si="142"/>
        <v>248.93530506987395</v>
      </c>
      <c r="F435" s="680">
        <f t="shared" si="142"/>
        <v>536.73465020223853</v>
      </c>
      <c r="G435" s="680">
        <f t="shared" si="142"/>
        <v>42.901106426691207</v>
      </c>
      <c r="H435" s="680">
        <f t="shared" si="142"/>
        <v>781.13296381107284</v>
      </c>
      <c r="I435" s="680">
        <f t="shared" si="142"/>
        <v>200.6170308387014</v>
      </c>
      <c r="J435" s="513">
        <f t="shared" si="136"/>
        <v>11494.016371690885</v>
      </c>
      <c r="K435" s="680">
        <v>2</v>
      </c>
      <c r="L435" s="680">
        <f t="shared" si="137"/>
        <v>5747.0081858454423</v>
      </c>
      <c r="M435" s="668">
        <v>7348</v>
      </c>
      <c r="N435" s="668"/>
      <c r="O435" s="556" t="s">
        <v>364</v>
      </c>
      <c r="P435" s="672">
        <v>40862</v>
      </c>
      <c r="Q435" s="670"/>
      <c r="R435" s="572">
        <f>K435</f>
        <v>2</v>
      </c>
      <c r="S435" s="296">
        <v>4449</v>
      </c>
      <c r="T435" s="513">
        <f t="shared" si="138"/>
        <v>8898</v>
      </c>
      <c r="U435" s="537"/>
      <c r="V435" s="672"/>
      <c r="W435" s="496"/>
      <c r="X435" s="296"/>
      <c r="Y435" s="513">
        <f t="shared" si="139"/>
        <v>0</v>
      </c>
    </row>
    <row r="436" spans="1:25" ht="16.5" customHeight="1">
      <c r="A436" s="564">
        <f t="shared" si="134"/>
        <v>97</v>
      </c>
      <c r="B436" s="566" t="s">
        <v>874</v>
      </c>
      <c r="C436" s="513">
        <f t="shared" si="135"/>
        <v>1527848</v>
      </c>
      <c r="D436" s="680">
        <f t="shared" si="142"/>
        <v>86929.832345324976</v>
      </c>
      <c r="E436" s="680">
        <f t="shared" si="142"/>
        <v>27507.35121022107</v>
      </c>
      <c r="F436" s="680">
        <f t="shared" si="142"/>
        <v>59309.178847347357</v>
      </c>
      <c r="G436" s="680">
        <f t="shared" si="142"/>
        <v>4740.5722601493781</v>
      </c>
      <c r="H436" s="680">
        <f t="shared" si="142"/>
        <v>86315.192501123543</v>
      </c>
      <c r="I436" s="680">
        <f t="shared" si="142"/>
        <v>22168.181907676506</v>
      </c>
      <c r="J436" s="513">
        <f t="shared" si="136"/>
        <v>1814817.3090718428</v>
      </c>
      <c r="K436" s="680">
        <v>221</v>
      </c>
      <c r="L436" s="680">
        <f t="shared" si="137"/>
        <v>8211.8430274744023</v>
      </c>
      <c r="M436" s="668">
        <v>9594</v>
      </c>
      <c r="N436" s="668"/>
      <c r="O436" s="567" t="s">
        <v>616</v>
      </c>
      <c r="P436" s="672">
        <v>40862</v>
      </c>
      <c r="Q436" s="670"/>
      <c r="R436" s="572">
        <v>56</v>
      </c>
      <c r="S436" s="296">
        <v>27283</v>
      </c>
      <c r="T436" s="513">
        <f t="shared" si="138"/>
        <v>1527848</v>
      </c>
      <c r="U436" s="537"/>
      <c r="V436" s="672"/>
      <c r="W436" s="496"/>
      <c r="X436" s="296"/>
      <c r="Y436" s="513">
        <f t="shared" si="139"/>
        <v>0</v>
      </c>
    </row>
    <row r="437" spans="1:25" ht="16.5" customHeight="1">
      <c r="A437" s="564">
        <f t="shared" si="134"/>
        <v>98</v>
      </c>
      <c r="B437" s="566" t="s">
        <v>735</v>
      </c>
      <c r="C437" s="513">
        <f t="shared" si="135"/>
        <v>794561</v>
      </c>
      <c r="D437" s="680">
        <f t="shared" si="142"/>
        <v>24387.55477561153</v>
      </c>
      <c r="E437" s="680">
        <f t="shared" si="142"/>
        <v>7716.9944571660926</v>
      </c>
      <c r="F437" s="680">
        <f t="shared" si="142"/>
        <v>16638.774156269395</v>
      </c>
      <c r="G437" s="680">
        <f t="shared" si="142"/>
        <v>1329.9342992274273</v>
      </c>
      <c r="H437" s="680">
        <f t="shared" si="142"/>
        <v>24215.121878143258</v>
      </c>
      <c r="I437" s="680">
        <f t="shared" si="142"/>
        <v>6219.1279559997429</v>
      </c>
      <c r="J437" s="513">
        <f t="shared" si="136"/>
        <v>875067.50752241735</v>
      </c>
      <c r="K437" s="680">
        <v>62</v>
      </c>
      <c r="L437" s="680">
        <f t="shared" si="137"/>
        <v>14113.992056813184</v>
      </c>
      <c r="M437" s="668">
        <v>15136</v>
      </c>
      <c r="N437" s="668"/>
      <c r="O437" s="537" t="s">
        <v>620</v>
      </c>
      <c r="P437" s="672">
        <v>40862</v>
      </c>
      <c r="Q437" s="670"/>
      <c r="R437" s="572">
        <f>K437/2</f>
        <v>31</v>
      </c>
      <c r="S437" s="296">
        <v>25631</v>
      </c>
      <c r="T437" s="513">
        <f t="shared" si="138"/>
        <v>794561</v>
      </c>
      <c r="U437" s="537"/>
      <c r="V437" s="672"/>
      <c r="W437" s="496"/>
      <c r="X437" s="296"/>
      <c r="Y437" s="513">
        <f t="shared" si="139"/>
        <v>0</v>
      </c>
    </row>
    <row r="438" spans="1:25" ht="16.5" customHeight="1">
      <c r="A438" s="564">
        <f t="shared" si="134"/>
        <v>99</v>
      </c>
      <c r="B438" s="566" t="s">
        <v>870</v>
      </c>
      <c r="C438" s="513">
        <f t="shared" si="135"/>
        <v>851236</v>
      </c>
      <c r="D438" s="680">
        <f t="shared" si="142"/>
        <v>54675.324416290372</v>
      </c>
      <c r="E438" s="680">
        <f t="shared" si="142"/>
        <v>17301.00370235624</v>
      </c>
      <c r="F438" s="680">
        <f t="shared" si="142"/>
        <v>37303.058189055577</v>
      </c>
      <c r="G438" s="680">
        <f t="shared" si="142"/>
        <v>2981.6268966550388</v>
      </c>
      <c r="H438" s="680">
        <f t="shared" si="142"/>
        <v>54288.740984869561</v>
      </c>
      <c r="I438" s="680">
        <f t="shared" si="142"/>
        <v>13942.883643289748</v>
      </c>
      <c r="J438" s="513">
        <f t="shared" si="136"/>
        <v>1031727.6378325166</v>
      </c>
      <c r="K438" s="680">
        <v>139</v>
      </c>
      <c r="L438" s="680">
        <f t="shared" si="137"/>
        <v>7422.5009916008385</v>
      </c>
      <c r="M438" s="668">
        <v>8450</v>
      </c>
      <c r="N438" s="668"/>
      <c r="O438" s="556" t="s">
        <v>362</v>
      </c>
      <c r="P438" s="672">
        <v>40862</v>
      </c>
      <c r="Q438" s="670"/>
      <c r="R438" s="572">
        <v>139</v>
      </c>
      <c r="S438" s="296">
        <v>6124</v>
      </c>
      <c r="T438" s="513">
        <f t="shared" si="138"/>
        <v>851236</v>
      </c>
      <c r="U438" s="537"/>
      <c r="V438" s="672"/>
      <c r="W438" s="496"/>
      <c r="X438" s="296"/>
      <c r="Y438" s="513">
        <f t="shared" si="139"/>
        <v>0</v>
      </c>
    </row>
    <row r="439" spans="1:25" ht="16.5" customHeight="1">
      <c r="A439" s="564">
        <f t="shared" si="134"/>
        <v>100</v>
      </c>
      <c r="B439" s="566" t="s">
        <v>722</v>
      </c>
      <c r="C439" s="513">
        <f t="shared" si="135"/>
        <v>2574312</v>
      </c>
      <c r="D439" s="680">
        <f t="shared" si="142"/>
        <v>122724.46919339997</v>
      </c>
      <c r="E439" s="680">
        <f t="shared" si="142"/>
        <v>38833.907590900337</v>
      </c>
      <c r="F439" s="680">
        <f t="shared" si="142"/>
        <v>83730.605431549207</v>
      </c>
      <c r="G439" s="680">
        <f t="shared" si="142"/>
        <v>6692.5726025638287</v>
      </c>
      <c r="H439" s="680">
        <f t="shared" si="142"/>
        <v>121856.74235452736</v>
      </c>
      <c r="I439" s="680">
        <f t="shared" si="142"/>
        <v>31296.256810837418</v>
      </c>
      <c r="J439" s="513">
        <f t="shared" si="136"/>
        <v>2979445.5539837787</v>
      </c>
      <c r="K439" s="680">
        <v>312</v>
      </c>
      <c r="L439" s="680">
        <f t="shared" si="137"/>
        <v>9549.50498071724</v>
      </c>
      <c r="M439" s="668">
        <v>10595</v>
      </c>
      <c r="N439" s="668"/>
      <c r="O439" s="567" t="s">
        <v>626</v>
      </c>
      <c r="P439" s="672">
        <v>40862</v>
      </c>
      <c r="Q439" s="670"/>
      <c r="R439" s="572">
        <f>K439/2</f>
        <v>156</v>
      </c>
      <c r="S439" s="296">
        <v>16502</v>
      </c>
      <c r="T439" s="513">
        <f t="shared" si="138"/>
        <v>2574312</v>
      </c>
      <c r="U439" s="537"/>
      <c r="V439" s="672"/>
      <c r="W439" s="496"/>
      <c r="X439" s="296"/>
      <c r="Y439" s="513">
        <f t="shared" si="139"/>
        <v>0</v>
      </c>
    </row>
    <row r="440" spans="1:25" ht="16.5" customHeight="1">
      <c r="A440" s="564">
        <f t="shared" si="134"/>
        <v>101</v>
      </c>
      <c r="B440" s="566" t="s">
        <v>1243</v>
      </c>
      <c r="C440" s="513">
        <f t="shared" si="135"/>
        <v>124128</v>
      </c>
      <c r="D440" s="680">
        <f t="shared" ref="D440:I449" si="143">IF($K$582&lt;&gt;0,D$582/$K$582*$K440,0)</f>
        <v>4720.1718920538451</v>
      </c>
      <c r="E440" s="680">
        <f t="shared" si="143"/>
        <v>1493.6118304192437</v>
      </c>
      <c r="F440" s="680">
        <f t="shared" si="143"/>
        <v>3220.4079012134312</v>
      </c>
      <c r="G440" s="680">
        <f t="shared" si="143"/>
        <v>257.40663856014726</v>
      </c>
      <c r="H440" s="680">
        <f t="shared" si="143"/>
        <v>4686.797782866437</v>
      </c>
      <c r="I440" s="680">
        <f t="shared" si="143"/>
        <v>1203.7021850322085</v>
      </c>
      <c r="J440" s="513">
        <f t="shared" si="136"/>
        <v>139709.09823014532</v>
      </c>
      <c r="K440" s="680">
        <v>12</v>
      </c>
      <c r="L440" s="680">
        <f t="shared" si="137"/>
        <v>11642.424852512109</v>
      </c>
      <c r="M440" s="668">
        <v>14836</v>
      </c>
      <c r="N440" s="668"/>
      <c r="O440" s="556" t="s">
        <v>555</v>
      </c>
      <c r="P440" s="672">
        <v>40862</v>
      </c>
      <c r="Q440" s="670"/>
      <c r="R440" s="572">
        <f>K440</f>
        <v>12</v>
      </c>
      <c r="S440" s="296">
        <v>10344</v>
      </c>
      <c r="T440" s="513">
        <f t="shared" si="138"/>
        <v>124128</v>
      </c>
      <c r="U440" s="537"/>
      <c r="V440" s="672"/>
      <c r="W440" s="496"/>
      <c r="X440" s="296"/>
      <c r="Y440" s="513">
        <f t="shared" si="139"/>
        <v>0</v>
      </c>
    </row>
    <row r="441" spans="1:25" ht="16.5" customHeight="1">
      <c r="A441" s="564">
        <f t="shared" si="134"/>
        <v>102</v>
      </c>
      <c r="B441" s="566" t="s">
        <v>726</v>
      </c>
      <c r="C441" s="513">
        <f t="shared" si="135"/>
        <v>2533285</v>
      </c>
      <c r="D441" s="680">
        <f t="shared" si="143"/>
        <v>81029.617480257672</v>
      </c>
      <c r="E441" s="680">
        <f t="shared" si="143"/>
        <v>25640.336422197015</v>
      </c>
      <c r="F441" s="680">
        <f t="shared" si="143"/>
        <v>55283.668970830571</v>
      </c>
      <c r="G441" s="680">
        <f t="shared" si="143"/>
        <v>4418.813961949194</v>
      </c>
      <c r="H441" s="680">
        <f t="shared" si="143"/>
        <v>80456.695272540499</v>
      </c>
      <c r="I441" s="680">
        <f t="shared" si="143"/>
        <v>20663.554176386242</v>
      </c>
      <c r="J441" s="513">
        <f t="shared" si="136"/>
        <v>2800776.6862841616</v>
      </c>
      <c r="K441" s="680">
        <v>206</v>
      </c>
      <c r="L441" s="680">
        <f t="shared" si="137"/>
        <v>13596.003331476513</v>
      </c>
      <c r="M441" s="668">
        <v>15618</v>
      </c>
      <c r="N441" s="668"/>
      <c r="O441" s="556" t="s">
        <v>615</v>
      </c>
      <c r="P441" s="672">
        <v>40862</v>
      </c>
      <c r="Q441" s="670"/>
      <c r="R441" s="572">
        <f>K441/2</f>
        <v>103</v>
      </c>
      <c r="S441" s="296">
        <v>24595</v>
      </c>
      <c r="T441" s="513">
        <f t="shared" si="138"/>
        <v>2533285</v>
      </c>
      <c r="U441" s="537"/>
      <c r="V441" s="672"/>
      <c r="W441" s="496"/>
      <c r="X441" s="296"/>
      <c r="Y441" s="513">
        <f t="shared" si="139"/>
        <v>0</v>
      </c>
    </row>
    <row r="442" spans="1:25" ht="16.5" customHeight="1">
      <c r="A442" s="564">
        <f t="shared" si="134"/>
        <v>103</v>
      </c>
      <c r="B442" s="566" t="s">
        <v>1244</v>
      </c>
      <c r="C442" s="513">
        <f t="shared" si="135"/>
        <v>627930</v>
      </c>
      <c r="D442" s="680">
        <f t="shared" si="143"/>
        <v>17700.644595201917</v>
      </c>
      <c r="E442" s="680">
        <f t="shared" si="143"/>
        <v>5601.0443640721642</v>
      </c>
      <c r="F442" s="680">
        <f t="shared" si="143"/>
        <v>12076.529629550367</v>
      </c>
      <c r="G442" s="680">
        <f t="shared" si="143"/>
        <v>965.27489460055222</v>
      </c>
      <c r="H442" s="680">
        <f t="shared" si="143"/>
        <v>17575.491685749141</v>
      </c>
      <c r="I442" s="680">
        <f t="shared" si="143"/>
        <v>4513.8831938707817</v>
      </c>
      <c r="J442" s="513">
        <f t="shared" si="136"/>
        <v>686361.86836304492</v>
      </c>
      <c r="K442" s="680">
        <v>45</v>
      </c>
      <c r="L442" s="680">
        <f t="shared" si="137"/>
        <v>15252.485963623221</v>
      </c>
      <c r="M442" s="668">
        <v>16215</v>
      </c>
      <c r="N442" s="668"/>
      <c r="O442" s="556" t="s">
        <v>526</v>
      </c>
      <c r="P442" s="672">
        <v>40862</v>
      </c>
      <c r="Q442" s="670"/>
      <c r="R442" s="572">
        <f>K442</f>
        <v>45</v>
      </c>
      <c r="S442" s="296">
        <v>13954</v>
      </c>
      <c r="T442" s="513">
        <f t="shared" si="138"/>
        <v>627930</v>
      </c>
      <c r="U442" s="537"/>
      <c r="V442" s="672"/>
      <c r="W442" s="496"/>
      <c r="X442" s="296"/>
      <c r="Y442" s="513">
        <f t="shared" si="139"/>
        <v>0</v>
      </c>
    </row>
    <row r="443" spans="1:25" ht="16.5" customHeight="1">
      <c r="A443" s="564">
        <f t="shared" si="134"/>
        <v>104</v>
      </c>
      <c r="B443" s="566" t="s">
        <v>1245</v>
      </c>
      <c r="C443" s="513">
        <f t="shared" si="135"/>
        <v>597870</v>
      </c>
      <c r="D443" s="680">
        <f t="shared" si="143"/>
        <v>24780.902433282685</v>
      </c>
      <c r="E443" s="680">
        <f t="shared" si="143"/>
        <v>7841.4621097010295</v>
      </c>
      <c r="F443" s="680">
        <f t="shared" si="143"/>
        <v>16907.141481370512</v>
      </c>
      <c r="G443" s="680">
        <f t="shared" si="143"/>
        <v>1351.3848524407731</v>
      </c>
      <c r="H443" s="680">
        <f t="shared" si="143"/>
        <v>24605.688360048793</v>
      </c>
      <c r="I443" s="680">
        <f t="shared" si="143"/>
        <v>6319.4364714190942</v>
      </c>
      <c r="J443" s="513">
        <f t="shared" si="136"/>
        <v>679675.01570826292</v>
      </c>
      <c r="K443" s="680">
        <v>63</v>
      </c>
      <c r="L443" s="680">
        <f t="shared" si="137"/>
        <v>10788.49231282957</v>
      </c>
      <c r="M443" s="668">
        <v>12346</v>
      </c>
      <c r="N443" s="668"/>
      <c r="O443" s="567" t="s">
        <v>588</v>
      </c>
      <c r="P443" s="672">
        <v>40862</v>
      </c>
      <c r="Q443" s="670"/>
      <c r="R443" s="572">
        <v>32.5</v>
      </c>
      <c r="S443" s="296">
        <v>18396</v>
      </c>
      <c r="T443" s="513">
        <f t="shared" si="138"/>
        <v>597870</v>
      </c>
      <c r="U443" s="537"/>
      <c r="V443" s="672"/>
      <c r="W443" s="496"/>
      <c r="X443" s="296"/>
      <c r="Y443" s="513">
        <f t="shared" si="139"/>
        <v>0</v>
      </c>
    </row>
    <row r="444" spans="1:25" ht="16.5" customHeight="1">
      <c r="A444" s="564">
        <f t="shared" si="134"/>
        <v>105</v>
      </c>
      <c r="B444" s="566" t="s">
        <v>1246</v>
      </c>
      <c r="C444" s="513">
        <f t="shared" si="135"/>
        <v>608340</v>
      </c>
      <c r="D444" s="680">
        <f t="shared" si="143"/>
        <v>23600.859460269225</v>
      </c>
      <c r="E444" s="680">
        <f t="shared" si="143"/>
        <v>7468.0591520962189</v>
      </c>
      <c r="F444" s="680">
        <f t="shared" si="143"/>
        <v>16102.039506067156</v>
      </c>
      <c r="G444" s="680">
        <f t="shared" si="143"/>
        <v>1287.0331928007363</v>
      </c>
      <c r="H444" s="680">
        <f t="shared" si="143"/>
        <v>23433.988914332185</v>
      </c>
      <c r="I444" s="680">
        <f t="shared" si="143"/>
        <v>6018.510925161042</v>
      </c>
      <c r="J444" s="513">
        <f t="shared" si="136"/>
        <v>686249.49115072656</v>
      </c>
      <c r="K444" s="680">
        <v>60</v>
      </c>
      <c r="L444" s="680">
        <f t="shared" si="137"/>
        <v>11437.491519178777</v>
      </c>
      <c r="M444" s="668">
        <v>13110</v>
      </c>
      <c r="N444" s="668"/>
      <c r="O444" s="567" t="s">
        <v>619</v>
      </c>
      <c r="P444" s="672">
        <v>40862</v>
      </c>
      <c r="Q444" s="670"/>
      <c r="R444" s="572">
        <f>K444/2</f>
        <v>30</v>
      </c>
      <c r="S444" s="296">
        <v>20278</v>
      </c>
      <c r="T444" s="513">
        <f t="shared" si="138"/>
        <v>608340</v>
      </c>
      <c r="U444" s="537"/>
      <c r="V444" s="672"/>
      <c r="W444" s="496"/>
      <c r="X444" s="296"/>
      <c r="Y444" s="513">
        <f t="shared" si="139"/>
        <v>0</v>
      </c>
    </row>
    <row r="445" spans="1:25" ht="16.5" customHeight="1">
      <c r="A445" s="564">
        <f t="shared" si="134"/>
        <v>106</v>
      </c>
      <c r="B445" s="566" t="s">
        <v>1247</v>
      </c>
      <c r="C445" s="513">
        <f t="shared" si="135"/>
        <v>503311</v>
      </c>
      <c r="D445" s="680">
        <f t="shared" si="143"/>
        <v>23994.207117940379</v>
      </c>
      <c r="E445" s="680">
        <f t="shared" si="143"/>
        <v>7592.5268046311558</v>
      </c>
      <c r="F445" s="680">
        <f t="shared" si="143"/>
        <v>16370.406831168275</v>
      </c>
      <c r="G445" s="680">
        <f t="shared" si="143"/>
        <v>1308.4837460140818</v>
      </c>
      <c r="H445" s="680">
        <f t="shared" si="143"/>
        <v>23824.555396237723</v>
      </c>
      <c r="I445" s="680">
        <f t="shared" si="143"/>
        <v>6118.8194405803924</v>
      </c>
      <c r="J445" s="513">
        <f t="shared" si="136"/>
        <v>582518.99933657201</v>
      </c>
      <c r="K445" s="680">
        <v>61</v>
      </c>
      <c r="L445" s="680">
        <f t="shared" si="137"/>
        <v>9549.4917924028196</v>
      </c>
      <c r="M445" s="668">
        <v>10884</v>
      </c>
      <c r="N445" s="668"/>
      <c r="O445" s="567" t="s">
        <v>626</v>
      </c>
      <c r="P445" s="672">
        <v>40862</v>
      </c>
      <c r="Q445" s="670"/>
      <c r="R445" s="572">
        <f>K445/2</f>
        <v>30.5</v>
      </c>
      <c r="S445" s="296">
        <v>16502</v>
      </c>
      <c r="T445" s="513">
        <f t="shared" si="138"/>
        <v>503311</v>
      </c>
      <c r="U445" s="537"/>
      <c r="V445" s="672"/>
      <c r="W445" s="496"/>
      <c r="X445" s="296"/>
      <c r="Y445" s="513">
        <f t="shared" si="139"/>
        <v>0</v>
      </c>
    </row>
    <row r="446" spans="1:25" ht="16.5" customHeight="1">
      <c r="A446" s="564">
        <f t="shared" si="134"/>
        <v>107</v>
      </c>
      <c r="B446" s="566" t="s">
        <v>1248</v>
      </c>
      <c r="C446" s="513">
        <f t="shared" si="135"/>
        <v>1767303</v>
      </c>
      <c r="D446" s="680">
        <f t="shared" si="143"/>
        <v>40908.15639779999</v>
      </c>
      <c r="E446" s="680">
        <f t="shared" si="143"/>
        <v>12944.635863633444</v>
      </c>
      <c r="F446" s="680">
        <f t="shared" si="143"/>
        <v>27910.201810516402</v>
      </c>
      <c r="G446" s="680">
        <f t="shared" si="143"/>
        <v>2230.8575341879427</v>
      </c>
      <c r="H446" s="680">
        <f t="shared" si="143"/>
        <v>40618.914118175788</v>
      </c>
      <c r="I446" s="680">
        <f t="shared" si="143"/>
        <v>10432.085603612473</v>
      </c>
      <c r="J446" s="513">
        <f t="shared" si="136"/>
        <v>1902346.8513279259</v>
      </c>
      <c r="K446" s="680">
        <v>104</v>
      </c>
      <c r="L446" s="680">
        <f t="shared" si="137"/>
        <v>18291.796647383904</v>
      </c>
      <c r="M446" s="668">
        <v>22061</v>
      </c>
      <c r="N446" s="668"/>
      <c r="O446" s="567" t="s">
        <v>618</v>
      </c>
      <c r="P446" s="672">
        <v>40862</v>
      </c>
      <c r="Q446" s="670"/>
      <c r="R446" s="572">
        <v>51</v>
      </c>
      <c r="S446" s="296">
        <v>34653</v>
      </c>
      <c r="T446" s="513">
        <f t="shared" si="138"/>
        <v>1767303</v>
      </c>
      <c r="U446" s="537"/>
      <c r="V446" s="672"/>
      <c r="W446" s="496"/>
      <c r="X446" s="296"/>
      <c r="Y446" s="513">
        <f t="shared" si="139"/>
        <v>0</v>
      </c>
    </row>
    <row r="447" spans="1:25" ht="16.5" customHeight="1">
      <c r="A447" s="564">
        <f t="shared" si="134"/>
        <v>108</v>
      </c>
      <c r="B447" s="566" t="s">
        <v>1249</v>
      </c>
      <c r="C447" s="513">
        <f t="shared" si="135"/>
        <v>1036754</v>
      </c>
      <c r="D447" s="680">
        <f t="shared" si="143"/>
        <v>59788.843966015367</v>
      </c>
      <c r="E447" s="680">
        <f t="shared" si="143"/>
        <v>18919.083185310421</v>
      </c>
      <c r="F447" s="680">
        <f t="shared" si="143"/>
        <v>40791.833415370129</v>
      </c>
      <c r="G447" s="680">
        <f t="shared" si="143"/>
        <v>3260.4840884285318</v>
      </c>
      <c r="H447" s="680">
        <f t="shared" si="143"/>
        <v>59366.105249641536</v>
      </c>
      <c r="I447" s="680">
        <f t="shared" si="143"/>
        <v>15246.894343741305</v>
      </c>
      <c r="J447" s="513">
        <f t="shared" si="136"/>
        <v>1234126.2442485073</v>
      </c>
      <c r="K447" s="680">
        <v>152</v>
      </c>
      <c r="L447" s="680">
        <f t="shared" si="137"/>
        <v>8119.251606898074</v>
      </c>
      <c r="M447" s="668">
        <v>9449</v>
      </c>
      <c r="N447" s="668"/>
      <c r="O447" s="567" t="s">
        <v>616</v>
      </c>
      <c r="P447" s="672">
        <v>40862</v>
      </c>
      <c r="Q447" s="670"/>
      <c r="R447" s="572">
        <f>K447/4</f>
        <v>38</v>
      </c>
      <c r="S447" s="296">
        <v>27283</v>
      </c>
      <c r="T447" s="513">
        <f t="shared" si="138"/>
        <v>1036754</v>
      </c>
      <c r="U447" s="537"/>
      <c r="V447" s="672"/>
      <c r="W447" s="496"/>
      <c r="X447" s="296"/>
      <c r="Y447" s="513">
        <f t="shared" si="139"/>
        <v>0</v>
      </c>
    </row>
    <row r="448" spans="1:25" ht="16.5" customHeight="1">
      <c r="A448" s="564">
        <f t="shared" si="134"/>
        <v>109</v>
      </c>
      <c r="B448" s="566" t="s">
        <v>1250</v>
      </c>
      <c r="C448" s="513">
        <f t="shared" si="135"/>
        <v>1947236</v>
      </c>
      <c r="D448" s="680">
        <f t="shared" si="143"/>
        <v>92436.699552721126</v>
      </c>
      <c r="E448" s="680">
        <f t="shared" si="143"/>
        <v>29249.898345710189</v>
      </c>
      <c r="F448" s="680">
        <f t="shared" si="143"/>
        <v>63066.32139876303</v>
      </c>
      <c r="G448" s="680">
        <f t="shared" si="143"/>
        <v>5040.8800051362168</v>
      </c>
      <c r="H448" s="680">
        <f t="shared" si="143"/>
        <v>91783.123247801064</v>
      </c>
      <c r="I448" s="680">
        <f t="shared" si="143"/>
        <v>23572.501123547416</v>
      </c>
      <c r="J448" s="513">
        <f t="shared" si="136"/>
        <v>2252384.4236736791</v>
      </c>
      <c r="K448" s="680">
        <v>235</v>
      </c>
      <c r="L448" s="680">
        <f t="shared" si="137"/>
        <v>9584.6145688241668</v>
      </c>
      <c r="M448" s="668">
        <v>10362</v>
      </c>
      <c r="N448" s="668"/>
      <c r="O448" s="567" t="s">
        <v>626</v>
      </c>
      <c r="P448" s="672">
        <v>40862</v>
      </c>
      <c r="Q448" s="670"/>
      <c r="R448" s="572">
        <v>118</v>
      </c>
      <c r="S448" s="296">
        <v>16502</v>
      </c>
      <c r="T448" s="513">
        <f t="shared" si="138"/>
        <v>1947236</v>
      </c>
      <c r="U448" s="537"/>
      <c r="V448" s="672"/>
      <c r="W448" s="496"/>
      <c r="X448" s="296"/>
      <c r="Y448" s="513">
        <f t="shared" si="139"/>
        <v>0</v>
      </c>
    </row>
    <row r="449" spans="1:25" ht="16.5" customHeight="1">
      <c r="A449" s="564">
        <f t="shared" si="134"/>
        <v>110</v>
      </c>
      <c r="B449" s="566" t="s">
        <v>1251</v>
      </c>
      <c r="C449" s="513">
        <f t="shared" si="135"/>
        <v>658407</v>
      </c>
      <c r="D449" s="680">
        <f t="shared" si="143"/>
        <v>14947.210991503842</v>
      </c>
      <c r="E449" s="680">
        <f t="shared" si="143"/>
        <v>4729.7707963276052</v>
      </c>
      <c r="F449" s="680">
        <f t="shared" si="143"/>
        <v>10197.958353842532</v>
      </c>
      <c r="G449" s="680">
        <f t="shared" si="143"/>
        <v>815.12102210713294</v>
      </c>
      <c r="H449" s="680">
        <f t="shared" si="143"/>
        <v>14841.526312410384</v>
      </c>
      <c r="I449" s="680">
        <f t="shared" si="143"/>
        <v>3811.7235859353264</v>
      </c>
      <c r="J449" s="513">
        <f t="shared" si="136"/>
        <v>707749.31106212665</v>
      </c>
      <c r="K449" s="680">
        <v>38</v>
      </c>
      <c r="L449" s="680">
        <f t="shared" si="137"/>
        <v>18624.981870055966</v>
      </c>
      <c r="M449" s="668">
        <v>25864</v>
      </c>
      <c r="N449" s="668"/>
      <c r="O449" s="567" t="s">
        <v>618</v>
      </c>
      <c r="P449" s="672">
        <v>40866</v>
      </c>
      <c r="Q449" s="670"/>
      <c r="R449" s="572">
        <f>K449/2</f>
        <v>19</v>
      </c>
      <c r="S449" s="296">
        <v>34653</v>
      </c>
      <c r="T449" s="513">
        <f t="shared" si="138"/>
        <v>658407</v>
      </c>
      <c r="U449" s="537"/>
      <c r="V449" s="672"/>
      <c r="W449" s="496"/>
      <c r="X449" s="296"/>
      <c r="Y449" s="513">
        <f t="shared" si="139"/>
        <v>0</v>
      </c>
    </row>
    <row r="450" spans="1:25" ht="16.5" customHeight="1">
      <c r="A450" s="564">
        <f t="shared" si="134"/>
        <v>111</v>
      </c>
      <c r="B450" s="566" t="s">
        <v>1253</v>
      </c>
      <c r="C450" s="513">
        <f t="shared" si="135"/>
        <v>112840</v>
      </c>
      <c r="D450" s="680">
        <f t="shared" ref="D450:I459" si="144">IF($K$582&lt;&gt;0,D$582/$K$582*$K450,0)</f>
        <v>3146.7812613692299</v>
      </c>
      <c r="E450" s="680">
        <f t="shared" si="144"/>
        <v>995.74122027949579</v>
      </c>
      <c r="F450" s="680">
        <f t="shared" si="144"/>
        <v>2146.9386008089541</v>
      </c>
      <c r="G450" s="680">
        <f t="shared" si="144"/>
        <v>171.60442570676483</v>
      </c>
      <c r="H450" s="680">
        <f t="shared" si="144"/>
        <v>3124.5318552442914</v>
      </c>
      <c r="I450" s="680">
        <f t="shared" si="144"/>
        <v>802.46812335480558</v>
      </c>
      <c r="J450" s="513">
        <f t="shared" si="136"/>
        <v>123227.06548676355</v>
      </c>
      <c r="K450" s="680">
        <v>8</v>
      </c>
      <c r="L450" s="680">
        <f t="shared" si="137"/>
        <v>15403.383185845443</v>
      </c>
      <c r="M450" s="668">
        <v>17968</v>
      </c>
      <c r="N450" s="668"/>
      <c r="O450" s="567" t="s">
        <v>628</v>
      </c>
      <c r="P450" s="672">
        <v>40866</v>
      </c>
      <c r="Q450" s="670"/>
      <c r="R450" s="572">
        <f>K450</f>
        <v>8</v>
      </c>
      <c r="S450" s="296">
        <v>14105</v>
      </c>
      <c r="T450" s="513">
        <f t="shared" si="138"/>
        <v>112840</v>
      </c>
      <c r="U450" s="537"/>
      <c r="V450" s="672"/>
      <c r="W450" s="496"/>
      <c r="X450" s="296"/>
      <c r="Y450" s="513">
        <f t="shared" si="139"/>
        <v>0</v>
      </c>
    </row>
    <row r="451" spans="1:25" ht="16.5" customHeight="1">
      <c r="A451" s="564">
        <f t="shared" si="134"/>
        <v>112</v>
      </c>
      <c r="B451" s="566" t="s">
        <v>1254</v>
      </c>
      <c r="C451" s="513">
        <f t="shared" si="135"/>
        <v>206880</v>
      </c>
      <c r="D451" s="680">
        <f t="shared" si="144"/>
        <v>9440.3437841076902</v>
      </c>
      <c r="E451" s="680">
        <f t="shared" si="144"/>
        <v>2987.2236608384874</v>
      </c>
      <c r="F451" s="680">
        <f t="shared" si="144"/>
        <v>6440.8158024268623</v>
      </c>
      <c r="G451" s="680">
        <f t="shared" si="144"/>
        <v>514.81327712029452</v>
      </c>
      <c r="H451" s="680">
        <f t="shared" si="144"/>
        <v>9373.5955657328741</v>
      </c>
      <c r="I451" s="680">
        <f t="shared" si="144"/>
        <v>2407.404370064417</v>
      </c>
      <c r="J451" s="513">
        <f t="shared" si="136"/>
        <v>238043.19646029061</v>
      </c>
      <c r="K451" s="680">
        <v>24</v>
      </c>
      <c r="L451" s="680">
        <f t="shared" si="137"/>
        <v>9918.4665191787753</v>
      </c>
      <c r="M451" s="668">
        <v>11987</v>
      </c>
      <c r="N451" s="668"/>
      <c r="O451" s="556" t="s">
        <v>484</v>
      </c>
      <c r="P451" s="672">
        <v>40866</v>
      </c>
      <c r="Q451" s="670"/>
      <c r="R451" s="572">
        <f>K451</f>
        <v>24</v>
      </c>
      <c r="S451" s="296">
        <v>8620</v>
      </c>
      <c r="T451" s="513">
        <f t="shared" si="138"/>
        <v>206880</v>
      </c>
      <c r="U451" s="537"/>
      <c r="V451" s="672"/>
      <c r="W451" s="496"/>
      <c r="X451" s="296"/>
      <c r="Y451" s="513">
        <f t="shared" si="139"/>
        <v>0</v>
      </c>
    </row>
    <row r="452" spans="1:25" ht="16.5" customHeight="1">
      <c r="A452" s="564">
        <f t="shared" si="134"/>
        <v>113</v>
      </c>
      <c r="B452" s="566" t="s">
        <v>1255</v>
      </c>
      <c r="C452" s="513">
        <f t="shared" si="135"/>
        <v>169260</v>
      </c>
      <c r="D452" s="680">
        <f t="shared" si="144"/>
        <v>9440.3437841076902</v>
      </c>
      <c r="E452" s="680">
        <f t="shared" si="144"/>
        <v>2987.2236608384874</v>
      </c>
      <c r="F452" s="680">
        <f t="shared" si="144"/>
        <v>6440.8158024268623</v>
      </c>
      <c r="G452" s="680">
        <f t="shared" si="144"/>
        <v>514.81327712029452</v>
      </c>
      <c r="H452" s="680">
        <f t="shared" si="144"/>
        <v>9373.5955657328741</v>
      </c>
      <c r="I452" s="680">
        <f t="shared" si="144"/>
        <v>2407.404370064417</v>
      </c>
      <c r="J452" s="513">
        <f t="shared" si="136"/>
        <v>200423.19646029061</v>
      </c>
      <c r="K452" s="680">
        <v>24</v>
      </c>
      <c r="L452" s="680">
        <f t="shared" si="137"/>
        <v>8350.9665191787753</v>
      </c>
      <c r="M452" s="668">
        <v>16916</v>
      </c>
      <c r="N452" s="668"/>
      <c r="O452" s="567" t="s">
        <v>628</v>
      </c>
      <c r="P452" s="672">
        <v>40866</v>
      </c>
      <c r="Q452" s="670"/>
      <c r="R452" s="572">
        <f>K452/2</f>
        <v>12</v>
      </c>
      <c r="S452" s="296">
        <v>14105</v>
      </c>
      <c r="T452" s="513">
        <f t="shared" si="138"/>
        <v>169260</v>
      </c>
      <c r="U452" s="537"/>
      <c r="V452" s="672"/>
      <c r="W452" s="496"/>
      <c r="X452" s="296"/>
      <c r="Y452" s="513">
        <f t="shared" si="139"/>
        <v>0</v>
      </c>
    </row>
    <row r="453" spans="1:25" ht="16.5" customHeight="1">
      <c r="A453" s="564">
        <f t="shared" si="134"/>
        <v>114</v>
      </c>
      <c r="B453" s="566" t="s">
        <v>1256</v>
      </c>
      <c r="C453" s="513">
        <f t="shared" si="135"/>
        <v>13954</v>
      </c>
      <c r="D453" s="680">
        <f t="shared" si="144"/>
        <v>786.69531534230748</v>
      </c>
      <c r="E453" s="680">
        <f t="shared" si="144"/>
        <v>248.93530506987395</v>
      </c>
      <c r="F453" s="680">
        <f t="shared" si="144"/>
        <v>536.73465020223853</v>
      </c>
      <c r="G453" s="680">
        <f t="shared" si="144"/>
        <v>42.901106426691207</v>
      </c>
      <c r="H453" s="680">
        <f t="shared" si="144"/>
        <v>781.13296381107284</v>
      </c>
      <c r="I453" s="680">
        <f t="shared" si="144"/>
        <v>200.6170308387014</v>
      </c>
      <c r="J453" s="513">
        <f t="shared" si="136"/>
        <v>16550.016371690886</v>
      </c>
      <c r="K453" s="680">
        <v>2</v>
      </c>
      <c r="L453" s="680">
        <f t="shared" si="137"/>
        <v>8275.0081858454432</v>
      </c>
      <c r="M453" s="668">
        <v>8709</v>
      </c>
      <c r="N453" s="668"/>
      <c r="O453" s="556" t="s">
        <v>526</v>
      </c>
      <c r="P453" s="672">
        <v>40866</v>
      </c>
      <c r="Q453" s="670"/>
      <c r="R453" s="572">
        <v>1</v>
      </c>
      <c r="S453" s="296">
        <v>13954</v>
      </c>
      <c r="T453" s="513">
        <f t="shared" si="138"/>
        <v>13954</v>
      </c>
      <c r="U453" s="537"/>
      <c r="V453" s="672"/>
      <c r="W453" s="496"/>
      <c r="X453" s="296"/>
      <c r="Y453" s="513">
        <f t="shared" si="139"/>
        <v>0</v>
      </c>
    </row>
    <row r="454" spans="1:25" ht="16.5" customHeight="1">
      <c r="A454" s="564">
        <f t="shared" si="134"/>
        <v>115</v>
      </c>
      <c r="B454" s="566" t="s">
        <v>1257</v>
      </c>
      <c r="C454" s="513">
        <f t="shared" si="135"/>
        <v>307438</v>
      </c>
      <c r="D454" s="680">
        <f t="shared" si="144"/>
        <v>9833.691441778843</v>
      </c>
      <c r="E454" s="680">
        <f t="shared" si="144"/>
        <v>3111.6913133734242</v>
      </c>
      <c r="F454" s="680">
        <f t="shared" si="144"/>
        <v>6709.1831275279819</v>
      </c>
      <c r="G454" s="680">
        <f t="shared" si="144"/>
        <v>536.26383033364004</v>
      </c>
      <c r="H454" s="680">
        <f t="shared" si="144"/>
        <v>9764.1620476384105</v>
      </c>
      <c r="I454" s="680">
        <f t="shared" si="144"/>
        <v>2507.7128854837674</v>
      </c>
      <c r="J454" s="513">
        <f t="shared" si="136"/>
        <v>339899.70464613609</v>
      </c>
      <c r="K454" s="680">
        <v>25</v>
      </c>
      <c r="L454" s="680">
        <f t="shared" si="137"/>
        <v>13595.988185845443</v>
      </c>
      <c r="M454" s="668">
        <v>14798</v>
      </c>
      <c r="N454" s="668"/>
      <c r="O454" s="556" t="s">
        <v>615</v>
      </c>
      <c r="P454" s="672">
        <v>40866</v>
      </c>
      <c r="Q454" s="670"/>
      <c r="R454" s="572">
        <f>K454/2</f>
        <v>12.5</v>
      </c>
      <c r="S454" s="296">
        <v>24595</v>
      </c>
      <c r="T454" s="513">
        <f t="shared" si="138"/>
        <v>307438</v>
      </c>
      <c r="U454" s="537"/>
      <c r="V454" s="672"/>
      <c r="W454" s="496"/>
      <c r="X454" s="296"/>
      <c r="Y454" s="513">
        <f t="shared" si="139"/>
        <v>0</v>
      </c>
    </row>
    <row r="455" spans="1:25" ht="16.5" customHeight="1">
      <c r="A455" s="564">
        <f t="shared" si="134"/>
        <v>116</v>
      </c>
      <c r="B455" s="566" t="s">
        <v>1258</v>
      </c>
      <c r="C455" s="513">
        <f t="shared" si="135"/>
        <v>2361880</v>
      </c>
      <c r="D455" s="680">
        <f t="shared" si="144"/>
        <v>107777.25820189613</v>
      </c>
      <c r="E455" s="680">
        <f t="shared" si="144"/>
        <v>34104.136794572732</v>
      </c>
      <c r="F455" s="680">
        <f t="shared" si="144"/>
        <v>73532.647077706672</v>
      </c>
      <c r="G455" s="680">
        <f t="shared" si="144"/>
        <v>5877.4515804566954</v>
      </c>
      <c r="H455" s="680">
        <f t="shared" si="144"/>
        <v>107015.21604211698</v>
      </c>
      <c r="I455" s="680">
        <f t="shared" si="144"/>
        <v>27484.53322490209</v>
      </c>
      <c r="J455" s="513">
        <f t="shared" si="136"/>
        <v>2717670.2429216513</v>
      </c>
      <c r="K455" s="680">
        <v>274</v>
      </c>
      <c r="L455" s="680">
        <f t="shared" si="137"/>
        <v>9918.5045362104065</v>
      </c>
      <c r="M455" s="668">
        <v>11849</v>
      </c>
      <c r="N455" s="668"/>
      <c r="O455" s="556" t="s">
        <v>484</v>
      </c>
      <c r="P455" s="672">
        <v>40866</v>
      </c>
      <c r="Q455" s="670"/>
      <c r="R455" s="572">
        <f>K455</f>
        <v>274</v>
      </c>
      <c r="S455" s="296">
        <v>8620</v>
      </c>
      <c r="T455" s="513">
        <f t="shared" si="138"/>
        <v>2361880</v>
      </c>
      <c r="U455" s="537"/>
      <c r="V455" s="672"/>
      <c r="W455" s="496"/>
      <c r="X455" s="296"/>
      <c r="Y455" s="513">
        <f t="shared" si="139"/>
        <v>0</v>
      </c>
    </row>
    <row r="456" spans="1:25" ht="16.5" customHeight="1">
      <c r="A456" s="564">
        <f t="shared" si="134"/>
        <v>117</v>
      </c>
      <c r="B456" s="566" t="s">
        <v>1259</v>
      </c>
      <c r="C456" s="513">
        <f t="shared" si="135"/>
        <v>1060260</v>
      </c>
      <c r="D456" s="680">
        <f t="shared" si="144"/>
        <v>48381.761893551913</v>
      </c>
      <c r="E456" s="680">
        <f t="shared" si="144"/>
        <v>15309.521261797248</v>
      </c>
      <c r="F456" s="680">
        <f t="shared" si="144"/>
        <v>33009.18098743767</v>
      </c>
      <c r="G456" s="680">
        <f t="shared" si="144"/>
        <v>2638.4180452415094</v>
      </c>
      <c r="H456" s="680">
        <f t="shared" si="144"/>
        <v>48039.677274380978</v>
      </c>
      <c r="I456" s="680">
        <f t="shared" si="144"/>
        <v>12337.947396580135</v>
      </c>
      <c r="J456" s="513">
        <f t="shared" si="136"/>
        <v>1219975.5068589896</v>
      </c>
      <c r="K456" s="680">
        <v>123</v>
      </c>
      <c r="L456" s="680">
        <f t="shared" si="137"/>
        <v>9918.5000557641433</v>
      </c>
      <c r="M456" s="668">
        <v>11205</v>
      </c>
      <c r="N456" s="668"/>
      <c r="O456" s="556" t="s">
        <v>484</v>
      </c>
      <c r="P456" s="672">
        <v>40866</v>
      </c>
      <c r="Q456" s="670"/>
      <c r="R456" s="572">
        <f>K456</f>
        <v>123</v>
      </c>
      <c r="S456" s="296">
        <v>8620</v>
      </c>
      <c r="T456" s="513">
        <f t="shared" si="138"/>
        <v>1060260</v>
      </c>
      <c r="U456" s="537"/>
      <c r="V456" s="672"/>
      <c r="W456" s="496"/>
      <c r="X456" s="296"/>
      <c r="Y456" s="513">
        <f t="shared" si="139"/>
        <v>0</v>
      </c>
    </row>
    <row r="457" spans="1:25" ht="16.5" customHeight="1">
      <c r="A457" s="564">
        <f t="shared" si="134"/>
        <v>118</v>
      </c>
      <c r="B457" s="566" t="s">
        <v>1260</v>
      </c>
      <c r="C457" s="513">
        <f t="shared" si="135"/>
        <v>17796</v>
      </c>
      <c r="D457" s="680">
        <f t="shared" si="144"/>
        <v>46415.02360519614</v>
      </c>
      <c r="E457" s="680">
        <f t="shared" si="144"/>
        <v>14687.182999122562</v>
      </c>
      <c r="F457" s="680">
        <f t="shared" si="144"/>
        <v>31667.344361932071</v>
      </c>
      <c r="G457" s="680">
        <f t="shared" si="144"/>
        <v>2531.1652791747811</v>
      </c>
      <c r="H457" s="680">
        <f t="shared" si="144"/>
        <v>46086.844864853294</v>
      </c>
      <c r="I457" s="680">
        <f t="shared" si="144"/>
        <v>11836.404819483383</v>
      </c>
      <c r="J457" s="513">
        <f t="shared" si="136"/>
        <v>171018.96592976223</v>
      </c>
      <c r="K457" s="680">
        <v>118</v>
      </c>
      <c r="L457" s="680">
        <f t="shared" si="137"/>
        <v>1449.3132705912053</v>
      </c>
      <c r="M457" s="668">
        <v>1087</v>
      </c>
      <c r="N457" s="668"/>
      <c r="O457" s="556" t="s">
        <v>364</v>
      </c>
      <c r="P457" s="672">
        <v>40866</v>
      </c>
      <c r="Q457" s="670"/>
      <c r="R457" s="572">
        <v>4</v>
      </c>
      <c r="S457" s="296">
        <v>4449</v>
      </c>
      <c r="T457" s="513">
        <f t="shared" si="138"/>
        <v>17796</v>
      </c>
      <c r="U457" s="537"/>
      <c r="V457" s="672"/>
      <c r="W457" s="496"/>
      <c r="X457" s="296"/>
      <c r="Y457" s="513">
        <f t="shared" si="139"/>
        <v>0</v>
      </c>
    </row>
    <row r="458" spans="1:25" ht="16.5" customHeight="1">
      <c r="A458" s="564">
        <f t="shared" si="134"/>
        <v>119</v>
      </c>
      <c r="B458" s="566" t="s">
        <v>1261</v>
      </c>
      <c r="C458" s="513">
        <f t="shared" si="135"/>
        <v>35592</v>
      </c>
      <c r="D458" s="680">
        <f t="shared" si="144"/>
        <v>92830.04721039228</v>
      </c>
      <c r="E458" s="680">
        <f t="shared" si="144"/>
        <v>29374.365998245125</v>
      </c>
      <c r="F458" s="680">
        <f t="shared" si="144"/>
        <v>63334.688723864143</v>
      </c>
      <c r="G458" s="680">
        <f t="shared" si="144"/>
        <v>5062.3305583495621</v>
      </c>
      <c r="H458" s="680">
        <f t="shared" si="144"/>
        <v>92173.689729706588</v>
      </c>
      <c r="I458" s="680">
        <f t="shared" si="144"/>
        <v>23672.809638966766</v>
      </c>
      <c r="J458" s="513">
        <f t="shared" si="136"/>
        <v>342038.93185952445</v>
      </c>
      <c r="K458" s="680">
        <v>236</v>
      </c>
      <c r="L458" s="680">
        <f t="shared" si="137"/>
        <v>1449.3175078793408</v>
      </c>
      <c r="M458" s="668">
        <v>1025</v>
      </c>
      <c r="N458" s="668"/>
      <c r="O458" s="556" t="s">
        <v>364</v>
      </c>
      <c r="P458" s="672">
        <v>40866</v>
      </c>
      <c r="Q458" s="670"/>
      <c r="R458" s="572">
        <v>8</v>
      </c>
      <c r="S458" s="296">
        <v>4449</v>
      </c>
      <c r="T458" s="513">
        <f t="shared" si="138"/>
        <v>35592</v>
      </c>
      <c r="U458" s="537"/>
      <c r="V458" s="672"/>
      <c r="W458" s="496"/>
      <c r="X458" s="296"/>
      <c r="Y458" s="513">
        <f t="shared" si="139"/>
        <v>0</v>
      </c>
    </row>
    <row r="459" spans="1:25" ht="16.5" customHeight="1">
      <c r="A459" s="564">
        <f t="shared" si="134"/>
        <v>120</v>
      </c>
      <c r="B459" s="566" t="s">
        <v>1262</v>
      </c>
      <c r="C459" s="513">
        <f t="shared" si="135"/>
        <v>13347</v>
      </c>
      <c r="D459" s="680">
        <f t="shared" si="144"/>
        <v>23600.859460269225</v>
      </c>
      <c r="E459" s="680">
        <f t="shared" si="144"/>
        <v>7468.0591520962189</v>
      </c>
      <c r="F459" s="680">
        <f t="shared" si="144"/>
        <v>16102.039506067156</v>
      </c>
      <c r="G459" s="680">
        <f t="shared" si="144"/>
        <v>1287.0331928007363</v>
      </c>
      <c r="H459" s="680">
        <f t="shared" si="144"/>
        <v>23433.988914332185</v>
      </c>
      <c r="I459" s="680">
        <f t="shared" si="144"/>
        <v>6018.510925161042</v>
      </c>
      <c r="J459" s="513">
        <f t="shared" si="136"/>
        <v>91256.491150726564</v>
      </c>
      <c r="K459" s="680">
        <v>60</v>
      </c>
      <c r="L459" s="680">
        <f t="shared" si="137"/>
        <v>1520.9415191787762</v>
      </c>
      <c r="M459" s="668">
        <v>1220</v>
      </c>
      <c r="N459" s="668"/>
      <c r="O459" s="556" t="s">
        <v>364</v>
      </c>
      <c r="P459" s="672">
        <v>40866</v>
      </c>
      <c r="Q459" s="670"/>
      <c r="R459" s="572">
        <f>K459/20</f>
        <v>3</v>
      </c>
      <c r="S459" s="296">
        <v>4449</v>
      </c>
      <c r="T459" s="513">
        <f t="shared" si="138"/>
        <v>13347</v>
      </c>
      <c r="U459" s="537"/>
      <c r="V459" s="672"/>
      <c r="W459" s="496"/>
      <c r="X459" s="296"/>
      <c r="Y459" s="513">
        <f t="shared" si="139"/>
        <v>0</v>
      </c>
    </row>
    <row r="460" spans="1:25" ht="16.5" customHeight="1">
      <c r="A460" s="564">
        <f t="shared" si="134"/>
        <v>121</v>
      </c>
      <c r="B460" s="566" t="s">
        <v>1263</v>
      </c>
      <c r="C460" s="513">
        <f t="shared" si="135"/>
        <v>26694</v>
      </c>
      <c r="D460" s="680">
        <f t="shared" ref="D460:I469" si="145">IF($K$582&lt;&gt;0,D$582/$K$582*$K460,0)</f>
        <v>47201.718920538449</v>
      </c>
      <c r="E460" s="680">
        <f t="shared" si="145"/>
        <v>14936.118304192438</v>
      </c>
      <c r="F460" s="680">
        <f t="shared" si="145"/>
        <v>32204.079012134313</v>
      </c>
      <c r="G460" s="680">
        <f t="shared" si="145"/>
        <v>2574.0663856014726</v>
      </c>
      <c r="H460" s="680">
        <f t="shared" si="145"/>
        <v>46867.97782866437</v>
      </c>
      <c r="I460" s="680">
        <f t="shared" si="145"/>
        <v>12037.021850322084</v>
      </c>
      <c r="J460" s="513">
        <f t="shared" si="136"/>
        <v>182513.98230145313</v>
      </c>
      <c r="K460" s="680">
        <v>120</v>
      </c>
      <c r="L460" s="680">
        <f t="shared" si="137"/>
        <v>1520.9498525121094</v>
      </c>
      <c r="M460" s="668">
        <v>1152</v>
      </c>
      <c r="N460" s="668"/>
      <c r="O460" s="556" t="s">
        <v>364</v>
      </c>
      <c r="P460" s="672">
        <v>40866</v>
      </c>
      <c r="Q460" s="670"/>
      <c r="R460" s="572">
        <f>K460/20</f>
        <v>6</v>
      </c>
      <c r="S460" s="296">
        <v>4449</v>
      </c>
      <c r="T460" s="513">
        <f t="shared" si="138"/>
        <v>26694</v>
      </c>
      <c r="U460" s="537"/>
      <c r="V460" s="672"/>
      <c r="W460" s="496"/>
      <c r="X460" s="296"/>
      <c r="Y460" s="513">
        <f t="shared" si="139"/>
        <v>0</v>
      </c>
    </row>
    <row r="461" spans="1:25" ht="16.5" customHeight="1">
      <c r="A461" s="564">
        <f t="shared" si="134"/>
        <v>122</v>
      </c>
      <c r="B461" s="566" t="s">
        <v>1264</v>
      </c>
      <c r="C461" s="513">
        <f t="shared" si="135"/>
        <v>31143</v>
      </c>
      <c r="D461" s="680">
        <f t="shared" si="145"/>
        <v>29107.726667665378</v>
      </c>
      <c r="E461" s="680">
        <f t="shared" si="145"/>
        <v>9210.6062875853368</v>
      </c>
      <c r="F461" s="680">
        <f t="shared" si="145"/>
        <v>19859.182057482827</v>
      </c>
      <c r="G461" s="680">
        <f t="shared" si="145"/>
        <v>1587.3409377875746</v>
      </c>
      <c r="H461" s="680">
        <f t="shared" si="145"/>
        <v>28901.919661009695</v>
      </c>
      <c r="I461" s="680">
        <f t="shared" si="145"/>
        <v>7422.8301410319518</v>
      </c>
      <c r="J461" s="513">
        <f t="shared" si="136"/>
        <v>127231.60575256278</v>
      </c>
      <c r="K461" s="680">
        <v>74</v>
      </c>
      <c r="L461" s="680">
        <f t="shared" si="137"/>
        <v>1719.3460236832809</v>
      </c>
      <c r="M461" s="668">
        <v>1660</v>
      </c>
      <c r="N461" s="668"/>
      <c r="O461" s="556" t="s">
        <v>364</v>
      </c>
      <c r="P461" s="672">
        <v>40866</v>
      </c>
      <c r="Q461" s="670"/>
      <c r="R461" s="572">
        <v>7</v>
      </c>
      <c r="S461" s="296">
        <v>4449</v>
      </c>
      <c r="T461" s="513">
        <f t="shared" si="138"/>
        <v>31143</v>
      </c>
      <c r="U461" s="537"/>
      <c r="V461" s="672"/>
      <c r="W461" s="496"/>
      <c r="X461" s="296"/>
      <c r="Y461" s="513">
        <f t="shared" si="139"/>
        <v>0</v>
      </c>
    </row>
    <row r="462" spans="1:25" ht="16.5" customHeight="1">
      <c r="A462" s="564">
        <f t="shared" si="134"/>
        <v>123</v>
      </c>
      <c r="B462" s="566" t="s">
        <v>1265</v>
      </c>
      <c r="C462" s="513">
        <f t="shared" si="135"/>
        <v>66735</v>
      </c>
      <c r="D462" s="680">
        <f t="shared" si="145"/>
        <v>58215.453335330756</v>
      </c>
      <c r="E462" s="680">
        <f t="shared" si="145"/>
        <v>18421.212575170674</v>
      </c>
      <c r="F462" s="680">
        <f t="shared" si="145"/>
        <v>39718.364114965654</v>
      </c>
      <c r="G462" s="680">
        <f t="shared" si="145"/>
        <v>3174.6818755751492</v>
      </c>
      <c r="H462" s="680">
        <f t="shared" si="145"/>
        <v>57803.83932201939</v>
      </c>
      <c r="I462" s="680">
        <f t="shared" si="145"/>
        <v>14845.660282063904</v>
      </c>
      <c r="J462" s="513">
        <f t="shared" si="136"/>
        <v>258913.21150512557</v>
      </c>
      <c r="K462" s="680">
        <v>148</v>
      </c>
      <c r="L462" s="680">
        <f t="shared" si="137"/>
        <v>1749.4135912508484</v>
      </c>
      <c r="M462" s="668">
        <v>1463</v>
      </c>
      <c r="N462" s="668"/>
      <c r="O462" s="556" t="s">
        <v>364</v>
      </c>
      <c r="P462" s="672">
        <v>40866</v>
      </c>
      <c r="Q462" s="670"/>
      <c r="R462" s="572">
        <v>15</v>
      </c>
      <c r="S462" s="296">
        <v>4449</v>
      </c>
      <c r="T462" s="513">
        <f t="shared" si="138"/>
        <v>66735</v>
      </c>
      <c r="U462" s="537"/>
      <c r="V462" s="672"/>
      <c r="W462" s="496"/>
      <c r="X462" s="296"/>
      <c r="Y462" s="513">
        <f t="shared" si="139"/>
        <v>0</v>
      </c>
    </row>
    <row r="463" spans="1:25" ht="16.5" customHeight="1">
      <c r="A463" s="564">
        <f t="shared" si="134"/>
        <v>124</v>
      </c>
      <c r="B463" s="566" t="s">
        <v>1266</v>
      </c>
      <c r="C463" s="513">
        <f t="shared" si="135"/>
        <v>105602</v>
      </c>
      <c r="D463" s="680">
        <f t="shared" si="145"/>
        <v>53495.281443276908</v>
      </c>
      <c r="E463" s="680">
        <f t="shared" si="145"/>
        <v>16927.600744751428</v>
      </c>
      <c r="F463" s="680">
        <f t="shared" si="145"/>
        <v>36497.956213752223</v>
      </c>
      <c r="G463" s="680">
        <f t="shared" si="145"/>
        <v>2917.2752370150019</v>
      </c>
      <c r="H463" s="680">
        <f t="shared" si="145"/>
        <v>53117.041539152953</v>
      </c>
      <c r="I463" s="680">
        <f t="shared" si="145"/>
        <v>13641.958097031695</v>
      </c>
      <c r="J463" s="513">
        <f t="shared" si="136"/>
        <v>282198.11327498022</v>
      </c>
      <c r="K463" s="680">
        <v>136</v>
      </c>
      <c r="L463" s="680">
        <f t="shared" si="137"/>
        <v>2074.9861270219135</v>
      </c>
      <c r="M463" s="668">
        <v>1288</v>
      </c>
      <c r="N463" s="668"/>
      <c r="O463" s="556" t="s">
        <v>556</v>
      </c>
      <c r="P463" s="672">
        <v>40866</v>
      </c>
      <c r="Q463" s="670"/>
      <c r="R463" s="572">
        <v>14</v>
      </c>
      <c r="S463" s="296">
        <v>7543</v>
      </c>
      <c r="T463" s="513">
        <f t="shared" si="138"/>
        <v>105602</v>
      </c>
      <c r="U463" s="537"/>
      <c r="V463" s="672"/>
      <c r="W463" s="496"/>
      <c r="X463" s="296"/>
      <c r="Y463" s="513">
        <f t="shared" si="139"/>
        <v>0</v>
      </c>
    </row>
    <row r="464" spans="1:25" ht="16.5" customHeight="1">
      <c r="A464" s="564">
        <f t="shared" si="134"/>
        <v>125</v>
      </c>
      <c r="B464" s="566" t="s">
        <v>1267</v>
      </c>
      <c r="C464" s="513">
        <f t="shared" si="135"/>
        <v>62286</v>
      </c>
      <c r="D464" s="680">
        <f t="shared" si="145"/>
        <v>106990.56288655382</v>
      </c>
      <c r="E464" s="680">
        <f t="shared" si="145"/>
        <v>33855.201489502855</v>
      </c>
      <c r="F464" s="680">
        <f t="shared" si="145"/>
        <v>72995.912427504445</v>
      </c>
      <c r="G464" s="680">
        <f t="shared" si="145"/>
        <v>5834.5504740300039</v>
      </c>
      <c r="H464" s="680">
        <f t="shared" si="145"/>
        <v>106234.08307830591</v>
      </c>
      <c r="I464" s="680">
        <f t="shared" si="145"/>
        <v>27283.916194063389</v>
      </c>
      <c r="J464" s="513">
        <f t="shared" si="136"/>
        <v>415479.22654996044</v>
      </c>
      <c r="K464" s="680">
        <v>272</v>
      </c>
      <c r="L464" s="680">
        <f t="shared" si="137"/>
        <v>1527.4971564336781</v>
      </c>
      <c r="M464" s="668">
        <v>1254</v>
      </c>
      <c r="N464" s="668"/>
      <c r="O464" s="556" t="s">
        <v>364</v>
      </c>
      <c r="P464" s="672">
        <v>40866</v>
      </c>
      <c r="Q464" s="670"/>
      <c r="R464" s="572">
        <v>14</v>
      </c>
      <c r="S464" s="296">
        <v>4449</v>
      </c>
      <c r="T464" s="513">
        <f t="shared" si="138"/>
        <v>62286</v>
      </c>
      <c r="U464" s="537"/>
      <c r="V464" s="672"/>
      <c r="W464" s="496"/>
      <c r="X464" s="296"/>
      <c r="Y464" s="513">
        <f t="shared" si="139"/>
        <v>0</v>
      </c>
    </row>
    <row r="465" spans="1:25" ht="16.5" customHeight="1">
      <c r="A465" s="564">
        <f t="shared" si="134"/>
        <v>126</v>
      </c>
      <c r="B465" s="566" t="s">
        <v>1268</v>
      </c>
      <c r="C465" s="513">
        <f t="shared" si="135"/>
        <v>8898</v>
      </c>
      <c r="D465" s="680">
        <f t="shared" si="145"/>
        <v>7080.2578380807672</v>
      </c>
      <c r="E465" s="680">
        <f t="shared" si="145"/>
        <v>2240.4177456288653</v>
      </c>
      <c r="F465" s="680">
        <f t="shared" si="145"/>
        <v>4830.6118518201465</v>
      </c>
      <c r="G465" s="680">
        <f t="shared" si="145"/>
        <v>386.10995784022089</v>
      </c>
      <c r="H465" s="680">
        <f t="shared" si="145"/>
        <v>7030.1966742996556</v>
      </c>
      <c r="I465" s="680">
        <f t="shared" si="145"/>
        <v>1805.5532775483125</v>
      </c>
      <c r="J465" s="513">
        <f t="shared" si="136"/>
        <v>32270.147345217971</v>
      </c>
      <c r="K465" s="680">
        <v>18</v>
      </c>
      <c r="L465" s="680">
        <f t="shared" si="137"/>
        <v>1792.7859636232206</v>
      </c>
      <c r="M465" s="668">
        <v>1581</v>
      </c>
      <c r="N465" s="668"/>
      <c r="O465" s="556" t="s">
        <v>364</v>
      </c>
      <c r="P465" s="672">
        <v>40866</v>
      </c>
      <c r="Q465" s="670"/>
      <c r="R465" s="572">
        <v>2</v>
      </c>
      <c r="S465" s="296">
        <v>4449</v>
      </c>
      <c r="T465" s="513">
        <f t="shared" si="138"/>
        <v>8898</v>
      </c>
      <c r="U465" s="537"/>
      <c r="V465" s="672"/>
      <c r="W465" s="496"/>
      <c r="X465" s="296"/>
      <c r="Y465" s="513">
        <f t="shared" si="139"/>
        <v>0</v>
      </c>
    </row>
    <row r="466" spans="1:25" ht="16.5" customHeight="1">
      <c r="A466" s="564">
        <f t="shared" si="134"/>
        <v>127</v>
      </c>
      <c r="B466" s="566" t="s">
        <v>1269</v>
      </c>
      <c r="C466" s="513">
        <f t="shared" si="135"/>
        <v>8898</v>
      </c>
      <c r="D466" s="680">
        <f t="shared" si="145"/>
        <v>14160.515676161534</v>
      </c>
      <c r="E466" s="680">
        <f t="shared" si="145"/>
        <v>4480.8354912577306</v>
      </c>
      <c r="F466" s="680">
        <f t="shared" si="145"/>
        <v>9661.223703640293</v>
      </c>
      <c r="G466" s="680">
        <f t="shared" si="145"/>
        <v>772.21991568044177</v>
      </c>
      <c r="H466" s="680">
        <f t="shared" si="145"/>
        <v>14060.393348599311</v>
      </c>
      <c r="I466" s="680">
        <f t="shared" si="145"/>
        <v>3611.106555096625</v>
      </c>
      <c r="J466" s="513">
        <f t="shared" si="136"/>
        <v>55643.294690435934</v>
      </c>
      <c r="K466" s="680">
        <v>36</v>
      </c>
      <c r="L466" s="680">
        <f t="shared" si="137"/>
        <v>1545.6470747343315</v>
      </c>
      <c r="M466" s="668">
        <v>1384</v>
      </c>
      <c r="N466" s="668"/>
      <c r="O466" s="556" t="s">
        <v>364</v>
      </c>
      <c r="P466" s="672">
        <v>40866</v>
      </c>
      <c r="Q466" s="670"/>
      <c r="R466" s="572">
        <v>2</v>
      </c>
      <c r="S466" s="296">
        <v>4449</v>
      </c>
      <c r="T466" s="513">
        <f t="shared" si="138"/>
        <v>8898</v>
      </c>
      <c r="U466" s="537"/>
      <c r="V466" s="672"/>
      <c r="W466" s="496"/>
      <c r="X466" s="296"/>
      <c r="Y466" s="513">
        <f t="shared" si="139"/>
        <v>0</v>
      </c>
    </row>
    <row r="467" spans="1:25" ht="16.5" customHeight="1">
      <c r="A467" s="564">
        <f t="shared" si="134"/>
        <v>128</v>
      </c>
      <c r="B467" s="566" t="s">
        <v>1261</v>
      </c>
      <c r="C467" s="513">
        <f t="shared" si="135"/>
        <v>13347</v>
      </c>
      <c r="D467" s="680">
        <f t="shared" si="145"/>
        <v>31074.464956021144</v>
      </c>
      <c r="E467" s="680">
        <f t="shared" si="145"/>
        <v>9832.9445502600211</v>
      </c>
      <c r="F467" s="680">
        <f t="shared" si="145"/>
        <v>21201.018682988422</v>
      </c>
      <c r="G467" s="680">
        <f t="shared" si="145"/>
        <v>1694.5937038543027</v>
      </c>
      <c r="H467" s="680">
        <f t="shared" si="145"/>
        <v>30854.752070537375</v>
      </c>
      <c r="I467" s="680">
        <f t="shared" si="145"/>
        <v>7924.3727181287049</v>
      </c>
      <c r="J467" s="513">
        <f t="shared" si="136"/>
        <v>115928.14668178998</v>
      </c>
      <c r="K467" s="680">
        <v>79</v>
      </c>
      <c r="L467" s="680">
        <f t="shared" si="137"/>
        <v>1467.4448947062021</v>
      </c>
      <c r="M467" s="668">
        <v>1025</v>
      </c>
      <c r="N467" s="668"/>
      <c r="O467" s="556" t="s">
        <v>364</v>
      </c>
      <c r="P467" s="672">
        <v>40866</v>
      </c>
      <c r="Q467" s="670"/>
      <c r="R467" s="572">
        <v>3</v>
      </c>
      <c r="S467" s="296">
        <v>4449</v>
      </c>
      <c r="T467" s="513">
        <f t="shared" si="138"/>
        <v>13347</v>
      </c>
      <c r="U467" s="537"/>
      <c r="V467" s="672"/>
      <c r="W467" s="496"/>
      <c r="X467" s="296"/>
      <c r="Y467" s="513">
        <f t="shared" si="139"/>
        <v>0</v>
      </c>
    </row>
    <row r="468" spans="1:25" ht="16.5" customHeight="1">
      <c r="A468" s="564">
        <f t="shared" si="134"/>
        <v>129</v>
      </c>
      <c r="B468" s="566" t="s">
        <v>1270</v>
      </c>
      <c r="C468" s="513">
        <f t="shared" si="135"/>
        <v>35592</v>
      </c>
      <c r="D468" s="680">
        <f t="shared" si="145"/>
        <v>62148.929912042287</v>
      </c>
      <c r="E468" s="680">
        <f t="shared" si="145"/>
        <v>19665.889100520042</v>
      </c>
      <c r="F468" s="680">
        <f t="shared" si="145"/>
        <v>42402.037365976845</v>
      </c>
      <c r="G468" s="680">
        <f t="shared" si="145"/>
        <v>3389.1874077086054</v>
      </c>
      <c r="H468" s="680">
        <f t="shared" si="145"/>
        <v>61709.504141074751</v>
      </c>
      <c r="I468" s="680">
        <f t="shared" si="145"/>
        <v>15848.74543625741</v>
      </c>
      <c r="J468" s="513">
        <f t="shared" si="136"/>
        <v>240755.29336357996</v>
      </c>
      <c r="K468" s="680">
        <v>158</v>
      </c>
      <c r="L468" s="680">
        <f t="shared" si="137"/>
        <v>1523.7676795163288</v>
      </c>
      <c r="M468" s="668">
        <v>963</v>
      </c>
      <c r="N468" s="668"/>
      <c r="O468" s="556" t="s">
        <v>364</v>
      </c>
      <c r="P468" s="672">
        <v>40866</v>
      </c>
      <c r="Q468" s="670"/>
      <c r="R468" s="572">
        <v>8</v>
      </c>
      <c r="S468" s="296">
        <v>4449</v>
      </c>
      <c r="T468" s="513">
        <f t="shared" si="138"/>
        <v>35592</v>
      </c>
      <c r="U468" s="537"/>
      <c r="V468" s="672"/>
      <c r="W468" s="496"/>
      <c r="X468" s="296"/>
      <c r="Y468" s="513">
        <f t="shared" si="139"/>
        <v>0</v>
      </c>
    </row>
    <row r="469" spans="1:25" ht="16.5" customHeight="1">
      <c r="A469" s="564">
        <f t="shared" ref="A469:A532" si="146">IF(B469&lt;&gt;"",A468+1,"")</f>
        <v>130</v>
      </c>
      <c r="B469" s="566" t="s">
        <v>1271</v>
      </c>
      <c r="C469" s="513">
        <f t="shared" ref="C469:C532" si="147">T469</f>
        <v>22245</v>
      </c>
      <c r="D469" s="680">
        <f t="shared" si="145"/>
        <v>32254.507929034608</v>
      </c>
      <c r="E469" s="680">
        <f t="shared" si="145"/>
        <v>10206.347507864832</v>
      </c>
      <c r="F469" s="680">
        <f t="shared" si="145"/>
        <v>22006.12065829178</v>
      </c>
      <c r="G469" s="680">
        <f t="shared" si="145"/>
        <v>1758.9453634943395</v>
      </c>
      <c r="H469" s="680">
        <f t="shared" si="145"/>
        <v>32026.451516253986</v>
      </c>
      <c r="I469" s="680">
        <f t="shared" si="145"/>
        <v>8225.2982643867581</v>
      </c>
      <c r="J469" s="513">
        <f t="shared" ref="J469:J532" si="148">SUM(C469:I469)-1</f>
        <v>128721.6712393263</v>
      </c>
      <c r="K469" s="680">
        <v>82</v>
      </c>
      <c r="L469" s="680">
        <f t="shared" si="137"/>
        <v>1569.7764785283696</v>
      </c>
      <c r="M469" s="668">
        <v>1228</v>
      </c>
      <c r="N469" s="668"/>
      <c r="O469" s="556" t="s">
        <v>364</v>
      </c>
      <c r="P469" s="672">
        <v>40866</v>
      </c>
      <c r="Q469" s="670"/>
      <c r="R469" s="572">
        <v>5</v>
      </c>
      <c r="S469" s="296">
        <v>4449</v>
      </c>
      <c r="T469" s="513">
        <f t="shared" si="138"/>
        <v>22245</v>
      </c>
      <c r="U469" s="537"/>
      <c r="V469" s="672"/>
      <c r="W469" s="496"/>
      <c r="X469" s="296"/>
      <c r="Y469" s="513">
        <f t="shared" si="139"/>
        <v>0</v>
      </c>
    </row>
    <row r="470" spans="1:25" ht="16.5" customHeight="1">
      <c r="A470" s="564">
        <f t="shared" si="146"/>
        <v>131</v>
      </c>
      <c r="B470" s="566" t="s">
        <v>1272</v>
      </c>
      <c r="C470" s="513">
        <f t="shared" si="147"/>
        <v>48939</v>
      </c>
      <c r="D470" s="680">
        <f t="shared" ref="D470:I479" si="149">IF($K$582&lt;&gt;0,D$582/$K$582*$K470,0)</f>
        <v>16127.253964517304</v>
      </c>
      <c r="E470" s="680">
        <f t="shared" si="149"/>
        <v>5103.1737539324158</v>
      </c>
      <c r="F470" s="680">
        <f t="shared" si="149"/>
        <v>11003.06032914589</v>
      </c>
      <c r="G470" s="680">
        <f t="shared" si="149"/>
        <v>879.47268174716976</v>
      </c>
      <c r="H470" s="680">
        <f t="shared" si="149"/>
        <v>16013.225758126993</v>
      </c>
      <c r="I470" s="680">
        <f t="shared" si="149"/>
        <v>4112.649132193379</v>
      </c>
      <c r="J470" s="513">
        <f t="shared" si="148"/>
        <v>102176.83561966315</v>
      </c>
      <c r="K470" s="680">
        <v>41</v>
      </c>
      <c r="L470" s="680">
        <f t="shared" ref="L470:L533" si="150">IF(K470&lt;&gt;"",J470/K470,"")</f>
        <v>2492.1179419430036</v>
      </c>
      <c r="M470" s="668">
        <v>2499</v>
      </c>
      <c r="N470" s="668"/>
      <c r="O470" s="556" t="s">
        <v>364</v>
      </c>
      <c r="P470" s="672">
        <v>40866</v>
      </c>
      <c r="Q470" s="670"/>
      <c r="R470" s="572">
        <v>11</v>
      </c>
      <c r="S470" s="296">
        <v>4449</v>
      </c>
      <c r="T470" s="513">
        <f t="shared" ref="T470:T533" si="151">ROUND(R470*S470,0)</f>
        <v>48939</v>
      </c>
      <c r="U470" s="537"/>
      <c r="V470" s="672"/>
      <c r="W470" s="496"/>
      <c r="X470" s="296"/>
      <c r="Y470" s="513">
        <f t="shared" ref="Y470:Y533" si="152">ROUND(W470*X470,0)</f>
        <v>0</v>
      </c>
    </row>
    <row r="471" spans="1:25" ht="16.5" customHeight="1">
      <c r="A471" s="564">
        <f t="shared" si="146"/>
        <v>132</v>
      </c>
      <c r="B471" s="566" t="s">
        <v>735</v>
      </c>
      <c r="C471" s="513">
        <f t="shared" si="147"/>
        <v>11844</v>
      </c>
      <c r="D471" s="680">
        <f t="shared" si="149"/>
        <v>393.34765767115374</v>
      </c>
      <c r="E471" s="680">
        <f t="shared" si="149"/>
        <v>124.46765253493697</v>
      </c>
      <c r="F471" s="680">
        <f t="shared" si="149"/>
        <v>268.36732510111926</v>
      </c>
      <c r="G471" s="680">
        <f t="shared" si="149"/>
        <v>21.450553213345604</v>
      </c>
      <c r="H471" s="680">
        <f t="shared" si="149"/>
        <v>390.56648190553642</v>
      </c>
      <c r="I471" s="680">
        <f t="shared" si="149"/>
        <v>100.3085154193507</v>
      </c>
      <c r="J471" s="513">
        <f t="shared" si="148"/>
        <v>13141.508185845443</v>
      </c>
      <c r="K471" s="680">
        <v>1</v>
      </c>
      <c r="L471" s="680">
        <f t="shared" si="150"/>
        <v>13141.508185845443</v>
      </c>
      <c r="M471" s="668">
        <v>15136</v>
      </c>
      <c r="N471" s="668"/>
      <c r="O471" s="567" t="s">
        <v>601</v>
      </c>
      <c r="P471" s="672">
        <v>40866</v>
      </c>
      <c r="Q471" s="670"/>
      <c r="R471" s="572">
        <f>K471/2</f>
        <v>0.5</v>
      </c>
      <c r="S471" s="296">
        <v>23688</v>
      </c>
      <c r="T471" s="513">
        <f t="shared" si="151"/>
        <v>11844</v>
      </c>
      <c r="U471" s="537"/>
      <c r="V471" s="672"/>
      <c r="W471" s="496"/>
      <c r="X471" s="296"/>
      <c r="Y471" s="513">
        <f t="shared" si="152"/>
        <v>0</v>
      </c>
    </row>
    <row r="472" spans="1:25" ht="16.5" customHeight="1">
      <c r="A472" s="564">
        <f t="shared" si="146"/>
        <v>133</v>
      </c>
      <c r="B472" s="566" t="s">
        <v>728</v>
      </c>
      <c r="C472" s="513">
        <f t="shared" si="147"/>
        <v>19638</v>
      </c>
      <c r="D472" s="680">
        <f t="shared" si="149"/>
        <v>786.69531534230748</v>
      </c>
      <c r="E472" s="680">
        <f t="shared" si="149"/>
        <v>248.93530506987395</v>
      </c>
      <c r="F472" s="680">
        <f t="shared" si="149"/>
        <v>536.73465020223853</v>
      </c>
      <c r="G472" s="680">
        <f t="shared" si="149"/>
        <v>42.901106426691207</v>
      </c>
      <c r="H472" s="680">
        <f t="shared" si="149"/>
        <v>781.13296381107284</v>
      </c>
      <c r="I472" s="680">
        <f t="shared" si="149"/>
        <v>200.6170308387014</v>
      </c>
      <c r="J472" s="513">
        <f t="shared" si="148"/>
        <v>22234.016371690886</v>
      </c>
      <c r="K472" s="680">
        <v>2</v>
      </c>
      <c r="L472" s="680">
        <f t="shared" si="150"/>
        <v>11117.008185845443</v>
      </c>
      <c r="M472" s="668">
        <v>16284</v>
      </c>
      <c r="N472" s="668"/>
      <c r="O472" s="556" t="s">
        <v>519</v>
      </c>
      <c r="P472" s="672">
        <v>40866</v>
      </c>
      <c r="Q472" s="670"/>
      <c r="R472" s="572">
        <v>1</v>
      </c>
      <c r="S472" s="296">
        <v>19638</v>
      </c>
      <c r="T472" s="513">
        <f t="shared" si="151"/>
        <v>19638</v>
      </c>
      <c r="U472" s="537"/>
      <c r="V472" s="672"/>
      <c r="W472" s="496"/>
      <c r="X472" s="296"/>
      <c r="Y472" s="513">
        <f t="shared" si="152"/>
        <v>0</v>
      </c>
    </row>
    <row r="473" spans="1:25" ht="16.5" customHeight="1">
      <c r="A473" s="564">
        <f t="shared" si="146"/>
        <v>134</v>
      </c>
      <c r="B473" s="566" t="s">
        <v>1212</v>
      </c>
      <c r="C473" s="513">
        <f t="shared" si="147"/>
        <v>293034</v>
      </c>
      <c r="D473" s="680">
        <f t="shared" si="149"/>
        <v>8260.3008110942283</v>
      </c>
      <c r="E473" s="680">
        <f t="shared" si="149"/>
        <v>2613.8207032336763</v>
      </c>
      <c r="F473" s="680">
        <f t="shared" si="149"/>
        <v>5635.7138271235044</v>
      </c>
      <c r="G473" s="680">
        <f t="shared" si="149"/>
        <v>450.4616174802577</v>
      </c>
      <c r="H473" s="680">
        <f t="shared" si="149"/>
        <v>8201.8961200162648</v>
      </c>
      <c r="I473" s="680">
        <f t="shared" si="149"/>
        <v>2106.4788238063647</v>
      </c>
      <c r="J473" s="513">
        <f t="shared" si="148"/>
        <v>320301.67190275434</v>
      </c>
      <c r="K473" s="680">
        <v>21</v>
      </c>
      <c r="L473" s="680">
        <f t="shared" si="150"/>
        <v>15252.460566797827</v>
      </c>
      <c r="M473" s="668">
        <v>16832</v>
      </c>
      <c r="N473" s="668"/>
      <c r="O473" s="556" t="s">
        <v>526</v>
      </c>
      <c r="P473" s="672">
        <v>40866</v>
      </c>
      <c r="Q473" s="670"/>
      <c r="R473" s="572">
        <f>K473</f>
        <v>21</v>
      </c>
      <c r="S473" s="296">
        <v>13954</v>
      </c>
      <c r="T473" s="513">
        <f t="shared" si="151"/>
        <v>293034</v>
      </c>
      <c r="U473" s="537"/>
      <c r="V473" s="672"/>
      <c r="W473" s="496"/>
      <c r="X473" s="296"/>
      <c r="Y473" s="513">
        <f t="shared" si="152"/>
        <v>0</v>
      </c>
    </row>
    <row r="474" spans="1:25" ht="16.5" customHeight="1">
      <c r="A474" s="564">
        <f t="shared" si="146"/>
        <v>135</v>
      </c>
      <c r="B474" s="566" t="s">
        <v>722</v>
      </c>
      <c r="C474" s="513">
        <f t="shared" si="147"/>
        <v>445554</v>
      </c>
      <c r="D474" s="680">
        <f t="shared" si="149"/>
        <v>20847.42585657115</v>
      </c>
      <c r="E474" s="680">
        <f t="shared" si="149"/>
        <v>6596.78558435166</v>
      </c>
      <c r="F474" s="680">
        <f t="shared" si="149"/>
        <v>14223.468230359322</v>
      </c>
      <c r="G474" s="680">
        <f t="shared" si="149"/>
        <v>1136.8793203073169</v>
      </c>
      <c r="H474" s="680">
        <f t="shared" si="149"/>
        <v>20700.023540993432</v>
      </c>
      <c r="I474" s="680">
        <f t="shared" si="149"/>
        <v>5316.3513172255871</v>
      </c>
      <c r="J474" s="513">
        <f t="shared" si="148"/>
        <v>514373.93384980859</v>
      </c>
      <c r="K474" s="680">
        <v>53</v>
      </c>
      <c r="L474" s="680">
        <f t="shared" si="150"/>
        <v>9705.1685632039353</v>
      </c>
      <c r="M474" s="668">
        <v>10595</v>
      </c>
      <c r="N474" s="668"/>
      <c r="O474" s="567" t="s">
        <v>626</v>
      </c>
      <c r="P474" s="672">
        <v>40866</v>
      </c>
      <c r="Q474" s="670"/>
      <c r="R474" s="572">
        <v>27</v>
      </c>
      <c r="S474" s="296">
        <v>16502</v>
      </c>
      <c r="T474" s="513">
        <f t="shared" si="151"/>
        <v>445554</v>
      </c>
      <c r="U474" s="537"/>
      <c r="V474" s="672"/>
      <c r="W474" s="496"/>
      <c r="X474" s="296"/>
      <c r="Y474" s="513">
        <f t="shared" si="152"/>
        <v>0</v>
      </c>
    </row>
    <row r="475" spans="1:25" ht="16.5" customHeight="1">
      <c r="A475" s="564">
        <f t="shared" si="146"/>
        <v>136</v>
      </c>
      <c r="B475" s="566" t="s">
        <v>1237</v>
      </c>
      <c r="C475" s="513">
        <f t="shared" si="147"/>
        <v>60834</v>
      </c>
      <c r="D475" s="680">
        <f t="shared" si="149"/>
        <v>2360.0859460269226</v>
      </c>
      <c r="E475" s="680">
        <f t="shared" si="149"/>
        <v>746.80591520962184</v>
      </c>
      <c r="F475" s="680">
        <f t="shared" si="149"/>
        <v>1610.2039506067156</v>
      </c>
      <c r="G475" s="680">
        <f t="shared" si="149"/>
        <v>128.70331928007363</v>
      </c>
      <c r="H475" s="680">
        <f t="shared" si="149"/>
        <v>2343.3988914332185</v>
      </c>
      <c r="I475" s="680">
        <f t="shared" si="149"/>
        <v>601.85109251610425</v>
      </c>
      <c r="J475" s="513">
        <f t="shared" si="148"/>
        <v>68624.049115072659</v>
      </c>
      <c r="K475" s="680">
        <v>6</v>
      </c>
      <c r="L475" s="680">
        <f t="shared" si="150"/>
        <v>11437.341519178777</v>
      </c>
      <c r="M475" s="668">
        <v>13869</v>
      </c>
      <c r="N475" s="668"/>
      <c r="O475" s="567" t="s">
        <v>619</v>
      </c>
      <c r="P475" s="672">
        <v>40866</v>
      </c>
      <c r="Q475" s="670"/>
      <c r="R475" s="572">
        <f>K475/2</f>
        <v>3</v>
      </c>
      <c r="S475" s="296">
        <v>20278</v>
      </c>
      <c r="T475" s="513">
        <f t="shared" si="151"/>
        <v>60834</v>
      </c>
      <c r="U475" s="537"/>
      <c r="V475" s="672"/>
      <c r="W475" s="496"/>
      <c r="X475" s="296"/>
      <c r="Y475" s="513">
        <f t="shared" si="152"/>
        <v>0</v>
      </c>
    </row>
    <row r="476" spans="1:25" ht="16.5" customHeight="1">
      <c r="A476" s="564">
        <f t="shared" si="146"/>
        <v>137</v>
      </c>
      <c r="B476" s="566" t="s">
        <v>726</v>
      </c>
      <c r="C476" s="513">
        <f t="shared" si="147"/>
        <v>11844</v>
      </c>
      <c r="D476" s="680">
        <f t="shared" si="149"/>
        <v>393.34765767115374</v>
      </c>
      <c r="E476" s="680">
        <f t="shared" si="149"/>
        <v>124.46765253493697</v>
      </c>
      <c r="F476" s="680">
        <f t="shared" si="149"/>
        <v>268.36732510111926</v>
      </c>
      <c r="G476" s="680">
        <f t="shared" si="149"/>
        <v>21.450553213345604</v>
      </c>
      <c r="H476" s="680">
        <f t="shared" si="149"/>
        <v>390.56648190553642</v>
      </c>
      <c r="I476" s="680">
        <f t="shared" si="149"/>
        <v>100.3085154193507</v>
      </c>
      <c r="J476" s="513">
        <f t="shared" si="148"/>
        <v>13141.508185845443</v>
      </c>
      <c r="K476" s="680">
        <v>1</v>
      </c>
      <c r="L476" s="680">
        <f t="shared" si="150"/>
        <v>13141.508185845443</v>
      </c>
      <c r="M476" s="668">
        <v>15618</v>
      </c>
      <c r="N476" s="668"/>
      <c r="O476" s="567" t="s">
        <v>601</v>
      </c>
      <c r="P476" s="672">
        <v>40866</v>
      </c>
      <c r="Q476" s="670"/>
      <c r="R476" s="572">
        <f>K476/2</f>
        <v>0.5</v>
      </c>
      <c r="S476" s="296">
        <v>23688</v>
      </c>
      <c r="T476" s="513">
        <f t="shared" si="151"/>
        <v>11844</v>
      </c>
      <c r="U476" s="537"/>
      <c r="V476" s="672"/>
      <c r="W476" s="496"/>
      <c r="X476" s="296"/>
      <c r="Y476" s="513">
        <f t="shared" si="152"/>
        <v>0</v>
      </c>
    </row>
    <row r="477" spans="1:25" ht="16.5" customHeight="1">
      <c r="A477" s="564">
        <f t="shared" si="146"/>
        <v>138</v>
      </c>
      <c r="B477" s="566" t="s">
        <v>735</v>
      </c>
      <c r="C477" s="513">
        <f t="shared" si="147"/>
        <v>13954</v>
      </c>
      <c r="D477" s="680">
        <f t="shared" si="149"/>
        <v>393.34765767115374</v>
      </c>
      <c r="E477" s="680">
        <f t="shared" si="149"/>
        <v>124.46765253493697</v>
      </c>
      <c r="F477" s="680">
        <f t="shared" si="149"/>
        <v>268.36732510111926</v>
      </c>
      <c r="G477" s="680">
        <f t="shared" si="149"/>
        <v>21.450553213345604</v>
      </c>
      <c r="H477" s="680">
        <f t="shared" si="149"/>
        <v>390.56648190553642</v>
      </c>
      <c r="I477" s="680">
        <f t="shared" si="149"/>
        <v>100.3085154193507</v>
      </c>
      <c r="J477" s="513">
        <f t="shared" si="148"/>
        <v>15251.508185845443</v>
      </c>
      <c r="K477" s="680">
        <v>1</v>
      </c>
      <c r="L477" s="680">
        <f t="shared" si="150"/>
        <v>15251.508185845443</v>
      </c>
      <c r="M477" s="668">
        <v>15136</v>
      </c>
      <c r="N477" s="668"/>
      <c r="O477" s="556" t="s">
        <v>526</v>
      </c>
      <c r="P477" s="672">
        <v>40866</v>
      </c>
      <c r="Q477" s="670"/>
      <c r="R477" s="572">
        <f>K477</f>
        <v>1</v>
      </c>
      <c r="S477" s="296">
        <v>13954</v>
      </c>
      <c r="T477" s="513">
        <f t="shared" si="151"/>
        <v>13954</v>
      </c>
      <c r="U477" s="537"/>
      <c r="V477" s="672"/>
      <c r="W477" s="496"/>
      <c r="X477" s="296"/>
      <c r="Y477" s="513">
        <f t="shared" si="152"/>
        <v>0</v>
      </c>
    </row>
    <row r="478" spans="1:25" ht="16.5" customHeight="1">
      <c r="A478" s="564">
        <f t="shared" si="146"/>
        <v>139</v>
      </c>
      <c r="B478" s="566" t="s">
        <v>1238</v>
      </c>
      <c r="C478" s="513">
        <f t="shared" si="147"/>
        <v>153786</v>
      </c>
      <c r="D478" s="680">
        <f t="shared" si="149"/>
        <v>4720.1718920538451</v>
      </c>
      <c r="E478" s="680">
        <f t="shared" si="149"/>
        <v>1493.6118304192437</v>
      </c>
      <c r="F478" s="680">
        <f t="shared" si="149"/>
        <v>3220.4079012134312</v>
      </c>
      <c r="G478" s="680">
        <f t="shared" si="149"/>
        <v>257.40663856014726</v>
      </c>
      <c r="H478" s="680">
        <f t="shared" si="149"/>
        <v>4686.797782866437</v>
      </c>
      <c r="I478" s="680">
        <f t="shared" si="149"/>
        <v>1203.7021850322085</v>
      </c>
      <c r="J478" s="513">
        <f t="shared" si="148"/>
        <v>169367.09823014532</v>
      </c>
      <c r="K478" s="680">
        <v>12</v>
      </c>
      <c r="L478" s="680">
        <f t="shared" si="150"/>
        <v>14113.924852512109</v>
      </c>
      <c r="M478" s="668">
        <v>14230</v>
      </c>
      <c r="N478" s="668"/>
      <c r="O478" s="567" t="s">
        <v>620</v>
      </c>
      <c r="P478" s="672">
        <v>40866</v>
      </c>
      <c r="Q478" s="670"/>
      <c r="R478" s="572">
        <f>K478/2</f>
        <v>6</v>
      </c>
      <c r="S478" s="296">
        <v>25631</v>
      </c>
      <c r="T478" s="513">
        <f t="shared" si="151"/>
        <v>153786</v>
      </c>
      <c r="U478" s="537"/>
      <c r="V478" s="672"/>
      <c r="W478" s="496"/>
      <c r="X478" s="296"/>
      <c r="Y478" s="513">
        <f t="shared" si="152"/>
        <v>0</v>
      </c>
    </row>
    <row r="479" spans="1:25" ht="16.5" customHeight="1">
      <c r="A479" s="564">
        <f t="shared" si="146"/>
        <v>140</v>
      </c>
      <c r="B479" s="566" t="s">
        <v>1151</v>
      </c>
      <c r="C479" s="513">
        <f t="shared" si="147"/>
        <v>603440</v>
      </c>
      <c r="D479" s="680">
        <f t="shared" si="149"/>
        <v>157339.06306846149</v>
      </c>
      <c r="E479" s="680">
        <f t="shared" si="149"/>
        <v>49787.061013974788</v>
      </c>
      <c r="F479" s="680">
        <f t="shared" si="149"/>
        <v>107346.93004044771</v>
      </c>
      <c r="G479" s="680">
        <f t="shared" si="149"/>
        <v>8580.2212853382407</v>
      </c>
      <c r="H479" s="680">
        <f t="shared" si="149"/>
        <v>156226.59276221457</v>
      </c>
      <c r="I479" s="680">
        <f t="shared" si="149"/>
        <v>40123.406167740279</v>
      </c>
      <c r="J479" s="513">
        <f t="shared" si="148"/>
        <v>1122842.2743381772</v>
      </c>
      <c r="K479" s="680">
        <v>400</v>
      </c>
      <c r="L479" s="680">
        <f t="shared" si="150"/>
        <v>2807.1056858454431</v>
      </c>
      <c r="M479" s="668">
        <v>3100</v>
      </c>
      <c r="N479" s="668"/>
      <c r="O479" s="556" t="s">
        <v>556</v>
      </c>
      <c r="P479" s="672">
        <v>40848</v>
      </c>
      <c r="Q479" s="670"/>
      <c r="R479" s="572">
        <f>K479/5</f>
        <v>80</v>
      </c>
      <c r="S479" s="296">
        <v>7543</v>
      </c>
      <c r="T479" s="513">
        <f t="shared" si="151"/>
        <v>603440</v>
      </c>
      <c r="U479" s="537"/>
      <c r="V479" s="672"/>
      <c r="W479" s="496"/>
      <c r="X479" s="296"/>
      <c r="Y479" s="513">
        <f t="shared" si="152"/>
        <v>0</v>
      </c>
    </row>
    <row r="480" spans="1:25" ht="16.5" customHeight="1">
      <c r="A480" s="564">
        <f t="shared" si="146"/>
        <v>141</v>
      </c>
      <c r="B480" s="566" t="s">
        <v>1274</v>
      </c>
      <c r="C480" s="513">
        <f t="shared" si="147"/>
        <v>1839638</v>
      </c>
      <c r="D480" s="680">
        <f t="shared" ref="D480:I489" si="153">IF($K$582&lt;&gt;0,D$582/$K$582*$K480,0)</f>
        <v>47595.066578209604</v>
      </c>
      <c r="E480" s="680">
        <f t="shared" si="153"/>
        <v>15060.585956727375</v>
      </c>
      <c r="F480" s="680">
        <f t="shared" si="153"/>
        <v>32472.446337235429</v>
      </c>
      <c r="G480" s="680">
        <f t="shared" si="153"/>
        <v>2595.5169388148179</v>
      </c>
      <c r="H480" s="680">
        <f t="shared" si="153"/>
        <v>47258.544310569909</v>
      </c>
      <c r="I480" s="680">
        <f t="shared" si="153"/>
        <v>12137.330365741434</v>
      </c>
      <c r="J480" s="513">
        <f t="shared" si="148"/>
        <v>1996756.4904872987</v>
      </c>
      <c r="K480" s="680">
        <v>121</v>
      </c>
      <c r="L480" s="680">
        <f t="shared" si="150"/>
        <v>16502.119756093376</v>
      </c>
      <c r="M480" s="668">
        <v>18100</v>
      </c>
      <c r="N480" s="668"/>
      <c r="O480" s="567" t="s">
        <v>621</v>
      </c>
      <c r="P480" s="672">
        <v>40870</v>
      </c>
      <c r="Q480" s="670"/>
      <c r="R480" s="572">
        <v>61</v>
      </c>
      <c r="S480" s="296">
        <v>30158</v>
      </c>
      <c r="T480" s="513">
        <f t="shared" si="151"/>
        <v>1839638</v>
      </c>
      <c r="U480" s="537"/>
      <c r="V480" s="672"/>
      <c r="W480" s="496"/>
      <c r="X480" s="296"/>
      <c r="Y480" s="513">
        <f t="shared" si="152"/>
        <v>0</v>
      </c>
    </row>
    <row r="481" spans="1:25" ht="16.5" customHeight="1">
      <c r="A481" s="564">
        <f t="shared" si="146"/>
        <v>142</v>
      </c>
      <c r="B481" s="566" t="s">
        <v>1276</v>
      </c>
      <c r="C481" s="513">
        <f t="shared" si="147"/>
        <v>1732650</v>
      </c>
      <c r="D481" s="680">
        <f t="shared" si="153"/>
        <v>39728.113424786527</v>
      </c>
      <c r="E481" s="680">
        <f t="shared" si="153"/>
        <v>12571.232906028634</v>
      </c>
      <c r="F481" s="680">
        <f t="shared" si="153"/>
        <v>27105.099835213045</v>
      </c>
      <c r="G481" s="680">
        <f t="shared" si="153"/>
        <v>2166.5058745479059</v>
      </c>
      <c r="H481" s="680">
        <f t="shared" si="153"/>
        <v>39447.21467245918</v>
      </c>
      <c r="I481" s="680">
        <f t="shared" si="153"/>
        <v>10131.16005735442</v>
      </c>
      <c r="J481" s="513">
        <f t="shared" si="148"/>
        <v>1863798.3267703899</v>
      </c>
      <c r="K481" s="680">
        <v>101</v>
      </c>
      <c r="L481" s="680">
        <f t="shared" si="150"/>
        <v>18453.448779904851</v>
      </c>
      <c r="M481" s="668">
        <v>23260</v>
      </c>
      <c r="N481" s="668"/>
      <c r="O481" s="567" t="s">
        <v>618</v>
      </c>
      <c r="P481" s="672">
        <v>40870</v>
      </c>
      <c r="Q481" s="670"/>
      <c r="R481" s="572">
        <v>50</v>
      </c>
      <c r="S481" s="296">
        <v>34653</v>
      </c>
      <c r="T481" s="513">
        <f t="shared" si="151"/>
        <v>1732650</v>
      </c>
      <c r="U481" s="537"/>
      <c r="V481" s="672"/>
      <c r="W481" s="496"/>
      <c r="X481" s="296"/>
      <c r="Y481" s="513">
        <f t="shared" si="152"/>
        <v>0</v>
      </c>
    </row>
    <row r="482" spans="1:25" ht="16.5" customHeight="1">
      <c r="A482" s="564">
        <f t="shared" si="146"/>
        <v>143</v>
      </c>
      <c r="B482" s="566" t="s">
        <v>1277</v>
      </c>
      <c r="C482" s="513">
        <f t="shared" si="147"/>
        <v>2101528</v>
      </c>
      <c r="D482" s="680">
        <f t="shared" si="153"/>
        <v>47595.066578209604</v>
      </c>
      <c r="E482" s="680">
        <f t="shared" si="153"/>
        <v>15060.585956727375</v>
      </c>
      <c r="F482" s="680">
        <f t="shared" si="153"/>
        <v>32472.446337235429</v>
      </c>
      <c r="G482" s="680">
        <f t="shared" si="153"/>
        <v>2595.5169388148179</v>
      </c>
      <c r="H482" s="680">
        <f t="shared" si="153"/>
        <v>47258.544310569909</v>
      </c>
      <c r="I482" s="680">
        <f t="shared" si="153"/>
        <v>12137.330365741434</v>
      </c>
      <c r="J482" s="513">
        <f t="shared" si="148"/>
        <v>2258646.4904872985</v>
      </c>
      <c r="K482" s="680">
        <v>121</v>
      </c>
      <c r="L482" s="680">
        <f t="shared" si="150"/>
        <v>18666.49992138263</v>
      </c>
      <c r="M482" s="668">
        <v>20090</v>
      </c>
      <c r="N482" s="668"/>
      <c r="O482" s="556" t="s">
        <v>530</v>
      </c>
      <c r="P482" s="672">
        <v>40870</v>
      </c>
      <c r="Q482" s="670"/>
      <c r="R482" s="572">
        <f>K482</f>
        <v>121</v>
      </c>
      <c r="S482" s="296">
        <v>17368</v>
      </c>
      <c r="T482" s="513">
        <f t="shared" si="151"/>
        <v>2101528</v>
      </c>
      <c r="U482" s="537"/>
      <c r="V482" s="672"/>
      <c r="W482" s="496"/>
      <c r="X482" s="296"/>
      <c r="Y482" s="513">
        <f t="shared" si="152"/>
        <v>0</v>
      </c>
    </row>
    <row r="483" spans="1:25" ht="16.5" customHeight="1">
      <c r="A483" s="564">
        <f t="shared" si="146"/>
        <v>144</v>
      </c>
      <c r="B483" s="566" t="s">
        <v>1278</v>
      </c>
      <c r="C483" s="513">
        <f t="shared" si="147"/>
        <v>3347538</v>
      </c>
      <c r="D483" s="680">
        <f t="shared" si="153"/>
        <v>87323.18000299613</v>
      </c>
      <c r="E483" s="680">
        <f t="shared" si="153"/>
        <v>27631.818862756008</v>
      </c>
      <c r="F483" s="680">
        <f t="shared" si="153"/>
        <v>59577.546172448478</v>
      </c>
      <c r="G483" s="680">
        <f t="shared" si="153"/>
        <v>4762.0228133627243</v>
      </c>
      <c r="H483" s="680">
        <f t="shared" si="153"/>
        <v>86705.758983029082</v>
      </c>
      <c r="I483" s="680">
        <f t="shared" si="153"/>
        <v>22268.490423095856</v>
      </c>
      <c r="J483" s="513">
        <f t="shared" si="148"/>
        <v>3635805.8172576879</v>
      </c>
      <c r="K483" s="680">
        <v>222</v>
      </c>
      <c r="L483" s="680">
        <f t="shared" si="150"/>
        <v>16377.503681340937</v>
      </c>
      <c r="M483" s="668">
        <v>18170</v>
      </c>
      <c r="N483" s="668"/>
      <c r="O483" s="567" t="s">
        <v>621</v>
      </c>
      <c r="P483" s="672">
        <v>40870</v>
      </c>
      <c r="Q483" s="670"/>
      <c r="R483" s="572">
        <f>K483/2</f>
        <v>111</v>
      </c>
      <c r="S483" s="296">
        <v>30158</v>
      </c>
      <c r="T483" s="513">
        <f t="shared" si="151"/>
        <v>3347538</v>
      </c>
      <c r="U483" s="537"/>
      <c r="V483" s="672"/>
      <c r="W483" s="496"/>
      <c r="X483" s="296"/>
      <c r="Y483" s="513">
        <f t="shared" si="152"/>
        <v>0</v>
      </c>
    </row>
    <row r="484" spans="1:25" ht="16.5" customHeight="1">
      <c r="A484" s="564">
        <f t="shared" si="146"/>
        <v>145</v>
      </c>
      <c r="B484" s="566" t="s">
        <v>1279</v>
      </c>
      <c r="C484" s="513">
        <f t="shared" si="147"/>
        <v>1920996</v>
      </c>
      <c r="D484" s="680">
        <f t="shared" si="153"/>
        <v>47595.066578209604</v>
      </c>
      <c r="E484" s="680">
        <f t="shared" si="153"/>
        <v>15060.585956727375</v>
      </c>
      <c r="F484" s="680">
        <f t="shared" si="153"/>
        <v>32472.446337235429</v>
      </c>
      <c r="G484" s="680">
        <f t="shared" si="153"/>
        <v>2595.5169388148179</v>
      </c>
      <c r="H484" s="680">
        <f t="shared" si="153"/>
        <v>47258.544310569909</v>
      </c>
      <c r="I484" s="680">
        <f t="shared" si="153"/>
        <v>12137.330365741434</v>
      </c>
      <c r="J484" s="513">
        <f t="shared" si="148"/>
        <v>2078114.4904872987</v>
      </c>
      <c r="K484" s="680">
        <v>121</v>
      </c>
      <c r="L484" s="680">
        <f t="shared" si="150"/>
        <v>17174.499921382634</v>
      </c>
      <c r="M484" s="668">
        <v>19420</v>
      </c>
      <c r="N484" s="668"/>
      <c r="O484" s="567" t="s">
        <v>617</v>
      </c>
      <c r="P484" s="672">
        <v>40870</v>
      </c>
      <c r="Q484" s="670"/>
      <c r="R484" s="572">
        <f>K484/2</f>
        <v>60.5</v>
      </c>
      <c r="S484" s="296">
        <v>31752</v>
      </c>
      <c r="T484" s="513">
        <f t="shared" si="151"/>
        <v>1920996</v>
      </c>
      <c r="U484" s="537"/>
      <c r="V484" s="672"/>
      <c r="W484" s="496"/>
      <c r="X484" s="296"/>
      <c r="Y484" s="513">
        <f t="shared" si="152"/>
        <v>0</v>
      </c>
    </row>
    <row r="485" spans="1:25" ht="16.5" customHeight="1">
      <c r="A485" s="564">
        <f t="shared" si="146"/>
        <v>146</v>
      </c>
      <c r="B485" s="566" t="s">
        <v>1280</v>
      </c>
      <c r="C485" s="513">
        <f t="shared" si="147"/>
        <v>1603476</v>
      </c>
      <c r="D485" s="680">
        <f t="shared" si="153"/>
        <v>39728.113424786527</v>
      </c>
      <c r="E485" s="680">
        <f t="shared" si="153"/>
        <v>12571.232906028634</v>
      </c>
      <c r="F485" s="680">
        <f t="shared" si="153"/>
        <v>27105.099835213045</v>
      </c>
      <c r="G485" s="680">
        <f t="shared" si="153"/>
        <v>2166.5058745479059</v>
      </c>
      <c r="H485" s="680">
        <f t="shared" si="153"/>
        <v>39447.21467245918</v>
      </c>
      <c r="I485" s="680">
        <f t="shared" si="153"/>
        <v>10131.16005735442</v>
      </c>
      <c r="J485" s="513">
        <f t="shared" si="148"/>
        <v>1734624.3267703899</v>
      </c>
      <c r="K485" s="680">
        <v>101</v>
      </c>
      <c r="L485" s="680">
        <f t="shared" si="150"/>
        <v>17174.498284855345</v>
      </c>
      <c r="M485" s="668">
        <v>19450</v>
      </c>
      <c r="N485" s="668"/>
      <c r="O485" s="567" t="s">
        <v>617</v>
      </c>
      <c r="P485" s="672">
        <v>40870</v>
      </c>
      <c r="Q485" s="670"/>
      <c r="R485" s="572">
        <f>K485/2</f>
        <v>50.5</v>
      </c>
      <c r="S485" s="296">
        <v>31752</v>
      </c>
      <c r="T485" s="513">
        <f t="shared" si="151"/>
        <v>1603476</v>
      </c>
      <c r="U485" s="537"/>
      <c r="V485" s="672"/>
      <c r="W485" s="496"/>
      <c r="X485" s="296"/>
      <c r="Y485" s="513">
        <f t="shared" si="152"/>
        <v>0</v>
      </c>
    </row>
    <row r="486" spans="1:25" ht="16.5" customHeight="1">
      <c r="A486" s="564">
        <f t="shared" si="146"/>
        <v>147</v>
      </c>
      <c r="B486" s="566" t="s">
        <v>1281</v>
      </c>
      <c r="C486" s="513">
        <f t="shared" si="147"/>
        <v>102327</v>
      </c>
      <c r="D486" s="680">
        <f t="shared" si="153"/>
        <v>173859.66469064995</v>
      </c>
      <c r="E486" s="680">
        <f t="shared" si="153"/>
        <v>55014.70242044214</v>
      </c>
      <c r="F486" s="680">
        <f t="shared" si="153"/>
        <v>118618.35769469471</v>
      </c>
      <c r="G486" s="680">
        <f t="shared" si="153"/>
        <v>9481.1445202987561</v>
      </c>
      <c r="H486" s="680">
        <f t="shared" si="153"/>
        <v>172630.38500224709</v>
      </c>
      <c r="I486" s="680">
        <f t="shared" si="153"/>
        <v>44336.363815353012</v>
      </c>
      <c r="J486" s="513">
        <f t="shared" si="148"/>
        <v>676266.61814368563</v>
      </c>
      <c r="K486" s="680">
        <v>442</v>
      </c>
      <c r="L486" s="680">
        <f t="shared" si="150"/>
        <v>1530.0149731757595</v>
      </c>
      <c r="M486" s="668">
        <v>1150</v>
      </c>
      <c r="N486" s="668"/>
      <c r="O486" s="556" t="s">
        <v>364</v>
      </c>
      <c r="P486" s="672">
        <v>40870</v>
      </c>
      <c r="Q486" s="670"/>
      <c r="R486" s="572">
        <v>23</v>
      </c>
      <c r="S486" s="296">
        <v>4449</v>
      </c>
      <c r="T486" s="513">
        <f t="shared" si="151"/>
        <v>102327</v>
      </c>
      <c r="U486" s="537"/>
      <c r="V486" s="672"/>
      <c r="W486" s="496"/>
      <c r="X486" s="296"/>
      <c r="Y486" s="513">
        <f t="shared" si="152"/>
        <v>0</v>
      </c>
    </row>
    <row r="487" spans="1:25" ht="16.5" customHeight="1">
      <c r="A487" s="564">
        <f t="shared" si="146"/>
        <v>148</v>
      </c>
      <c r="B487" s="566" t="s">
        <v>1283</v>
      </c>
      <c r="C487" s="513">
        <f t="shared" si="147"/>
        <v>57837</v>
      </c>
      <c r="D487" s="680">
        <f t="shared" si="153"/>
        <v>95190.133156419208</v>
      </c>
      <c r="E487" s="680">
        <f t="shared" si="153"/>
        <v>30121.171913454749</v>
      </c>
      <c r="F487" s="680">
        <f t="shared" si="153"/>
        <v>64944.892674470859</v>
      </c>
      <c r="G487" s="680">
        <f t="shared" si="153"/>
        <v>5191.0338776296358</v>
      </c>
      <c r="H487" s="680">
        <f t="shared" si="153"/>
        <v>94517.088621139817</v>
      </c>
      <c r="I487" s="680">
        <f t="shared" si="153"/>
        <v>24274.660731482869</v>
      </c>
      <c r="J487" s="513">
        <f t="shared" si="148"/>
        <v>372074.9809745971</v>
      </c>
      <c r="K487" s="680">
        <v>242</v>
      </c>
      <c r="L487" s="680">
        <f t="shared" si="150"/>
        <v>1537.4999213826327</v>
      </c>
      <c r="M487" s="668">
        <v>1360</v>
      </c>
      <c r="N487" s="668"/>
      <c r="O487" s="556" t="s">
        <v>364</v>
      </c>
      <c r="P487" s="672">
        <v>40877</v>
      </c>
      <c r="Q487" s="670"/>
      <c r="R487" s="572">
        <v>13</v>
      </c>
      <c r="S487" s="296">
        <v>4449</v>
      </c>
      <c r="T487" s="513">
        <f t="shared" si="151"/>
        <v>57837</v>
      </c>
      <c r="U487" s="537"/>
      <c r="V487" s="672"/>
      <c r="W487" s="496"/>
      <c r="X487" s="296"/>
      <c r="Y487" s="513">
        <f t="shared" si="152"/>
        <v>0</v>
      </c>
    </row>
    <row r="488" spans="1:25" ht="16.5" customHeight="1">
      <c r="A488" s="564">
        <f t="shared" si="146"/>
        <v>149</v>
      </c>
      <c r="B488" s="566" t="s">
        <v>1284</v>
      </c>
      <c r="C488" s="513">
        <f t="shared" si="147"/>
        <v>66735</v>
      </c>
      <c r="D488" s="680">
        <f t="shared" si="153"/>
        <v>173859.66469064995</v>
      </c>
      <c r="E488" s="680">
        <f t="shared" si="153"/>
        <v>55014.70242044214</v>
      </c>
      <c r="F488" s="680">
        <f t="shared" si="153"/>
        <v>118618.35769469471</v>
      </c>
      <c r="G488" s="680">
        <f t="shared" si="153"/>
        <v>9481.1445202987561</v>
      </c>
      <c r="H488" s="680">
        <f t="shared" si="153"/>
        <v>172630.38500224709</v>
      </c>
      <c r="I488" s="680">
        <f t="shared" si="153"/>
        <v>44336.363815353012</v>
      </c>
      <c r="J488" s="513">
        <f t="shared" si="148"/>
        <v>640674.61814368563</v>
      </c>
      <c r="K488" s="680">
        <v>442</v>
      </c>
      <c r="L488" s="680">
        <f t="shared" si="150"/>
        <v>1449.4900862979314</v>
      </c>
      <c r="M488" s="668">
        <v>1090</v>
      </c>
      <c r="N488" s="668"/>
      <c r="O488" s="556" t="s">
        <v>364</v>
      </c>
      <c r="P488" s="672">
        <v>40877</v>
      </c>
      <c r="Q488" s="670"/>
      <c r="R488" s="572">
        <v>15</v>
      </c>
      <c r="S488" s="296">
        <v>4449</v>
      </c>
      <c r="T488" s="513">
        <f t="shared" si="151"/>
        <v>66735</v>
      </c>
      <c r="U488" s="537"/>
      <c r="V488" s="672"/>
      <c r="W488" s="496"/>
      <c r="X488" s="296"/>
      <c r="Y488" s="513">
        <f t="shared" si="152"/>
        <v>0</v>
      </c>
    </row>
    <row r="489" spans="1:25" ht="16.5" customHeight="1">
      <c r="A489" s="564">
        <f t="shared" si="146"/>
        <v>150</v>
      </c>
      <c r="B489" s="566" t="s">
        <v>1285</v>
      </c>
      <c r="C489" s="513">
        <f t="shared" si="147"/>
        <v>49189</v>
      </c>
      <c r="D489" s="680">
        <f t="shared" si="153"/>
        <v>1966738.2883557687</v>
      </c>
      <c r="E489" s="680">
        <f t="shared" si="153"/>
        <v>622338.26267468487</v>
      </c>
      <c r="F489" s="680">
        <f t="shared" si="153"/>
        <v>1341836.6255055964</v>
      </c>
      <c r="G489" s="680">
        <f t="shared" si="153"/>
        <v>107252.76606672801</v>
      </c>
      <c r="H489" s="680">
        <f t="shared" si="153"/>
        <v>1952832.409527682</v>
      </c>
      <c r="I489" s="680">
        <f t="shared" si="153"/>
        <v>501542.57709675346</v>
      </c>
      <c r="J489" s="513">
        <f t="shared" si="148"/>
        <v>6541728.9292272134</v>
      </c>
      <c r="K489" s="680">
        <v>5000</v>
      </c>
      <c r="L489" s="680">
        <f t="shared" si="150"/>
        <v>1308.3457858454426</v>
      </c>
      <c r="M489" s="668">
        <v>123</v>
      </c>
      <c r="N489" s="668"/>
      <c r="O489" s="556" t="s">
        <v>615</v>
      </c>
      <c r="P489" s="672">
        <v>40877</v>
      </c>
      <c r="Q489" s="670"/>
      <c r="R489" s="572">
        <v>2</v>
      </c>
      <c r="S489" s="296">
        <v>24594.5</v>
      </c>
      <c r="T489" s="513">
        <f t="shared" si="151"/>
        <v>49189</v>
      </c>
      <c r="U489" s="537"/>
      <c r="V489" s="672"/>
      <c r="W489" s="496"/>
      <c r="X489" s="296"/>
      <c r="Y489" s="513">
        <f t="shared" si="152"/>
        <v>0</v>
      </c>
    </row>
    <row r="490" spans="1:25" ht="16.5" customHeight="1">
      <c r="A490" s="564">
        <f t="shared" si="146"/>
        <v>151</v>
      </c>
      <c r="B490" s="566" t="s">
        <v>1286</v>
      </c>
      <c r="C490" s="513">
        <f t="shared" si="147"/>
        <v>14777420</v>
      </c>
      <c r="D490" s="680">
        <f t="shared" ref="D490:I499" si="154">IF($K$582&lt;&gt;0,D$582/$K$582*$K490,0)</f>
        <v>385480.70451773069</v>
      </c>
      <c r="E490" s="680">
        <f t="shared" si="154"/>
        <v>121978.29948423823</v>
      </c>
      <c r="F490" s="680">
        <f t="shared" si="154"/>
        <v>262999.97859909688</v>
      </c>
      <c r="G490" s="680">
        <f t="shared" si="154"/>
        <v>21021.54214907869</v>
      </c>
      <c r="H490" s="680">
        <f t="shared" si="154"/>
        <v>382755.15226742567</v>
      </c>
      <c r="I490" s="680">
        <f t="shared" si="154"/>
        <v>98302.345110963681</v>
      </c>
      <c r="J490" s="513">
        <f t="shared" si="148"/>
        <v>16049957.022128535</v>
      </c>
      <c r="K490" s="680">
        <v>980</v>
      </c>
      <c r="L490" s="680">
        <f t="shared" si="150"/>
        <v>16377.50716543728</v>
      </c>
      <c r="M490" s="668">
        <v>17900</v>
      </c>
      <c r="N490" s="668"/>
      <c r="O490" s="567" t="s">
        <v>621</v>
      </c>
      <c r="P490" s="672">
        <v>40877</v>
      </c>
      <c r="Q490" s="670"/>
      <c r="R490" s="572">
        <f>K490/2</f>
        <v>490</v>
      </c>
      <c r="S490" s="296">
        <v>30158</v>
      </c>
      <c r="T490" s="513">
        <f t="shared" si="151"/>
        <v>14777420</v>
      </c>
      <c r="U490" s="537"/>
      <c r="V490" s="672"/>
      <c r="W490" s="496"/>
      <c r="X490" s="296"/>
      <c r="Y490" s="513">
        <f t="shared" si="152"/>
        <v>0</v>
      </c>
    </row>
    <row r="491" spans="1:25" ht="16.5" customHeight="1">
      <c r="A491" s="564">
        <f t="shared" si="146"/>
        <v>152</v>
      </c>
      <c r="B491" s="566" t="s">
        <v>1288</v>
      </c>
      <c r="C491" s="513">
        <f t="shared" si="147"/>
        <v>13641600</v>
      </c>
      <c r="D491" s="680">
        <f t="shared" si="154"/>
        <v>782761.83876559592</v>
      </c>
      <c r="E491" s="680">
        <f t="shared" si="154"/>
        <v>247690.62854452457</v>
      </c>
      <c r="F491" s="680">
        <f t="shared" si="154"/>
        <v>534050.97695122729</v>
      </c>
      <c r="G491" s="680">
        <f t="shared" si="154"/>
        <v>42686.600894557749</v>
      </c>
      <c r="H491" s="680">
        <f t="shared" si="154"/>
        <v>777227.29899201752</v>
      </c>
      <c r="I491" s="680">
        <f t="shared" si="154"/>
        <v>199613.9456845079</v>
      </c>
      <c r="J491" s="513">
        <f t="shared" si="148"/>
        <v>16225630.289832428</v>
      </c>
      <c r="K491" s="680">
        <v>1990</v>
      </c>
      <c r="L491" s="680">
        <f t="shared" si="150"/>
        <v>8153.583060217301</v>
      </c>
      <c r="M491" s="668">
        <v>10900</v>
      </c>
      <c r="N491" s="668"/>
      <c r="O491" s="567" t="s">
        <v>631</v>
      </c>
      <c r="P491" s="672">
        <v>40877</v>
      </c>
      <c r="Q491" s="670"/>
      <c r="R491" s="572">
        <v>1050</v>
      </c>
      <c r="S491" s="296">
        <v>12992</v>
      </c>
      <c r="T491" s="513">
        <f t="shared" si="151"/>
        <v>13641600</v>
      </c>
      <c r="U491" s="537"/>
      <c r="V491" s="672"/>
      <c r="W491" s="496"/>
      <c r="X491" s="296"/>
      <c r="Y491" s="513">
        <f t="shared" si="152"/>
        <v>0</v>
      </c>
    </row>
    <row r="492" spans="1:25" ht="16.5" customHeight="1">
      <c r="A492" s="564">
        <f t="shared" si="146"/>
        <v>153</v>
      </c>
      <c r="B492" s="573" t="s">
        <v>1293</v>
      </c>
      <c r="C492" s="513">
        <f t="shared" si="147"/>
        <v>7726330</v>
      </c>
      <c r="D492" s="680">
        <f t="shared" si="154"/>
        <v>184873.39910544225</v>
      </c>
      <c r="E492" s="680">
        <f t="shared" si="154"/>
        <v>58499.796691420379</v>
      </c>
      <c r="F492" s="680">
        <f t="shared" si="154"/>
        <v>126132.64279752606</v>
      </c>
      <c r="G492" s="680">
        <f t="shared" si="154"/>
        <v>10081.760010272434</v>
      </c>
      <c r="H492" s="680">
        <f t="shared" si="154"/>
        <v>183566.24649560213</v>
      </c>
      <c r="I492" s="680">
        <f t="shared" si="154"/>
        <v>47145.002247094832</v>
      </c>
      <c r="J492" s="513">
        <f t="shared" si="148"/>
        <v>8336627.8473473582</v>
      </c>
      <c r="K492" s="677">
        <v>470</v>
      </c>
      <c r="L492" s="680">
        <f t="shared" si="150"/>
        <v>17737.506058185867</v>
      </c>
      <c r="M492" s="668">
        <v>22000</v>
      </c>
      <c r="N492" s="668"/>
      <c r="O492" s="567" t="s">
        <v>622</v>
      </c>
      <c r="P492" s="709">
        <v>40896</v>
      </c>
      <c r="Q492" s="670"/>
      <c r="R492" s="572">
        <f>K492/2</f>
        <v>235</v>
      </c>
      <c r="S492" s="296">
        <v>32878</v>
      </c>
      <c r="T492" s="513">
        <f t="shared" si="151"/>
        <v>7726330</v>
      </c>
      <c r="U492" s="537"/>
      <c r="V492" s="672"/>
      <c r="W492" s="496"/>
      <c r="X492" s="296"/>
      <c r="Y492" s="513">
        <f t="shared" si="152"/>
        <v>0</v>
      </c>
    </row>
    <row r="493" spans="1:25" ht="16.5" customHeight="1">
      <c r="A493" s="564">
        <f t="shared" si="146"/>
        <v>154</v>
      </c>
      <c r="B493" s="573" t="s">
        <v>1295</v>
      </c>
      <c r="C493" s="513">
        <f t="shared" si="147"/>
        <v>2331465</v>
      </c>
      <c r="D493" s="680">
        <f t="shared" si="154"/>
        <v>198640.56712393265</v>
      </c>
      <c r="E493" s="680">
        <f t="shared" si="154"/>
        <v>62856.164530143171</v>
      </c>
      <c r="F493" s="680">
        <f t="shared" si="154"/>
        <v>135525.49917606523</v>
      </c>
      <c r="G493" s="680">
        <f t="shared" si="154"/>
        <v>10832.529372739529</v>
      </c>
      <c r="H493" s="680">
        <f t="shared" si="154"/>
        <v>197236.07336229589</v>
      </c>
      <c r="I493" s="680">
        <f t="shared" si="154"/>
        <v>50655.800286772101</v>
      </c>
      <c r="J493" s="513">
        <f t="shared" si="148"/>
        <v>2987210.6338519491</v>
      </c>
      <c r="K493" s="677">
        <v>505</v>
      </c>
      <c r="L493" s="680">
        <f t="shared" si="150"/>
        <v>5915.2685818850478</v>
      </c>
      <c r="M493" s="668">
        <v>9500</v>
      </c>
      <c r="N493" s="668"/>
      <c r="O493" s="556" t="s">
        <v>499</v>
      </c>
      <c r="P493" s="709">
        <v>40886</v>
      </c>
      <c r="Q493" s="670"/>
      <c r="R493" s="572">
        <v>205</v>
      </c>
      <c r="S493" s="296">
        <v>11373</v>
      </c>
      <c r="T493" s="513">
        <f t="shared" si="151"/>
        <v>2331465</v>
      </c>
      <c r="U493" s="537"/>
      <c r="V493" s="672"/>
      <c r="W493" s="496"/>
      <c r="X493" s="296"/>
      <c r="Y493" s="513">
        <f t="shared" si="152"/>
        <v>0</v>
      </c>
    </row>
    <row r="494" spans="1:25" ht="16.5" customHeight="1">
      <c r="A494" s="564">
        <f t="shared" si="146"/>
        <v>155</v>
      </c>
      <c r="B494" s="573" t="s">
        <v>1249</v>
      </c>
      <c r="C494" s="513">
        <f t="shared" si="147"/>
        <v>17427</v>
      </c>
      <c r="D494" s="680">
        <f t="shared" si="154"/>
        <v>786.69531534230748</v>
      </c>
      <c r="E494" s="680">
        <f t="shared" si="154"/>
        <v>248.93530506987395</v>
      </c>
      <c r="F494" s="680">
        <f t="shared" si="154"/>
        <v>536.73465020223853</v>
      </c>
      <c r="G494" s="680">
        <f t="shared" si="154"/>
        <v>42.901106426691207</v>
      </c>
      <c r="H494" s="680">
        <f t="shared" si="154"/>
        <v>781.13296381107284</v>
      </c>
      <c r="I494" s="680">
        <f t="shared" si="154"/>
        <v>200.6170308387014</v>
      </c>
      <c r="J494" s="513">
        <f t="shared" si="148"/>
        <v>20023.016371690886</v>
      </c>
      <c r="K494" s="677">
        <v>2</v>
      </c>
      <c r="L494" s="680">
        <f t="shared" si="150"/>
        <v>10011.508185845443</v>
      </c>
      <c r="M494" s="668">
        <v>9449</v>
      </c>
      <c r="N494" s="668"/>
      <c r="O494" s="556" t="s">
        <v>467</v>
      </c>
      <c r="P494" s="709">
        <v>40897</v>
      </c>
      <c r="Q494" s="670"/>
      <c r="R494" s="572">
        <v>1</v>
      </c>
      <c r="S494" s="296">
        <v>17427</v>
      </c>
      <c r="T494" s="513">
        <f t="shared" si="151"/>
        <v>17427</v>
      </c>
      <c r="U494" s="537"/>
      <c r="V494" s="672"/>
      <c r="W494" s="496"/>
      <c r="X494" s="296"/>
      <c r="Y494" s="513">
        <f t="shared" si="152"/>
        <v>0</v>
      </c>
    </row>
    <row r="495" spans="1:25" ht="16.5" customHeight="1">
      <c r="A495" s="564">
        <f t="shared" si="146"/>
        <v>156</v>
      </c>
      <c r="B495" s="573" t="s">
        <v>1298</v>
      </c>
      <c r="C495" s="513">
        <f t="shared" si="147"/>
        <v>32878</v>
      </c>
      <c r="D495" s="680">
        <f t="shared" si="154"/>
        <v>1966.7382883557686</v>
      </c>
      <c r="E495" s="680">
        <f t="shared" si="154"/>
        <v>622.33826267468487</v>
      </c>
      <c r="F495" s="680">
        <f t="shared" si="154"/>
        <v>1341.8366255055962</v>
      </c>
      <c r="G495" s="680">
        <f t="shared" si="154"/>
        <v>107.25276606672801</v>
      </c>
      <c r="H495" s="680">
        <f t="shared" si="154"/>
        <v>1952.8324095276821</v>
      </c>
      <c r="I495" s="680">
        <f t="shared" si="154"/>
        <v>501.54257709675346</v>
      </c>
      <c r="J495" s="513">
        <f t="shared" si="148"/>
        <v>39369.540929227209</v>
      </c>
      <c r="K495" s="677">
        <v>5</v>
      </c>
      <c r="L495" s="680">
        <f t="shared" si="150"/>
        <v>7873.9081858454419</v>
      </c>
      <c r="M495" s="668">
        <v>8637</v>
      </c>
      <c r="N495" s="668"/>
      <c r="O495" s="567" t="s">
        <v>622</v>
      </c>
      <c r="P495" s="709">
        <v>40897</v>
      </c>
      <c r="Q495" s="670"/>
      <c r="R495" s="572">
        <v>1</v>
      </c>
      <c r="S495" s="296">
        <v>32878</v>
      </c>
      <c r="T495" s="513">
        <f t="shared" si="151"/>
        <v>32878</v>
      </c>
      <c r="U495" s="537"/>
      <c r="V495" s="672"/>
      <c r="W495" s="496"/>
      <c r="X495" s="296"/>
      <c r="Y495" s="513">
        <f t="shared" si="152"/>
        <v>0</v>
      </c>
    </row>
    <row r="496" spans="1:25" ht="16.5" customHeight="1">
      <c r="A496" s="564">
        <f t="shared" si="146"/>
        <v>157</v>
      </c>
      <c r="B496" s="573" t="s">
        <v>724</v>
      </c>
      <c r="C496" s="513">
        <f t="shared" si="147"/>
        <v>349272</v>
      </c>
      <c r="D496" s="680">
        <f t="shared" si="154"/>
        <v>12980.472703148074</v>
      </c>
      <c r="E496" s="680">
        <f t="shared" si="154"/>
        <v>4107.43253365292</v>
      </c>
      <c r="F496" s="680">
        <f t="shared" si="154"/>
        <v>8856.1217283369351</v>
      </c>
      <c r="G496" s="680">
        <f t="shared" si="154"/>
        <v>707.86825604040496</v>
      </c>
      <c r="H496" s="680">
        <f t="shared" si="154"/>
        <v>12888.693902882702</v>
      </c>
      <c r="I496" s="680">
        <f t="shared" si="154"/>
        <v>3310.1810088385732</v>
      </c>
      <c r="J496" s="513">
        <f t="shared" si="148"/>
        <v>392121.77013289963</v>
      </c>
      <c r="K496" s="677">
        <v>33</v>
      </c>
      <c r="L496" s="680">
        <f t="shared" si="150"/>
        <v>11882.477882815141</v>
      </c>
      <c r="M496" s="668">
        <v>12946</v>
      </c>
      <c r="N496" s="668"/>
      <c r="O496" s="567" t="s">
        <v>617</v>
      </c>
      <c r="P496" s="709">
        <v>40897</v>
      </c>
      <c r="Q496" s="670"/>
      <c r="R496" s="572">
        <v>11</v>
      </c>
      <c r="S496" s="296">
        <v>31752</v>
      </c>
      <c r="T496" s="513">
        <f t="shared" si="151"/>
        <v>349272</v>
      </c>
      <c r="U496" s="537"/>
      <c r="V496" s="672"/>
      <c r="W496" s="496"/>
      <c r="X496" s="296"/>
      <c r="Y496" s="513">
        <f t="shared" si="152"/>
        <v>0</v>
      </c>
    </row>
    <row r="497" spans="1:25" ht="16.5" customHeight="1">
      <c r="A497" s="564">
        <f t="shared" si="146"/>
        <v>158</v>
      </c>
      <c r="B497" s="573" t="s">
        <v>1299</v>
      </c>
      <c r="C497" s="513">
        <f t="shared" si="147"/>
        <v>1977885</v>
      </c>
      <c r="D497" s="680">
        <f t="shared" si="154"/>
        <v>57822.105677659601</v>
      </c>
      <c r="E497" s="680">
        <f t="shared" si="154"/>
        <v>18296.744922635735</v>
      </c>
      <c r="F497" s="680">
        <f t="shared" si="154"/>
        <v>39449.996789864534</v>
      </c>
      <c r="G497" s="680">
        <f t="shared" si="154"/>
        <v>3153.2313223618039</v>
      </c>
      <c r="H497" s="680">
        <f t="shared" si="154"/>
        <v>57413.272840113852</v>
      </c>
      <c r="I497" s="680">
        <f t="shared" si="154"/>
        <v>14745.351766644553</v>
      </c>
      <c r="J497" s="513">
        <f t="shared" si="148"/>
        <v>2168764.7033192804</v>
      </c>
      <c r="K497" s="677">
        <v>147</v>
      </c>
      <c r="L497" s="680">
        <f t="shared" si="150"/>
        <v>14753.501383124356</v>
      </c>
      <c r="M497" s="668">
        <v>14013</v>
      </c>
      <c r="N497" s="668"/>
      <c r="O497" s="567" t="s">
        <v>632</v>
      </c>
      <c r="P497" s="709">
        <v>40897</v>
      </c>
      <c r="Q497" s="670"/>
      <c r="R497" s="572">
        <f>K497</f>
        <v>147</v>
      </c>
      <c r="S497" s="296">
        <v>13455</v>
      </c>
      <c r="T497" s="513">
        <f t="shared" si="151"/>
        <v>1977885</v>
      </c>
      <c r="U497" s="537"/>
      <c r="V497" s="672"/>
      <c r="W497" s="496"/>
      <c r="X497" s="296"/>
      <c r="Y497" s="513">
        <f t="shared" si="152"/>
        <v>0</v>
      </c>
    </row>
    <row r="498" spans="1:25" ht="16.5" customHeight="1">
      <c r="A498" s="564">
        <f t="shared" si="146"/>
        <v>159</v>
      </c>
      <c r="B498" s="573" t="s">
        <v>1300</v>
      </c>
      <c r="C498" s="513">
        <f t="shared" si="147"/>
        <v>699660</v>
      </c>
      <c r="D498" s="680">
        <f t="shared" si="154"/>
        <v>20454.078198899995</v>
      </c>
      <c r="E498" s="680">
        <f t="shared" si="154"/>
        <v>6472.3179318167222</v>
      </c>
      <c r="F498" s="680">
        <f t="shared" si="154"/>
        <v>13955.100905258201</v>
      </c>
      <c r="G498" s="680">
        <f t="shared" si="154"/>
        <v>1115.4287670939714</v>
      </c>
      <c r="H498" s="680">
        <f t="shared" si="154"/>
        <v>20309.457059087894</v>
      </c>
      <c r="I498" s="680">
        <f t="shared" si="154"/>
        <v>5216.0428018062366</v>
      </c>
      <c r="J498" s="513">
        <f t="shared" si="148"/>
        <v>767181.42566396296</v>
      </c>
      <c r="K498" s="677">
        <v>52</v>
      </c>
      <c r="L498" s="680">
        <f t="shared" si="150"/>
        <v>14753.488955076211</v>
      </c>
      <c r="M498" s="668">
        <v>17521</v>
      </c>
      <c r="N498" s="668"/>
      <c r="O498" s="567" t="s">
        <v>632</v>
      </c>
      <c r="P498" s="709">
        <v>40897</v>
      </c>
      <c r="Q498" s="670"/>
      <c r="R498" s="572">
        <f>K498</f>
        <v>52</v>
      </c>
      <c r="S498" s="296">
        <v>13455</v>
      </c>
      <c r="T498" s="513">
        <f t="shared" si="151"/>
        <v>699660</v>
      </c>
      <c r="U498" s="537"/>
      <c r="V498" s="672"/>
      <c r="W498" s="496"/>
      <c r="X498" s="296"/>
      <c r="Y498" s="513">
        <f t="shared" si="152"/>
        <v>0</v>
      </c>
    </row>
    <row r="499" spans="1:25" ht="16.5" customHeight="1">
      <c r="A499" s="564">
        <f t="shared" si="146"/>
        <v>160</v>
      </c>
      <c r="B499" s="573" t="s">
        <v>1301</v>
      </c>
      <c r="C499" s="513">
        <f t="shared" si="147"/>
        <v>1006622</v>
      </c>
      <c r="D499" s="680">
        <f t="shared" si="154"/>
        <v>23994.207117940379</v>
      </c>
      <c r="E499" s="680">
        <f t="shared" si="154"/>
        <v>7592.5268046311558</v>
      </c>
      <c r="F499" s="680">
        <f t="shared" si="154"/>
        <v>16370.406831168275</v>
      </c>
      <c r="G499" s="680">
        <f t="shared" si="154"/>
        <v>1308.4837460140818</v>
      </c>
      <c r="H499" s="680">
        <f t="shared" si="154"/>
        <v>23824.555396237723</v>
      </c>
      <c r="I499" s="680">
        <f t="shared" si="154"/>
        <v>6118.8194405803924</v>
      </c>
      <c r="J499" s="513">
        <f t="shared" si="148"/>
        <v>1085829.9993365719</v>
      </c>
      <c r="K499" s="677">
        <v>61</v>
      </c>
      <c r="L499" s="680">
        <f t="shared" si="150"/>
        <v>17800.49179240282</v>
      </c>
      <c r="M499" s="668">
        <v>18867</v>
      </c>
      <c r="N499" s="668"/>
      <c r="O499" s="567" t="s">
        <v>626</v>
      </c>
      <c r="P499" s="709">
        <v>40897</v>
      </c>
      <c r="Q499" s="670"/>
      <c r="R499" s="572">
        <v>61</v>
      </c>
      <c r="S499" s="296">
        <v>16502</v>
      </c>
      <c r="T499" s="513">
        <f t="shared" si="151"/>
        <v>1006622</v>
      </c>
      <c r="U499" s="537"/>
      <c r="V499" s="672"/>
      <c r="W499" s="496"/>
      <c r="X499" s="296"/>
      <c r="Y499" s="513">
        <f t="shared" si="152"/>
        <v>0</v>
      </c>
    </row>
    <row r="500" spans="1:25" ht="16.5" customHeight="1">
      <c r="A500" s="564">
        <f t="shared" si="146"/>
        <v>161</v>
      </c>
      <c r="B500" s="573" t="s">
        <v>1302</v>
      </c>
      <c r="C500" s="513">
        <f t="shared" si="147"/>
        <v>8398655</v>
      </c>
      <c r="D500" s="680">
        <f t="shared" ref="D500:I509" si="155">IF($K$582&lt;&gt;0,D$582/$K$582*$K500,0)</f>
        <v>198640.56712393265</v>
      </c>
      <c r="E500" s="680">
        <f t="shared" si="155"/>
        <v>62856.164530143171</v>
      </c>
      <c r="F500" s="680">
        <f t="shared" si="155"/>
        <v>135525.49917606523</v>
      </c>
      <c r="G500" s="680">
        <f t="shared" si="155"/>
        <v>10832.529372739529</v>
      </c>
      <c r="H500" s="680">
        <f t="shared" si="155"/>
        <v>197236.07336229589</v>
      </c>
      <c r="I500" s="680">
        <f t="shared" si="155"/>
        <v>50655.800286772101</v>
      </c>
      <c r="J500" s="513">
        <f t="shared" si="148"/>
        <v>9054400.6338519473</v>
      </c>
      <c r="K500" s="677">
        <v>505</v>
      </c>
      <c r="L500" s="680">
        <f t="shared" si="150"/>
        <v>17929.50620564742</v>
      </c>
      <c r="M500" s="668">
        <v>18984</v>
      </c>
      <c r="N500" s="668"/>
      <c r="O500" s="567" t="s">
        <v>633</v>
      </c>
      <c r="P500" s="709">
        <v>40897</v>
      </c>
      <c r="Q500" s="670"/>
      <c r="R500" s="572">
        <f>K500</f>
        <v>505</v>
      </c>
      <c r="S500" s="296">
        <v>16631</v>
      </c>
      <c r="T500" s="513">
        <f t="shared" si="151"/>
        <v>8398655</v>
      </c>
      <c r="U500" s="537"/>
      <c r="V500" s="672"/>
      <c r="W500" s="496"/>
      <c r="X500" s="296"/>
      <c r="Y500" s="513">
        <f t="shared" si="152"/>
        <v>0</v>
      </c>
    </row>
    <row r="501" spans="1:25" ht="16.5" customHeight="1">
      <c r="A501" s="564">
        <f t="shared" si="146"/>
        <v>162</v>
      </c>
      <c r="B501" s="573" t="s">
        <v>1303</v>
      </c>
      <c r="C501" s="513">
        <f t="shared" si="147"/>
        <v>607194</v>
      </c>
      <c r="D501" s="680">
        <f t="shared" si="155"/>
        <v>23994.207117940379</v>
      </c>
      <c r="E501" s="680">
        <f t="shared" si="155"/>
        <v>7592.5268046311558</v>
      </c>
      <c r="F501" s="680">
        <f t="shared" si="155"/>
        <v>16370.406831168275</v>
      </c>
      <c r="G501" s="680">
        <f t="shared" si="155"/>
        <v>1308.4837460140818</v>
      </c>
      <c r="H501" s="680">
        <f t="shared" si="155"/>
        <v>23824.555396237723</v>
      </c>
      <c r="I501" s="680">
        <f t="shared" si="155"/>
        <v>6118.8194405803924</v>
      </c>
      <c r="J501" s="513">
        <f t="shared" si="148"/>
        <v>686401.99933657201</v>
      </c>
      <c r="K501" s="677">
        <v>61</v>
      </c>
      <c r="L501" s="680">
        <f t="shared" si="150"/>
        <v>11252.49179240282</v>
      </c>
      <c r="M501" s="668">
        <v>12799</v>
      </c>
      <c r="N501" s="668"/>
      <c r="O501" s="556" t="s">
        <v>607</v>
      </c>
      <c r="P501" s="709">
        <v>40897</v>
      </c>
      <c r="Q501" s="670"/>
      <c r="R501" s="572">
        <f>K501</f>
        <v>61</v>
      </c>
      <c r="S501" s="296">
        <v>9954</v>
      </c>
      <c r="T501" s="513">
        <f t="shared" si="151"/>
        <v>607194</v>
      </c>
      <c r="U501" s="537"/>
      <c r="V501" s="672"/>
      <c r="W501" s="496"/>
      <c r="X501" s="296"/>
      <c r="Y501" s="513">
        <f t="shared" si="152"/>
        <v>0</v>
      </c>
    </row>
    <row r="502" spans="1:25" ht="16.5" customHeight="1">
      <c r="A502" s="564">
        <f t="shared" si="146"/>
        <v>163</v>
      </c>
      <c r="B502" s="573" t="s">
        <v>723</v>
      </c>
      <c r="C502" s="513">
        <f t="shared" si="147"/>
        <v>34854</v>
      </c>
      <c r="D502" s="680">
        <f t="shared" si="155"/>
        <v>1573.390630684615</v>
      </c>
      <c r="E502" s="680">
        <f t="shared" si="155"/>
        <v>497.8706101397479</v>
      </c>
      <c r="F502" s="680">
        <f t="shared" si="155"/>
        <v>1073.4693004044771</v>
      </c>
      <c r="G502" s="680">
        <f t="shared" si="155"/>
        <v>85.802212853382414</v>
      </c>
      <c r="H502" s="680">
        <f t="shared" si="155"/>
        <v>1562.2659276221457</v>
      </c>
      <c r="I502" s="680">
        <f t="shared" si="155"/>
        <v>401.23406167740279</v>
      </c>
      <c r="J502" s="513">
        <f t="shared" si="148"/>
        <v>40047.032743381773</v>
      </c>
      <c r="K502" s="677">
        <v>4</v>
      </c>
      <c r="L502" s="680">
        <f t="shared" si="150"/>
        <v>10011.758185845443</v>
      </c>
      <c r="M502" s="668">
        <v>11321</v>
      </c>
      <c r="N502" s="668"/>
      <c r="O502" s="556" t="s">
        <v>467</v>
      </c>
      <c r="P502" s="709">
        <v>40897</v>
      </c>
      <c r="Q502" s="670"/>
      <c r="R502" s="572">
        <v>2</v>
      </c>
      <c r="S502" s="296">
        <v>17427</v>
      </c>
      <c r="T502" s="513">
        <f t="shared" si="151"/>
        <v>34854</v>
      </c>
      <c r="U502" s="537"/>
      <c r="V502" s="672"/>
      <c r="W502" s="496"/>
      <c r="X502" s="296"/>
      <c r="Y502" s="513">
        <f t="shared" si="152"/>
        <v>0</v>
      </c>
    </row>
    <row r="503" spans="1:25" ht="16.5" customHeight="1">
      <c r="A503" s="564">
        <f t="shared" si="146"/>
        <v>164</v>
      </c>
      <c r="B503" s="573" t="s">
        <v>1304</v>
      </c>
      <c r="C503" s="513">
        <f t="shared" si="147"/>
        <v>278832</v>
      </c>
      <c r="D503" s="680">
        <f t="shared" si="155"/>
        <v>6293.5625227384598</v>
      </c>
      <c r="E503" s="680">
        <f t="shared" si="155"/>
        <v>1991.4824405589916</v>
      </c>
      <c r="F503" s="680">
        <f t="shared" si="155"/>
        <v>4293.8772016179082</v>
      </c>
      <c r="G503" s="680">
        <f t="shared" si="155"/>
        <v>343.20885141352966</v>
      </c>
      <c r="H503" s="680">
        <f t="shared" si="155"/>
        <v>6249.0637104885827</v>
      </c>
      <c r="I503" s="680">
        <f t="shared" si="155"/>
        <v>1604.9362467096112</v>
      </c>
      <c r="J503" s="513">
        <f t="shared" si="148"/>
        <v>299607.13097352715</v>
      </c>
      <c r="K503" s="677">
        <v>16</v>
      </c>
      <c r="L503" s="680">
        <f t="shared" si="150"/>
        <v>18725.445685845447</v>
      </c>
      <c r="M503" s="668">
        <v>18928</v>
      </c>
      <c r="N503" s="668"/>
      <c r="O503" s="556" t="s">
        <v>467</v>
      </c>
      <c r="P503" s="709">
        <v>40897</v>
      </c>
      <c r="Q503" s="670"/>
      <c r="R503" s="572">
        <f>K503</f>
        <v>16</v>
      </c>
      <c r="S503" s="296">
        <v>17427</v>
      </c>
      <c r="T503" s="513">
        <f t="shared" si="151"/>
        <v>278832</v>
      </c>
      <c r="U503" s="537"/>
      <c r="V503" s="672"/>
      <c r="W503" s="496"/>
      <c r="X503" s="296"/>
      <c r="Y503" s="513">
        <f t="shared" si="152"/>
        <v>0</v>
      </c>
    </row>
    <row r="504" spans="1:25" ht="16.5" customHeight="1">
      <c r="A504" s="564">
        <f t="shared" si="146"/>
        <v>165</v>
      </c>
      <c r="B504" s="573" t="s">
        <v>1305</v>
      </c>
      <c r="C504" s="513">
        <f t="shared" si="147"/>
        <v>154430</v>
      </c>
      <c r="D504" s="680">
        <f t="shared" si="155"/>
        <v>3933.4765767115373</v>
      </c>
      <c r="E504" s="680">
        <f t="shared" si="155"/>
        <v>1244.6765253493697</v>
      </c>
      <c r="F504" s="680">
        <f t="shared" si="155"/>
        <v>2683.6732510111924</v>
      </c>
      <c r="G504" s="680">
        <f t="shared" si="155"/>
        <v>214.50553213345603</v>
      </c>
      <c r="H504" s="680">
        <f t="shared" si="155"/>
        <v>3905.6648190553642</v>
      </c>
      <c r="I504" s="680">
        <f t="shared" si="155"/>
        <v>1003.0851541935069</v>
      </c>
      <c r="J504" s="513">
        <f t="shared" si="148"/>
        <v>167414.08185845445</v>
      </c>
      <c r="K504" s="677">
        <v>10</v>
      </c>
      <c r="L504" s="680">
        <f t="shared" si="150"/>
        <v>16741.408185845445</v>
      </c>
      <c r="M504" s="668">
        <v>15524</v>
      </c>
      <c r="N504" s="668"/>
      <c r="O504" s="567" t="s">
        <v>627</v>
      </c>
      <c r="P504" s="709">
        <v>40897</v>
      </c>
      <c r="Q504" s="670"/>
      <c r="R504" s="572">
        <f>K504</f>
        <v>10</v>
      </c>
      <c r="S504" s="296">
        <v>15443</v>
      </c>
      <c r="T504" s="513">
        <f t="shared" si="151"/>
        <v>154430</v>
      </c>
      <c r="U504" s="537"/>
      <c r="V504" s="672"/>
      <c r="W504" s="496"/>
      <c r="X504" s="296"/>
      <c r="Y504" s="513">
        <f t="shared" si="152"/>
        <v>0</v>
      </c>
    </row>
    <row r="505" spans="1:25" ht="16.5" customHeight="1">
      <c r="A505" s="564">
        <f t="shared" si="146"/>
        <v>166</v>
      </c>
      <c r="B505" s="573" t="s">
        <v>1306</v>
      </c>
      <c r="C505" s="513">
        <f t="shared" si="147"/>
        <v>2737530</v>
      </c>
      <c r="D505" s="680">
        <f t="shared" si="155"/>
        <v>52708.586127934599</v>
      </c>
      <c r="E505" s="680">
        <f t="shared" si="155"/>
        <v>16678.665439681554</v>
      </c>
      <c r="F505" s="680">
        <f t="shared" si="155"/>
        <v>35961.221563549982</v>
      </c>
      <c r="G505" s="680">
        <f t="shared" si="155"/>
        <v>2874.3741305883109</v>
      </c>
      <c r="H505" s="680">
        <f t="shared" si="155"/>
        <v>52335.908575341877</v>
      </c>
      <c r="I505" s="680">
        <f t="shared" si="155"/>
        <v>13441.341066192994</v>
      </c>
      <c r="J505" s="513">
        <f t="shared" si="148"/>
        <v>2911529.0969032897</v>
      </c>
      <c r="K505" s="677">
        <v>134</v>
      </c>
      <c r="L505" s="680">
        <f t="shared" si="150"/>
        <v>21727.829081367832</v>
      </c>
      <c r="M505" s="668">
        <v>24159</v>
      </c>
      <c r="N505" s="668"/>
      <c r="O505" s="567" t="s">
        <v>619</v>
      </c>
      <c r="P505" s="709">
        <v>40897</v>
      </c>
      <c r="Q505" s="670"/>
      <c r="R505" s="572">
        <v>135</v>
      </c>
      <c r="S505" s="296">
        <v>20278</v>
      </c>
      <c r="T505" s="513">
        <f t="shared" si="151"/>
        <v>2737530</v>
      </c>
      <c r="U505" s="537"/>
      <c r="V505" s="672"/>
      <c r="W505" s="496"/>
      <c r="X505" s="296"/>
      <c r="Y505" s="513">
        <f t="shared" si="152"/>
        <v>0</v>
      </c>
    </row>
    <row r="506" spans="1:25" ht="16.5" customHeight="1">
      <c r="A506" s="564">
        <f t="shared" si="146"/>
        <v>167</v>
      </c>
      <c r="B506" s="573" t="s">
        <v>1215</v>
      </c>
      <c r="C506" s="513">
        <f t="shared" si="147"/>
        <v>3000465</v>
      </c>
      <c r="D506" s="680">
        <f t="shared" si="155"/>
        <v>87716.527660667285</v>
      </c>
      <c r="E506" s="680">
        <f t="shared" si="155"/>
        <v>27756.286515290943</v>
      </c>
      <c r="F506" s="680">
        <f t="shared" si="155"/>
        <v>59845.913497549598</v>
      </c>
      <c r="G506" s="680">
        <f t="shared" si="155"/>
        <v>4783.4733665760696</v>
      </c>
      <c r="H506" s="680">
        <f t="shared" si="155"/>
        <v>87096.32546493462</v>
      </c>
      <c r="I506" s="680">
        <f t="shared" si="155"/>
        <v>22368.798938515207</v>
      </c>
      <c r="J506" s="513">
        <f t="shared" si="148"/>
        <v>3290031.3254435337</v>
      </c>
      <c r="K506" s="677">
        <v>223</v>
      </c>
      <c r="L506" s="680">
        <f t="shared" si="150"/>
        <v>14753.503701540511</v>
      </c>
      <c r="M506" s="668">
        <v>14535</v>
      </c>
      <c r="N506" s="668"/>
      <c r="O506" s="567" t="s">
        <v>632</v>
      </c>
      <c r="P506" s="709">
        <v>40897</v>
      </c>
      <c r="Q506" s="670"/>
      <c r="R506" s="572">
        <f t="shared" ref="R506:R514" si="156">K506</f>
        <v>223</v>
      </c>
      <c r="S506" s="296">
        <v>13455</v>
      </c>
      <c r="T506" s="513">
        <f t="shared" si="151"/>
        <v>3000465</v>
      </c>
      <c r="U506" s="537"/>
      <c r="V506" s="672"/>
      <c r="W506" s="496"/>
      <c r="X506" s="296"/>
      <c r="Y506" s="513">
        <f t="shared" si="152"/>
        <v>0</v>
      </c>
    </row>
    <row r="507" spans="1:25" ht="16.5" customHeight="1">
      <c r="A507" s="564">
        <f t="shared" si="146"/>
        <v>168</v>
      </c>
      <c r="B507" s="573" t="s">
        <v>1307</v>
      </c>
      <c r="C507" s="513">
        <f t="shared" si="147"/>
        <v>173740</v>
      </c>
      <c r="D507" s="680">
        <f t="shared" si="155"/>
        <v>3933.4765767115373</v>
      </c>
      <c r="E507" s="680">
        <f t="shared" si="155"/>
        <v>1244.6765253493697</v>
      </c>
      <c r="F507" s="680">
        <f t="shared" si="155"/>
        <v>2683.6732510111924</v>
      </c>
      <c r="G507" s="680">
        <f t="shared" si="155"/>
        <v>214.50553213345603</v>
      </c>
      <c r="H507" s="680">
        <f t="shared" si="155"/>
        <v>3905.6648190553642</v>
      </c>
      <c r="I507" s="680">
        <f t="shared" si="155"/>
        <v>1003.0851541935069</v>
      </c>
      <c r="J507" s="513">
        <f t="shared" si="148"/>
        <v>186724.08185845445</v>
      </c>
      <c r="K507" s="677">
        <v>10</v>
      </c>
      <c r="L507" s="680">
        <f t="shared" si="150"/>
        <v>18672.408185845445</v>
      </c>
      <c r="M507" s="668">
        <v>19562</v>
      </c>
      <c r="N507" s="668"/>
      <c r="O507" s="567" t="s">
        <v>575</v>
      </c>
      <c r="P507" s="709">
        <v>40897</v>
      </c>
      <c r="Q507" s="670"/>
      <c r="R507" s="572">
        <f t="shared" si="156"/>
        <v>10</v>
      </c>
      <c r="S507" s="300">
        <v>17374</v>
      </c>
      <c r="T507" s="513">
        <f t="shared" si="151"/>
        <v>173740</v>
      </c>
      <c r="U507" s="537"/>
      <c r="V507" s="672"/>
      <c r="W507" s="496"/>
      <c r="X507" s="296"/>
      <c r="Y507" s="513">
        <f t="shared" si="152"/>
        <v>0</v>
      </c>
    </row>
    <row r="508" spans="1:25" ht="16.5" customHeight="1">
      <c r="A508" s="564">
        <f t="shared" si="146"/>
        <v>169</v>
      </c>
      <c r="B508" s="573" t="s">
        <v>1212</v>
      </c>
      <c r="C508" s="513">
        <f t="shared" si="147"/>
        <v>308860</v>
      </c>
      <c r="D508" s="680">
        <f t="shared" si="155"/>
        <v>7866.9531534230746</v>
      </c>
      <c r="E508" s="680">
        <f t="shared" si="155"/>
        <v>2489.3530506987395</v>
      </c>
      <c r="F508" s="680">
        <f t="shared" si="155"/>
        <v>5367.3465020223848</v>
      </c>
      <c r="G508" s="680">
        <f t="shared" si="155"/>
        <v>429.01106426691206</v>
      </c>
      <c r="H508" s="680">
        <f t="shared" si="155"/>
        <v>7811.3296381107284</v>
      </c>
      <c r="I508" s="680">
        <f t="shared" si="155"/>
        <v>2006.1703083870138</v>
      </c>
      <c r="J508" s="513">
        <f t="shared" si="148"/>
        <v>334829.16371690889</v>
      </c>
      <c r="K508" s="677">
        <v>20</v>
      </c>
      <c r="L508" s="680">
        <f t="shared" si="150"/>
        <v>16741.458185845444</v>
      </c>
      <c r="M508" s="668">
        <v>16832</v>
      </c>
      <c r="N508" s="668"/>
      <c r="O508" s="567" t="s">
        <v>627</v>
      </c>
      <c r="P508" s="709">
        <v>40897</v>
      </c>
      <c r="Q508" s="670"/>
      <c r="R508" s="572">
        <f t="shared" si="156"/>
        <v>20</v>
      </c>
      <c r="S508" s="296">
        <v>15443</v>
      </c>
      <c r="T508" s="513">
        <f t="shared" si="151"/>
        <v>308860</v>
      </c>
      <c r="U508" s="537"/>
      <c r="V508" s="672"/>
      <c r="W508" s="496"/>
      <c r="X508" s="296"/>
      <c r="Y508" s="513">
        <f t="shared" si="152"/>
        <v>0</v>
      </c>
    </row>
    <row r="509" spans="1:25" ht="16.5" customHeight="1">
      <c r="A509" s="564">
        <f t="shared" si="146"/>
        <v>170</v>
      </c>
      <c r="B509" s="573" t="s">
        <v>1243</v>
      </c>
      <c r="C509" s="513">
        <f t="shared" si="147"/>
        <v>26910</v>
      </c>
      <c r="D509" s="680">
        <f t="shared" si="155"/>
        <v>786.69531534230748</v>
      </c>
      <c r="E509" s="680">
        <f t="shared" si="155"/>
        <v>248.93530506987395</v>
      </c>
      <c r="F509" s="680">
        <f t="shared" si="155"/>
        <v>536.73465020223853</v>
      </c>
      <c r="G509" s="680">
        <f t="shared" si="155"/>
        <v>42.901106426691207</v>
      </c>
      <c r="H509" s="680">
        <f t="shared" si="155"/>
        <v>781.13296381107284</v>
      </c>
      <c r="I509" s="680">
        <f t="shared" si="155"/>
        <v>200.6170308387014</v>
      </c>
      <c r="J509" s="513">
        <f t="shared" si="148"/>
        <v>29506.016371690886</v>
      </c>
      <c r="K509" s="677">
        <v>2</v>
      </c>
      <c r="L509" s="680">
        <f t="shared" si="150"/>
        <v>14753.008185845443</v>
      </c>
      <c r="M509" s="668">
        <v>14836</v>
      </c>
      <c r="N509" s="668"/>
      <c r="O509" s="567" t="s">
        <v>632</v>
      </c>
      <c r="P509" s="709">
        <v>40897</v>
      </c>
      <c r="Q509" s="670"/>
      <c r="R509" s="572">
        <f t="shared" si="156"/>
        <v>2</v>
      </c>
      <c r="S509" s="296">
        <v>13455</v>
      </c>
      <c r="T509" s="513">
        <f t="shared" si="151"/>
        <v>26910</v>
      </c>
      <c r="U509" s="537"/>
      <c r="V509" s="672"/>
      <c r="W509" s="496"/>
      <c r="X509" s="296"/>
      <c r="Y509" s="513">
        <f t="shared" si="152"/>
        <v>0</v>
      </c>
    </row>
    <row r="510" spans="1:25" ht="16.5" customHeight="1">
      <c r="A510" s="564">
        <f t="shared" si="146"/>
        <v>171</v>
      </c>
      <c r="B510" s="573" t="s">
        <v>1308</v>
      </c>
      <c r="C510" s="513">
        <f t="shared" si="147"/>
        <v>6584746</v>
      </c>
      <c r="D510" s="680">
        <f t="shared" ref="D510:I519" si="157">IF($K$582&lt;&gt;0,D$582/$K$582*$K510,0)</f>
        <v>149078.76225736726</v>
      </c>
      <c r="E510" s="680">
        <f t="shared" si="157"/>
        <v>47173.240310741116</v>
      </c>
      <c r="F510" s="680">
        <f t="shared" si="157"/>
        <v>101711.21621332419</v>
      </c>
      <c r="G510" s="680">
        <f t="shared" si="157"/>
        <v>8129.7596678579839</v>
      </c>
      <c r="H510" s="680">
        <f t="shared" si="157"/>
        <v>148024.69664219831</v>
      </c>
      <c r="I510" s="680">
        <f t="shared" si="157"/>
        <v>38016.927343933916</v>
      </c>
      <c r="J510" s="513">
        <f t="shared" si="148"/>
        <v>7076879.6024354221</v>
      </c>
      <c r="K510" s="677">
        <v>379</v>
      </c>
      <c r="L510" s="680">
        <f t="shared" si="150"/>
        <v>18672.505547323013</v>
      </c>
      <c r="M510" s="668">
        <v>22739</v>
      </c>
      <c r="N510" s="668"/>
      <c r="O510" s="567" t="s">
        <v>575</v>
      </c>
      <c r="P510" s="709">
        <v>40897</v>
      </c>
      <c r="Q510" s="670"/>
      <c r="R510" s="572">
        <f t="shared" si="156"/>
        <v>379</v>
      </c>
      <c r="S510" s="296">
        <v>17374</v>
      </c>
      <c r="T510" s="513">
        <f t="shared" si="151"/>
        <v>6584746</v>
      </c>
      <c r="U510" s="537"/>
      <c r="V510" s="672"/>
      <c r="W510" s="496"/>
      <c r="X510" s="296"/>
      <c r="Y510" s="513">
        <f t="shared" si="152"/>
        <v>0</v>
      </c>
    </row>
    <row r="511" spans="1:25" ht="16.5" customHeight="1">
      <c r="A511" s="564">
        <f t="shared" si="146"/>
        <v>172</v>
      </c>
      <c r="B511" s="573" t="s">
        <v>1309</v>
      </c>
      <c r="C511" s="513">
        <f t="shared" si="147"/>
        <v>1363742</v>
      </c>
      <c r="D511" s="680">
        <f t="shared" si="157"/>
        <v>32254.507929034608</v>
      </c>
      <c r="E511" s="680">
        <f t="shared" si="157"/>
        <v>10206.347507864832</v>
      </c>
      <c r="F511" s="680">
        <f t="shared" si="157"/>
        <v>22006.12065829178</v>
      </c>
      <c r="G511" s="680">
        <f t="shared" si="157"/>
        <v>1758.9453634943395</v>
      </c>
      <c r="H511" s="680">
        <f t="shared" si="157"/>
        <v>32026.451516253986</v>
      </c>
      <c r="I511" s="680">
        <f t="shared" si="157"/>
        <v>8225.2982643867581</v>
      </c>
      <c r="J511" s="513">
        <f t="shared" si="148"/>
        <v>1470218.6712393262</v>
      </c>
      <c r="K511" s="677">
        <v>82</v>
      </c>
      <c r="L511" s="680">
        <f t="shared" si="150"/>
        <v>17929.495990723492</v>
      </c>
      <c r="M511" s="668">
        <v>23012</v>
      </c>
      <c r="N511" s="668"/>
      <c r="O511" s="567" t="s">
        <v>633</v>
      </c>
      <c r="P511" s="709">
        <v>40897</v>
      </c>
      <c r="Q511" s="670"/>
      <c r="R511" s="572">
        <f t="shared" si="156"/>
        <v>82</v>
      </c>
      <c r="S511" s="296">
        <v>16631</v>
      </c>
      <c r="T511" s="513">
        <f t="shared" si="151"/>
        <v>1363742</v>
      </c>
      <c r="U511" s="537"/>
      <c r="V511" s="672"/>
      <c r="W511" s="496"/>
      <c r="X511" s="296"/>
      <c r="Y511" s="513">
        <f t="shared" si="152"/>
        <v>0</v>
      </c>
    </row>
    <row r="512" spans="1:25" ht="16.5" customHeight="1">
      <c r="A512" s="564">
        <f t="shared" si="146"/>
        <v>173</v>
      </c>
      <c r="B512" s="573" t="s">
        <v>1310</v>
      </c>
      <c r="C512" s="513">
        <f t="shared" si="147"/>
        <v>968760</v>
      </c>
      <c r="D512" s="680">
        <f t="shared" si="157"/>
        <v>28321.031352323069</v>
      </c>
      <c r="E512" s="680">
        <f t="shared" si="157"/>
        <v>8961.6709825154612</v>
      </c>
      <c r="F512" s="680">
        <f t="shared" si="157"/>
        <v>19322.447407280586</v>
      </c>
      <c r="G512" s="680">
        <f t="shared" si="157"/>
        <v>1544.4398313608835</v>
      </c>
      <c r="H512" s="680">
        <f t="shared" si="157"/>
        <v>28120.786697198622</v>
      </c>
      <c r="I512" s="680">
        <f t="shared" si="157"/>
        <v>7222.21311019325</v>
      </c>
      <c r="J512" s="513">
        <f t="shared" si="148"/>
        <v>1062251.5893808717</v>
      </c>
      <c r="K512" s="677">
        <v>72</v>
      </c>
      <c r="L512" s="680">
        <f t="shared" si="150"/>
        <v>14753.494296956553</v>
      </c>
      <c r="M512" s="668">
        <v>15805</v>
      </c>
      <c r="N512" s="668"/>
      <c r="O512" s="567" t="s">
        <v>632</v>
      </c>
      <c r="P512" s="709">
        <v>40897</v>
      </c>
      <c r="Q512" s="670"/>
      <c r="R512" s="572">
        <f t="shared" si="156"/>
        <v>72</v>
      </c>
      <c r="S512" s="296">
        <v>13455</v>
      </c>
      <c r="T512" s="513">
        <f t="shared" si="151"/>
        <v>968760</v>
      </c>
      <c r="U512" s="537"/>
      <c r="V512" s="672"/>
      <c r="W512" s="496"/>
      <c r="X512" s="296"/>
      <c r="Y512" s="513">
        <f t="shared" si="152"/>
        <v>0</v>
      </c>
    </row>
    <row r="513" spans="1:25" ht="16.5" customHeight="1">
      <c r="A513" s="564">
        <f t="shared" si="146"/>
        <v>174</v>
      </c>
      <c r="B513" s="573" t="s">
        <v>1311</v>
      </c>
      <c r="C513" s="513">
        <f t="shared" si="147"/>
        <v>699660</v>
      </c>
      <c r="D513" s="680">
        <f t="shared" si="157"/>
        <v>20454.078198899995</v>
      </c>
      <c r="E513" s="680">
        <f t="shared" si="157"/>
        <v>6472.3179318167222</v>
      </c>
      <c r="F513" s="680">
        <f t="shared" si="157"/>
        <v>13955.100905258201</v>
      </c>
      <c r="G513" s="680">
        <f t="shared" si="157"/>
        <v>1115.4287670939714</v>
      </c>
      <c r="H513" s="680">
        <f t="shared" si="157"/>
        <v>20309.457059087894</v>
      </c>
      <c r="I513" s="680">
        <f t="shared" si="157"/>
        <v>5216.0428018062366</v>
      </c>
      <c r="J513" s="513">
        <f t="shared" si="148"/>
        <v>767181.42566396296</v>
      </c>
      <c r="K513" s="677">
        <v>52</v>
      </c>
      <c r="L513" s="680">
        <f t="shared" si="150"/>
        <v>14753.488955076211</v>
      </c>
      <c r="M513" s="668">
        <v>15264</v>
      </c>
      <c r="N513" s="668"/>
      <c r="O513" s="567" t="s">
        <v>632</v>
      </c>
      <c r="P513" s="709">
        <v>40897</v>
      </c>
      <c r="Q513" s="670"/>
      <c r="R513" s="572">
        <f t="shared" si="156"/>
        <v>52</v>
      </c>
      <c r="S513" s="296">
        <v>13455</v>
      </c>
      <c r="T513" s="513">
        <f t="shared" si="151"/>
        <v>699660</v>
      </c>
      <c r="U513" s="537"/>
      <c r="V513" s="672"/>
      <c r="W513" s="496"/>
      <c r="X513" s="296"/>
      <c r="Y513" s="513">
        <f t="shared" si="152"/>
        <v>0</v>
      </c>
    </row>
    <row r="514" spans="1:25" ht="16.5" customHeight="1">
      <c r="A514" s="564">
        <f t="shared" si="146"/>
        <v>175</v>
      </c>
      <c r="B514" s="573" t="s">
        <v>1312</v>
      </c>
      <c r="C514" s="513">
        <f t="shared" si="147"/>
        <v>686205</v>
      </c>
      <c r="D514" s="680">
        <f t="shared" si="157"/>
        <v>20060.730541228841</v>
      </c>
      <c r="E514" s="680">
        <f t="shared" si="157"/>
        <v>6347.8502792817853</v>
      </c>
      <c r="F514" s="680">
        <f t="shared" si="157"/>
        <v>13686.733580157083</v>
      </c>
      <c r="G514" s="680">
        <f t="shared" si="157"/>
        <v>1093.9782138806258</v>
      </c>
      <c r="H514" s="680">
        <f t="shared" si="157"/>
        <v>19918.890577182356</v>
      </c>
      <c r="I514" s="680">
        <f t="shared" si="157"/>
        <v>5115.7342863868853</v>
      </c>
      <c r="J514" s="513">
        <f t="shared" si="148"/>
        <v>752427.91747811751</v>
      </c>
      <c r="K514" s="677">
        <v>51</v>
      </c>
      <c r="L514" s="680">
        <f t="shared" si="150"/>
        <v>14753.488578002303</v>
      </c>
      <c r="M514" s="668">
        <v>16123</v>
      </c>
      <c r="N514" s="668"/>
      <c r="O514" s="567" t="s">
        <v>632</v>
      </c>
      <c r="P514" s="709">
        <v>40897</v>
      </c>
      <c r="Q514" s="670"/>
      <c r="R514" s="572">
        <f t="shared" si="156"/>
        <v>51</v>
      </c>
      <c r="S514" s="296">
        <v>13455</v>
      </c>
      <c r="T514" s="513">
        <f t="shared" si="151"/>
        <v>686205</v>
      </c>
      <c r="U514" s="537"/>
      <c r="V514" s="672"/>
      <c r="W514" s="496"/>
      <c r="X514" s="296"/>
      <c r="Y514" s="513">
        <f t="shared" si="152"/>
        <v>0</v>
      </c>
    </row>
    <row r="515" spans="1:25" ht="16.5" customHeight="1">
      <c r="A515" s="564">
        <f t="shared" si="146"/>
        <v>176</v>
      </c>
      <c r="B515" s="573" t="s">
        <v>1313</v>
      </c>
      <c r="C515" s="513">
        <f t="shared" si="147"/>
        <v>838389</v>
      </c>
      <c r="D515" s="680">
        <f t="shared" si="157"/>
        <v>20060.730541228841</v>
      </c>
      <c r="E515" s="680">
        <f t="shared" si="157"/>
        <v>6347.8502792817853</v>
      </c>
      <c r="F515" s="680">
        <f t="shared" si="157"/>
        <v>13686.733580157083</v>
      </c>
      <c r="G515" s="680">
        <f t="shared" si="157"/>
        <v>1093.9782138806258</v>
      </c>
      <c r="H515" s="680">
        <f t="shared" si="157"/>
        <v>19918.890577182356</v>
      </c>
      <c r="I515" s="680">
        <f t="shared" si="157"/>
        <v>5115.7342863868853</v>
      </c>
      <c r="J515" s="513">
        <f t="shared" si="148"/>
        <v>904611.91747811751</v>
      </c>
      <c r="K515" s="677">
        <v>51</v>
      </c>
      <c r="L515" s="680">
        <f t="shared" si="150"/>
        <v>17737.488578002303</v>
      </c>
      <c r="M515" s="668">
        <v>19891</v>
      </c>
      <c r="N515" s="668"/>
      <c r="O515" s="567" t="s">
        <v>622</v>
      </c>
      <c r="P515" s="709">
        <v>40897</v>
      </c>
      <c r="Q515" s="670"/>
      <c r="R515" s="572">
        <f>K515/2</f>
        <v>25.5</v>
      </c>
      <c r="S515" s="296">
        <v>32878</v>
      </c>
      <c r="T515" s="513">
        <f t="shared" si="151"/>
        <v>838389</v>
      </c>
      <c r="U515" s="537"/>
      <c r="V515" s="672"/>
      <c r="W515" s="496"/>
      <c r="X515" s="296"/>
      <c r="Y515" s="513">
        <f t="shared" si="152"/>
        <v>0</v>
      </c>
    </row>
    <row r="516" spans="1:25" ht="16.5" customHeight="1">
      <c r="A516" s="564">
        <f t="shared" si="146"/>
        <v>177</v>
      </c>
      <c r="B516" s="573" t="s">
        <v>1314</v>
      </c>
      <c r="C516" s="513">
        <f t="shared" si="147"/>
        <v>937023</v>
      </c>
      <c r="D516" s="680">
        <f t="shared" si="157"/>
        <v>22420.816487255765</v>
      </c>
      <c r="E516" s="680">
        <f t="shared" si="157"/>
        <v>7094.6561944914074</v>
      </c>
      <c r="F516" s="680">
        <f t="shared" si="157"/>
        <v>15296.937530763798</v>
      </c>
      <c r="G516" s="680">
        <f t="shared" si="157"/>
        <v>1222.6815331606995</v>
      </c>
      <c r="H516" s="680">
        <f t="shared" si="157"/>
        <v>22262.289468615578</v>
      </c>
      <c r="I516" s="680">
        <f t="shared" si="157"/>
        <v>5717.5853789029898</v>
      </c>
      <c r="J516" s="513">
        <f t="shared" si="148"/>
        <v>1011036.9665931902</v>
      </c>
      <c r="K516" s="677">
        <v>57</v>
      </c>
      <c r="L516" s="680">
        <f t="shared" si="150"/>
        <v>17737.490641985794</v>
      </c>
      <c r="M516" s="668">
        <v>20859</v>
      </c>
      <c r="N516" s="668"/>
      <c r="O516" s="567" t="s">
        <v>622</v>
      </c>
      <c r="P516" s="709">
        <v>40897</v>
      </c>
      <c r="Q516" s="670"/>
      <c r="R516" s="572">
        <f>K516/2</f>
        <v>28.5</v>
      </c>
      <c r="S516" s="296">
        <v>32878</v>
      </c>
      <c r="T516" s="513">
        <f t="shared" si="151"/>
        <v>937023</v>
      </c>
      <c r="U516" s="537"/>
      <c r="V516" s="672"/>
      <c r="W516" s="496"/>
      <c r="X516" s="296"/>
      <c r="Y516" s="513">
        <f t="shared" si="152"/>
        <v>0</v>
      </c>
    </row>
    <row r="517" spans="1:25" ht="16.5" customHeight="1">
      <c r="A517" s="564">
        <f t="shared" si="146"/>
        <v>178</v>
      </c>
      <c r="B517" s="573" t="s">
        <v>1270</v>
      </c>
      <c r="C517" s="513">
        <f t="shared" si="147"/>
        <v>34748</v>
      </c>
      <c r="D517" s="680">
        <f t="shared" si="157"/>
        <v>59002.148650673058</v>
      </c>
      <c r="E517" s="680">
        <f t="shared" si="157"/>
        <v>18670.147880240547</v>
      </c>
      <c r="F517" s="680">
        <f t="shared" si="157"/>
        <v>40255.098765167888</v>
      </c>
      <c r="G517" s="680">
        <f t="shared" si="157"/>
        <v>3217.5829820018407</v>
      </c>
      <c r="H517" s="680">
        <f t="shared" si="157"/>
        <v>58584.972285830459</v>
      </c>
      <c r="I517" s="680">
        <f t="shared" si="157"/>
        <v>15046.277312902605</v>
      </c>
      <c r="J517" s="513">
        <f t="shared" si="148"/>
        <v>229523.22787681641</v>
      </c>
      <c r="K517" s="677">
        <v>150</v>
      </c>
      <c r="L517" s="680">
        <f t="shared" si="150"/>
        <v>1530.1548525121093</v>
      </c>
      <c r="M517" s="668">
        <v>963</v>
      </c>
      <c r="N517" s="668"/>
      <c r="O517" s="567" t="s">
        <v>575</v>
      </c>
      <c r="P517" s="709">
        <v>40897</v>
      </c>
      <c r="Q517" s="670"/>
      <c r="R517" s="572">
        <v>2</v>
      </c>
      <c r="S517" s="296">
        <v>17374</v>
      </c>
      <c r="T517" s="513">
        <f t="shared" si="151"/>
        <v>34748</v>
      </c>
      <c r="U517" s="537"/>
      <c r="V517" s="672"/>
      <c r="W517" s="496"/>
      <c r="X517" s="296"/>
      <c r="Y517" s="513">
        <f t="shared" si="152"/>
        <v>0</v>
      </c>
    </row>
    <row r="518" spans="1:25" ht="16.5" customHeight="1">
      <c r="A518" s="564">
        <f t="shared" si="146"/>
        <v>179</v>
      </c>
      <c r="B518" s="573" t="s">
        <v>1261</v>
      </c>
      <c r="C518" s="513">
        <f t="shared" si="147"/>
        <v>108101</v>
      </c>
      <c r="D518" s="680">
        <f t="shared" si="157"/>
        <v>123904.51216641343</v>
      </c>
      <c r="E518" s="680">
        <f t="shared" si="157"/>
        <v>39207.310548505149</v>
      </c>
      <c r="F518" s="680">
        <f t="shared" si="157"/>
        <v>84535.707406852569</v>
      </c>
      <c r="G518" s="680">
        <f t="shared" si="157"/>
        <v>6756.9242622038655</v>
      </c>
      <c r="H518" s="680">
        <f t="shared" si="157"/>
        <v>123028.44180024398</v>
      </c>
      <c r="I518" s="680">
        <f t="shared" si="157"/>
        <v>31597.182357095469</v>
      </c>
      <c r="J518" s="513">
        <f t="shared" si="148"/>
        <v>517130.07854131446</v>
      </c>
      <c r="K518" s="677">
        <v>315</v>
      </c>
      <c r="L518" s="680">
        <f t="shared" si="150"/>
        <v>1641.6827890200459</v>
      </c>
      <c r="M518" s="668">
        <v>1025</v>
      </c>
      <c r="N518" s="668"/>
      <c r="O518" s="567" t="s">
        <v>627</v>
      </c>
      <c r="P518" s="709">
        <v>40897</v>
      </c>
      <c r="Q518" s="670"/>
      <c r="R518" s="572">
        <v>7</v>
      </c>
      <c r="S518" s="296">
        <v>15443</v>
      </c>
      <c r="T518" s="513">
        <f t="shared" si="151"/>
        <v>108101</v>
      </c>
      <c r="U518" s="537"/>
      <c r="V518" s="672"/>
      <c r="W518" s="496"/>
      <c r="X518" s="296"/>
      <c r="Y518" s="513">
        <f t="shared" si="152"/>
        <v>0</v>
      </c>
    </row>
    <row r="519" spans="1:25" ht="16.5" customHeight="1">
      <c r="A519" s="564">
        <f t="shared" si="146"/>
        <v>180</v>
      </c>
      <c r="B519" s="573" t="s">
        <v>1263</v>
      </c>
      <c r="C519" s="513">
        <f t="shared" si="147"/>
        <v>69496</v>
      </c>
      <c r="D519" s="680">
        <f t="shared" si="157"/>
        <v>47201.718920538449</v>
      </c>
      <c r="E519" s="680">
        <f t="shared" si="157"/>
        <v>14936.118304192438</v>
      </c>
      <c r="F519" s="680">
        <f t="shared" si="157"/>
        <v>32204.079012134313</v>
      </c>
      <c r="G519" s="680">
        <f t="shared" si="157"/>
        <v>2574.0663856014726</v>
      </c>
      <c r="H519" s="680">
        <f t="shared" si="157"/>
        <v>46867.97782866437</v>
      </c>
      <c r="I519" s="680">
        <f t="shared" si="157"/>
        <v>12037.021850322084</v>
      </c>
      <c r="J519" s="513">
        <f t="shared" si="148"/>
        <v>225315.98230145313</v>
      </c>
      <c r="K519" s="677">
        <v>120</v>
      </c>
      <c r="L519" s="680">
        <f t="shared" si="150"/>
        <v>1877.6331858454428</v>
      </c>
      <c r="M519" s="668">
        <v>1152</v>
      </c>
      <c r="N519" s="668"/>
      <c r="O519" s="567" t="s">
        <v>575</v>
      </c>
      <c r="P519" s="709">
        <v>40897</v>
      </c>
      <c r="Q519" s="670"/>
      <c r="R519" s="572">
        <v>4</v>
      </c>
      <c r="S519" s="296">
        <v>17374</v>
      </c>
      <c r="T519" s="513">
        <f t="shared" si="151"/>
        <v>69496</v>
      </c>
      <c r="U519" s="537"/>
      <c r="V519" s="672"/>
      <c r="W519" s="496"/>
      <c r="X519" s="296"/>
      <c r="Y519" s="513">
        <f t="shared" si="152"/>
        <v>0</v>
      </c>
    </row>
    <row r="520" spans="1:25" ht="16.5" customHeight="1">
      <c r="A520" s="564">
        <f t="shared" si="146"/>
        <v>181</v>
      </c>
      <c r="B520" s="573" t="s">
        <v>1260</v>
      </c>
      <c r="C520" s="513">
        <f t="shared" si="147"/>
        <v>69496</v>
      </c>
      <c r="D520" s="680">
        <f t="shared" ref="D520:I529" si="158">IF($K$582&lt;&gt;0,D$582/$K$582*$K520,0)</f>
        <v>47201.718920538449</v>
      </c>
      <c r="E520" s="680">
        <f t="shared" si="158"/>
        <v>14936.118304192438</v>
      </c>
      <c r="F520" s="680">
        <f t="shared" si="158"/>
        <v>32204.079012134313</v>
      </c>
      <c r="G520" s="680">
        <f t="shared" si="158"/>
        <v>2574.0663856014726</v>
      </c>
      <c r="H520" s="680">
        <f t="shared" si="158"/>
        <v>46867.97782866437</v>
      </c>
      <c r="I520" s="680">
        <f t="shared" si="158"/>
        <v>12037.021850322084</v>
      </c>
      <c r="J520" s="513">
        <f t="shared" si="148"/>
        <v>225315.98230145313</v>
      </c>
      <c r="K520" s="677">
        <v>120</v>
      </c>
      <c r="L520" s="680">
        <f t="shared" si="150"/>
        <v>1877.6331858454428</v>
      </c>
      <c r="M520" s="668">
        <v>1087</v>
      </c>
      <c r="N520" s="668"/>
      <c r="O520" s="567" t="s">
        <v>575</v>
      </c>
      <c r="P520" s="709">
        <v>40897</v>
      </c>
      <c r="Q520" s="670"/>
      <c r="R520" s="572">
        <v>4</v>
      </c>
      <c r="S520" s="296">
        <v>17374</v>
      </c>
      <c r="T520" s="513">
        <f t="shared" si="151"/>
        <v>69496</v>
      </c>
      <c r="U520" s="537"/>
      <c r="V520" s="672"/>
      <c r="W520" s="496"/>
      <c r="X520" s="296"/>
      <c r="Y520" s="513">
        <f t="shared" si="152"/>
        <v>0</v>
      </c>
    </row>
    <row r="521" spans="1:25" ht="16.5" customHeight="1">
      <c r="A521" s="564">
        <f t="shared" si="146"/>
        <v>182</v>
      </c>
      <c r="B521" s="573" t="s">
        <v>1315</v>
      </c>
      <c r="C521" s="513">
        <f t="shared" si="147"/>
        <v>232740</v>
      </c>
      <c r="D521" s="680">
        <f t="shared" si="158"/>
        <v>106990.56288655382</v>
      </c>
      <c r="E521" s="680">
        <f t="shared" si="158"/>
        <v>33855.201489502855</v>
      </c>
      <c r="F521" s="680">
        <f t="shared" si="158"/>
        <v>72995.912427504445</v>
      </c>
      <c r="G521" s="680">
        <f t="shared" si="158"/>
        <v>5834.5504740300039</v>
      </c>
      <c r="H521" s="680">
        <f t="shared" si="158"/>
        <v>106234.08307830591</v>
      </c>
      <c r="I521" s="680">
        <f t="shared" si="158"/>
        <v>27283.916194063389</v>
      </c>
      <c r="J521" s="513">
        <f t="shared" si="148"/>
        <v>585933.22654996044</v>
      </c>
      <c r="K521" s="677">
        <v>272</v>
      </c>
      <c r="L521" s="680">
        <f t="shared" si="150"/>
        <v>2154.1662740807369</v>
      </c>
      <c r="M521" s="668">
        <v>1254</v>
      </c>
      <c r="N521" s="668"/>
      <c r="O521" s="556" t="s">
        <v>484</v>
      </c>
      <c r="P521" s="709">
        <v>40897</v>
      </c>
      <c r="Q521" s="670"/>
      <c r="R521" s="572">
        <v>27</v>
      </c>
      <c r="S521" s="296">
        <v>8620</v>
      </c>
      <c r="T521" s="513">
        <f t="shared" si="151"/>
        <v>232740</v>
      </c>
      <c r="U521" s="537"/>
      <c r="V521" s="672"/>
      <c r="W521" s="496"/>
      <c r="X521" s="296"/>
      <c r="Y521" s="513">
        <f t="shared" si="152"/>
        <v>0</v>
      </c>
    </row>
    <row r="522" spans="1:25" ht="16.5" customHeight="1">
      <c r="A522" s="564">
        <f t="shared" si="146"/>
        <v>183</v>
      </c>
      <c r="B522" s="573" t="s">
        <v>1269</v>
      </c>
      <c r="C522" s="513">
        <f t="shared" si="147"/>
        <v>17374</v>
      </c>
      <c r="D522" s="680">
        <f t="shared" si="158"/>
        <v>11800.429730134612</v>
      </c>
      <c r="E522" s="680">
        <f t="shared" si="158"/>
        <v>3734.0295760481094</v>
      </c>
      <c r="F522" s="680">
        <f t="shared" si="158"/>
        <v>8051.0197530335781</v>
      </c>
      <c r="G522" s="680">
        <f t="shared" si="158"/>
        <v>643.51659640036814</v>
      </c>
      <c r="H522" s="680">
        <f t="shared" si="158"/>
        <v>11716.994457166093</v>
      </c>
      <c r="I522" s="680">
        <f t="shared" si="158"/>
        <v>3009.255462580521</v>
      </c>
      <c r="J522" s="513">
        <f t="shared" si="148"/>
        <v>56328.245575363282</v>
      </c>
      <c r="K522" s="677">
        <v>30</v>
      </c>
      <c r="L522" s="680">
        <f t="shared" si="150"/>
        <v>1877.6081858454427</v>
      </c>
      <c r="M522" s="668">
        <v>1384</v>
      </c>
      <c r="N522" s="668"/>
      <c r="O522" s="567" t="s">
        <v>575</v>
      </c>
      <c r="P522" s="709">
        <v>40897</v>
      </c>
      <c r="Q522" s="670"/>
      <c r="R522" s="572">
        <v>1</v>
      </c>
      <c r="S522" s="296">
        <v>17374</v>
      </c>
      <c r="T522" s="513">
        <f t="shared" si="151"/>
        <v>17374</v>
      </c>
      <c r="U522" s="537"/>
      <c r="V522" s="672"/>
      <c r="W522" s="496"/>
      <c r="X522" s="296"/>
      <c r="Y522" s="513">
        <f t="shared" si="152"/>
        <v>0</v>
      </c>
    </row>
    <row r="523" spans="1:25" ht="16.5" customHeight="1">
      <c r="A523" s="564">
        <f t="shared" si="146"/>
        <v>184</v>
      </c>
      <c r="B523" s="573" t="s">
        <v>1316</v>
      </c>
      <c r="C523" s="513">
        <f t="shared" si="147"/>
        <v>34748</v>
      </c>
      <c r="D523" s="680">
        <f t="shared" si="158"/>
        <v>23600.859460269225</v>
      </c>
      <c r="E523" s="680">
        <f t="shared" si="158"/>
        <v>7468.0591520962189</v>
      </c>
      <c r="F523" s="680">
        <f t="shared" si="158"/>
        <v>16102.039506067156</v>
      </c>
      <c r="G523" s="680">
        <f t="shared" si="158"/>
        <v>1287.0331928007363</v>
      </c>
      <c r="H523" s="680">
        <f t="shared" si="158"/>
        <v>23433.988914332185</v>
      </c>
      <c r="I523" s="680">
        <f t="shared" si="158"/>
        <v>6018.510925161042</v>
      </c>
      <c r="J523" s="513">
        <f t="shared" si="148"/>
        <v>112657.49115072656</v>
      </c>
      <c r="K523" s="677">
        <v>60</v>
      </c>
      <c r="L523" s="680">
        <f t="shared" si="150"/>
        <v>1877.6248525121093</v>
      </c>
      <c r="M523" s="668">
        <v>1220</v>
      </c>
      <c r="N523" s="668"/>
      <c r="O523" s="567" t="s">
        <v>575</v>
      </c>
      <c r="P523" s="709">
        <v>40897</v>
      </c>
      <c r="Q523" s="670"/>
      <c r="R523" s="572">
        <v>2</v>
      </c>
      <c r="S523" s="296">
        <v>17374</v>
      </c>
      <c r="T523" s="513">
        <f t="shared" si="151"/>
        <v>34748</v>
      </c>
      <c r="U523" s="537"/>
      <c r="V523" s="672"/>
      <c r="W523" s="496"/>
      <c r="X523" s="296"/>
      <c r="Y523" s="513">
        <f t="shared" si="152"/>
        <v>0</v>
      </c>
    </row>
    <row r="524" spans="1:25" ht="16.5" customHeight="1">
      <c r="A524" s="564">
        <f t="shared" si="146"/>
        <v>185</v>
      </c>
      <c r="B524" s="573" t="s">
        <v>1265</v>
      </c>
      <c r="C524" s="513">
        <f t="shared" si="147"/>
        <v>82510</v>
      </c>
      <c r="D524" s="680">
        <f t="shared" si="158"/>
        <v>59002.148650673058</v>
      </c>
      <c r="E524" s="680">
        <f t="shared" si="158"/>
        <v>18670.147880240547</v>
      </c>
      <c r="F524" s="680">
        <f t="shared" si="158"/>
        <v>40255.098765167888</v>
      </c>
      <c r="G524" s="680">
        <f t="shared" si="158"/>
        <v>3217.5829820018407</v>
      </c>
      <c r="H524" s="680">
        <f t="shared" si="158"/>
        <v>58584.972285830459</v>
      </c>
      <c r="I524" s="680">
        <f t="shared" si="158"/>
        <v>15046.277312902605</v>
      </c>
      <c r="J524" s="513">
        <f t="shared" si="148"/>
        <v>277285.22787681641</v>
      </c>
      <c r="K524" s="677">
        <v>150</v>
      </c>
      <c r="L524" s="680">
        <f t="shared" si="150"/>
        <v>1848.5681858454427</v>
      </c>
      <c r="M524" s="668">
        <v>1463</v>
      </c>
      <c r="N524" s="668"/>
      <c r="O524" s="567" t="s">
        <v>626</v>
      </c>
      <c r="P524" s="709">
        <v>40897</v>
      </c>
      <c r="Q524" s="670"/>
      <c r="R524" s="572">
        <v>5</v>
      </c>
      <c r="S524" s="296">
        <v>16502</v>
      </c>
      <c r="T524" s="513">
        <f t="shared" si="151"/>
        <v>82510</v>
      </c>
      <c r="U524" s="537"/>
      <c r="V524" s="672"/>
      <c r="W524" s="496"/>
      <c r="X524" s="296"/>
      <c r="Y524" s="513">
        <f t="shared" si="152"/>
        <v>0</v>
      </c>
    </row>
    <row r="525" spans="1:25" ht="16.5" customHeight="1">
      <c r="A525" s="564">
        <f t="shared" si="146"/>
        <v>186</v>
      </c>
      <c r="B525" s="573" t="s">
        <v>1266</v>
      </c>
      <c r="C525" s="513">
        <f t="shared" si="147"/>
        <v>65756</v>
      </c>
      <c r="D525" s="680">
        <f t="shared" si="158"/>
        <v>53495.281443276908</v>
      </c>
      <c r="E525" s="680">
        <f t="shared" si="158"/>
        <v>16927.600744751428</v>
      </c>
      <c r="F525" s="680">
        <f t="shared" si="158"/>
        <v>36497.956213752223</v>
      </c>
      <c r="G525" s="680">
        <f t="shared" si="158"/>
        <v>2917.2752370150019</v>
      </c>
      <c r="H525" s="680">
        <f t="shared" si="158"/>
        <v>53117.041539152953</v>
      </c>
      <c r="I525" s="680">
        <f t="shared" si="158"/>
        <v>13641.958097031695</v>
      </c>
      <c r="J525" s="513">
        <f t="shared" si="148"/>
        <v>242352.11327498022</v>
      </c>
      <c r="K525" s="677">
        <v>136</v>
      </c>
      <c r="L525" s="680">
        <f t="shared" si="150"/>
        <v>1782.0008329042664</v>
      </c>
      <c r="M525" s="668">
        <v>1288</v>
      </c>
      <c r="N525" s="668"/>
      <c r="O525" s="567" t="s">
        <v>622</v>
      </c>
      <c r="P525" s="709">
        <v>40897</v>
      </c>
      <c r="Q525" s="670"/>
      <c r="R525" s="572">
        <v>2</v>
      </c>
      <c r="S525" s="296">
        <v>32878</v>
      </c>
      <c r="T525" s="513">
        <f t="shared" si="151"/>
        <v>65756</v>
      </c>
      <c r="U525" s="537"/>
      <c r="V525" s="672"/>
      <c r="W525" s="496"/>
      <c r="X525" s="296"/>
      <c r="Y525" s="513">
        <f t="shared" si="152"/>
        <v>0</v>
      </c>
    </row>
    <row r="526" spans="1:25" ht="16.5" customHeight="1">
      <c r="A526" s="564">
        <f t="shared" si="146"/>
        <v>187</v>
      </c>
      <c r="B526" s="573" t="s">
        <v>1268</v>
      </c>
      <c r="C526" s="513">
        <f t="shared" si="147"/>
        <v>8620</v>
      </c>
      <c r="D526" s="680">
        <f t="shared" si="158"/>
        <v>5900.2148650673062</v>
      </c>
      <c r="E526" s="680">
        <f t="shared" si="158"/>
        <v>1867.0147880240547</v>
      </c>
      <c r="F526" s="680">
        <f t="shared" si="158"/>
        <v>4025.5098765167891</v>
      </c>
      <c r="G526" s="680">
        <f t="shared" si="158"/>
        <v>321.75829820018407</v>
      </c>
      <c r="H526" s="680">
        <f t="shared" si="158"/>
        <v>5858.4972285830463</v>
      </c>
      <c r="I526" s="680">
        <f t="shared" si="158"/>
        <v>1504.6277312902605</v>
      </c>
      <c r="J526" s="513">
        <f t="shared" si="148"/>
        <v>28096.622787681641</v>
      </c>
      <c r="K526" s="677">
        <v>15</v>
      </c>
      <c r="L526" s="680">
        <f t="shared" si="150"/>
        <v>1873.1081858454427</v>
      </c>
      <c r="M526" s="668">
        <v>1581</v>
      </c>
      <c r="N526" s="668"/>
      <c r="O526" s="556" t="s">
        <v>484</v>
      </c>
      <c r="P526" s="709">
        <v>40897</v>
      </c>
      <c r="Q526" s="670"/>
      <c r="R526" s="572">
        <v>1</v>
      </c>
      <c r="S526" s="296">
        <v>8620</v>
      </c>
      <c r="T526" s="513">
        <f t="shared" si="151"/>
        <v>8620</v>
      </c>
      <c r="U526" s="537"/>
      <c r="V526" s="672"/>
      <c r="W526" s="496"/>
      <c r="X526" s="296"/>
      <c r="Y526" s="513">
        <f t="shared" si="152"/>
        <v>0</v>
      </c>
    </row>
    <row r="527" spans="1:25" ht="16.5" customHeight="1">
      <c r="A527" s="564">
        <f t="shared" si="146"/>
        <v>188</v>
      </c>
      <c r="B527" s="573" t="s">
        <v>1264</v>
      </c>
      <c r="C527" s="513">
        <f t="shared" si="147"/>
        <v>54566</v>
      </c>
      <c r="D527" s="680">
        <f t="shared" si="158"/>
        <v>29501.074325336529</v>
      </c>
      <c r="E527" s="680">
        <f t="shared" si="158"/>
        <v>9335.0739401202736</v>
      </c>
      <c r="F527" s="680">
        <f t="shared" si="158"/>
        <v>20127.549382583944</v>
      </c>
      <c r="G527" s="680">
        <f t="shared" si="158"/>
        <v>1608.7914910009204</v>
      </c>
      <c r="H527" s="680">
        <f t="shared" si="158"/>
        <v>29292.48614291523</v>
      </c>
      <c r="I527" s="680">
        <f t="shared" si="158"/>
        <v>7523.1386564513023</v>
      </c>
      <c r="J527" s="513">
        <f t="shared" si="148"/>
        <v>151953.11393840821</v>
      </c>
      <c r="K527" s="677">
        <v>75</v>
      </c>
      <c r="L527" s="680">
        <f t="shared" si="150"/>
        <v>2026.0415191787761</v>
      </c>
      <c r="M527" s="668">
        <v>1660</v>
      </c>
      <c r="N527" s="668"/>
      <c r="O527" s="567" t="s">
        <v>616</v>
      </c>
      <c r="P527" s="709">
        <v>40897</v>
      </c>
      <c r="Q527" s="670"/>
      <c r="R527" s="572">
        <v>2</v>
      </c>
      <c r="S527" s="296">
        <v>27283</v>
      </c>
      <c r="T527" s="513">
        <f t="shared" si="151"/>
        <v>54566</v>
      </c>
      <c r="U527" s="537"/>
      <c r="V527" s="672"/>
      <c r="W527" s="496"/>
      <c r="X527" s="296"/>
      <c r="Y527" s="513">
        <f t="shared" si="152"/>
        <v>0</v>
      </c>
    </row>
    <row r="528" spans="1:25" ht="16.5" customHeight="1">
      <c r="A528" s="564">
        <f t="shared" si="146"/>
        <v>189</v>
      </c>
      <c r="B528" s="573" t="s">
        <v>1309</v>
      </c>
      <c r="C528" s="513">
        <f t="shared" si="147"/>
        <v>3775237</v>
      </c>
      <c r="D528" s="680">
        <f t="shared" si="158"/>
        <v>89289.918291351903</v>
      </c>
      <c r="E528" s="680">
        <f t="shared" si="158"/>
        <v>28254.157125430695</v>
      </c>
      <c r="F528" s="680">
        <f t="shared" si="158"/>
        <v>60919.382797954073</v>
      </c>
      <c r="G528" s="680">
        <f t="shared" si="158"/>
        <v>4869.2755794294517</v>
      </c>
      <c r="H528" s="680">
        <f t="shared" si="158"/>
        <v>88658.591392556773</v>
      </c>
      <c r="I528" s="680">
        <f t="shared" si="158"/>
        <v>22770.033000192609</v>
      </c>
      <c r="J528" s="513">
        <f t="shared" si="148"/>
        <v>4069997.3581869151</v>
      </c>
      <c r="K528" s="677">
        <v>227</v>
      </c>
      <c r="L528" s="680">
        <f t="shared" si="150"/>
        <v>17929.503780559098</v>
      </c>
      <c r="M528" s="668">
        <v>23012</v>
      </c>
      <c r="N528" s="668"/>
      <c r="O528" s="567" t="s">
        <v>633</v>
      </c>
      <c r="P528" s="709">
        <v>40898</v>
      </c>
      <c r="Q528" s="670"/>
      <c r="R528" s="572">
        <f>K528</f>
        <v>227</v>
      </c>
      <c r="S528" s="296">
        <v>16631</v>
      </c>
      <c r="T528" s="513">
        <f t="shared" si="151"/>
        <v>3775237</v>
      </c>
      <c r="U528" s="537"/>
      <c r="V528" s="672"/>
      <c r="W528" s="496"/>
      <c r="X528" s="296"/>
      <c r="Y528" s="513">
        <f t="shared" si="152"/>
        <v>0</v>
      </c>
    </row>
    <row r="529" spans="1:25" ht="16.5" customHeight="1">
      <c r="A529" s="564">
        <f t="shared" si="146"/>
        <v>190</v>
      </c>
      <c r="B529" s="573" t="s">
        <v>1304</v>
      </c>
      <c r="C529" s="513">
        <f t="shared" si="147"/>
        <v>3243045</v>
      </c>
      <c r="D529" s="680">
        <f t="shared" si="158"/>
        <v>76702.793245874986</v>
      </c>
      <c r="E529" s="680">
        <f t="shared" si="158"/>
        <v>24271.192244312711</v>
      </c>
      <c r="F529" s="680">
        <f t="shared" si="158"/>
        <v>52331.628394718253</v>
      </c>
      <c r="G529" s="680">
        <f t="shared" si="158"/>
        <v>4182.8578766023929</v>
      </c>
      <c r="H529" s="680">
        <f t="shared" si="158"/>
        <v>76160.463971579607</v>
      </c>
      <c r="I529" s="680">
        <f t="shared" si="158"/>
        <v>19560.160506773387</v>
      </c>
      <c r="J529" s="513">
        <f t="shared" si="148"/>
        <v>3496253.0962398611</v>
      </c>
      <c r="K529" s="677">
        <v>195</v>
      </c>
      <c r="L529" s="680">
        <f t="shared" si="150"/>
        <v>17929.503057640315</v>
      </c>
      <c r="M529" s="668">
        <v>18928</v>
      </c>
      <c r="N529" s="668"/>
      <c r="O529" s="567" t="s">
        <v>633</v>
      </c>
      <c r="P529" s="709">
        <v>40898</v>
      </c>
      <c r="Q529" s="670"/>
      <c r="R529" s="572">
        <f>K529</f>
        <v>195</v>
      </c>
      <c r="S529" s="296">
        <v>16631</v>
      </c>
      <c r="T529" s="513">
        <f t="shared" si="151"/>
        <v>3243045</v>
      </c>
      <c r="U529" s="537"/>
      <c r="V529" s="672"/>
      <c r="W529" s="496"/>
      <c r="X529" s="296"/>
      <c r="Y529" s="513">
        <f t="shared" si="152"/>
        <v>0</v>
      </c>
    </row>
    <row r="530" spans="1:25" ht="16.5" customHeight="1">
      <c r="A530" s="564">
        <f t="shared" si="146"/>
        <v>191</v>
      </c>
      <c r="B530" s="573" t="s">
        <v>1318</v>
      </c>
      <c r="C530" s="513">
        <f t="shared" si="147"/>
        <v>3813848</v>
      </c>
      <c r="D530" s="680">
        <f t="shared" ref="D530:I539" si="159">IF($K$582&lt;&gt;0,D$582/$K$582*$K530,0)</f>
        <v>91256.656579707662</v>
      </c>
      <c r="E530" s="680">
        <f t="shared" si="159"/>
        <v>28876.495388105377</v>
      </c>
      <c r="F530" s="680">
        <f t="shared" si="159"/>
        <v>62261.219423459668</v>
      </c>
      <c r="G530" s="680">
        <f t="shared" si="159"/>
        <v>4976.52834549618</v>
      </c>
      <c r="H530" s="680">
        <f t="shared" si="159"/>
        <v>90611.42380208445</v>
      </c>
      <c r="I530" s="680">
        <f t="shared" si="159"/>
        <v>23271.575577289361</v>
      </c>
      <c r="J530" s="513">
        <f t="shared" si="148"/>
        <v>4115100.8991161431</v>
      </c>
      <c r="K530" s="677">
        <v>232</v>
      </c>
      <c r="L530" s="680">
        <f t="shared" si="150"/>
        <v>17737.503875500617</v>
      </c>
      <c r="M530" s="668">
        <v>20070</v>
      </c>
      <c r="N530" s="668"/>
      <c r="O530" s="567" t="s">
        <v>622</v>
      </c>
      <c r="P530" s="709">
        <v>40898</v>
      </c>
      <c r="Q530" s="670"/>
      <c r="R530" s="572">
        <f>K530/2</f>
        <v>116</v>
      </c>
      <c r="S530" s="296">
        <v>32878</v>
      </c>
      <c r="T530" s="513">
        <f t="shared" si="151"/>
        <v>3813848</v>
      </c>
      <c r="U530" s="537"/>
      <c r="V530" s="672"/>
      <c r="W530" s="496"/>
      <c r="X530" s="296"/>
      <c r="Y530" s="513">
        <f t="shared" si="152"/>
        <v>0</v>
      </c>
    </row>
    <row r="531" spans="1:25" ht="16.5" customHeight="1">
      <c r="A531" s="564">
        <f t="shared" si="146"/>
        <v>192</v>
      </c>
      <c r="B531" s="573" t="s">
        <v>1319</v>
      </c>
      <c r="C531" s="513">
        <f t="shared" si="147"/>
        <v>315989</v>
      </c>
      <c r="D531" s="680">
        <f t="shared" si="159"/>
        <v>29894.421983007684</v>
      </c>
      <c r="E531" s="680">
        <f t="shared" si="159"/>
        <v>9459.5415926552105</v>
      </c>
      <c r="F531" s="680">
        <f t="shared" si="159"/>
        <v>20395.916707685064</v>
      </c>
      <c r="G531" s="680">
        <f t="shared" si="159"/>
        <v>1630.2420442142659</v>
      </c>
      <c r="H531" s="680">
        <f t="shared" si="159"/>
        <v>29683.052624820768</v>
      </c>
      <c r="I531" s="680">
        <f t="shared" si="159"/>
        <v>7623.4471718706527</v>
      </c>
      <c r="J531" s="513">
        <f t="shared" si="148"/>
        <v>414674.62212425371</v>
      </c>
      <c r="K531" s="677">
        <v>76</v>
      </c>
      <c r="L531" s="680">
        <f t="shared" si="150"/>
        <v>5456.2450279507066</v>
      </c>
      <c r="M531" s="668">
        <v>6275</v>
      </c>
      <c r="N531" s="668"/>
      <c r="O531" s="567" t="s">
        <v>633</v>
      </c>
      <c r="P531" s="709">
        <v>40899</v>
      </c>
      <c r="Q531" s="670"/>
      <c r="R531" s="572">
        <v>19</v>
      </c>
      <c r="S531" s="296">
        <v>16631</v>
      </c>
      <c r="T531" s="513">
        <f t="shared" si="151"/>
        <v>315989</v>
      </c>
      <c r="U531" s="537"/>
      <c r="V531" s="672"/>
      <c r="W531" s="496"/>
      <c r="X531" s="296"/>
      <c r="Y531" s="513">
        <f t="shared" si="152"/>
        <v>0</v>
      </c>
    </row>
    <row r="532" spans="1:25" ht="16.5" customHeight="1">
      <c r="A532" s="564">
        <f t="shared" si="146"/>
        <v>193</v>
      </c>
      <c r="B532" s="573" t="s">
        <v>1321</v>
      </c>
      <c r="C532" s="513">
        <f t="shared" si="147"/>
        <v>2249820</v>
      </c>
      <c r="D532" s="680">
        <f t="shared" si="159"/>
        <v>102663.73865217113</v>
      </c>
      <c r="E532" s="680">
        <f t="shared" si="159"/>
        <v>32486.057311618551</v>
      </c>
      <c r="F532" s="680">
        <f t="shared" si="159"/>
        <v>70043.871851392134</v>
      </c>
      <c r="G532" s="680">
        <f t="shared" si="159"/>
        <v>5598.5943886832029</v>
      </c>
      <c r="H532" s="680">
        <f t="shared" si="159"/>
        <v>101937.851777345</v>
      </c>
      <c r="I532" s="680">
        <f t="shared" si="159"/>
        <v>26180.522524450531</v>
      </c>
      <c r="J532" s="513">
        <f t="shared" si="148"/>
        <v>2588729.6365056606</v>
      </c>
      <c r="K532" s="677">
        <v>261</v>
      </c>
      <c r="L532" s="680">
        <f t="shared" si="150"/>
        <v>9918.5043544278178</v>
      </c>
      <c r="M532" s="668">
        <v>10678</v>
      </c>
      <c r="N532" s="668"/>
      <c r="O532" s="556" t="s">
        <v>484</v>
      </c>
      <c r="P532" s="709">
        <v>40899</v>
      </c>
      <c r="Q532" s="670"/>
      <c r="R532" s="572">
        <f>K532</f>
        <v>261</v>
      </c>
      <c r="S532" s="296">
        <v>8620</v>
      </c>
      <c r="T532" s="513">
        <f t="shared" si="151"/>
        <v>2249820</v>
      </c>
      <c r="U532" s="537"/>
      <c r="V532" s="672"/>
      <c r="W532" s="496"/>
      <c r="X532" s="296"/>
      <c r="Y532" s="513">
        <f t="shared" si="152"/>
        <v>0</v>
      </c>
    </row>
    <row r="533" spans="1:25" ht="16.5" customHeight="1">
      <c r="A533" s="564">
        <f t="shared" ref="A533:A580" si="160">IF(B533&lt;&gt;"",A532+1,"")</f>
        <v>194</v>
      </c>
      <c r="B533" s="573" t="s">
        <v>851</v>
      </c>
      <c r="C533" s="513">
        <f t="shared" ref="C533:C580" si="161">T533</f>
        <v>538251</v>
      </c>
      <c r="D533" s="680">
        <f t="shared" si="159"/>
        <v>25567.597748624994</v>
      </c>
      <c r="E533" s="680">
        <f t="shared" si="159"/>
        <v>8090.3974147709032</v>
      </c>
      <c r="F533" s="680">
        <f t="shared" si="159"/>
        <v>17443.876131572753</v>
      </c>
      <c r="G533" s="680">
        <f t="shared" si="159"/>
        <v>1394.2859588674642</v>
      </c>
      <c r="H533" s="680">
        <f t="shared" si="159"/>
        <v>25386.821323859869</v>
      </c>
      <c r="I533" s="680">
        <f t="shared" si="159"/>
        <v>6520.0535022577951</v>
      </c>
      <c r="J533" s="513">
        <f t="shared" ref="J533:J580" si="162">SUM(C533:I533)-1</f>
        <v>622653.03207995382</v>
      </c>
      <c r="K533" s="677">
        <v>65</v>
      </c>
      <c r="L533" s="680">
        <f t="shared" si="150"/>
        <v>9579.2774166146737</v>
      </c>
      <c r="M533" s="668">
        <v>10501</v>
      </c>
      <c r="N533" s="668"/>
      <c r="O533" s="567" t="s">
        <v>620</v>
      </c>
      <c r="P533" s="709">
        <v>40899</v>
      </c>
      <c r="Q533" s="670"/>
      <c r="R533" s="572">
        <v>21</v>
      </c>
      <c r="S533" s="296">
        <v>25631</v>
      </c>
      <c r="T533" s="513">
        <f t="shared" si="151"/>
        <v>538251</v>
      </c>
      <c r="U533" s="537"/>
      <c r="V533" s="672"/>
      <c r="W533" s="496"/>
      <c r="X533" s="296"/>
      <c r="Y533" s="513">
        <f t="shared" si="152"/>
        <v>0</v>
      </c>
    </row>
    <row r="534" spans="1:25" ht="16.5" customHeight="1">
      <c r="A534" s="564">
        <f t="shared" si="160"/>
        <v>195</v>
      </c>
      <c r="B534" s="573" t="s">
        <v>880</v>
      </c>
      <c r="C534" s="513">
        <f t="shared" si="161"/>
        <v>7198425</v>
      </c>
      <c r="D534" s="680">
        <f t="shared" si="159"/>
        <v>420488.64605046337</v>
      </c>
      <c r="E534" s="680">
        <f t="shared" si="159"/>
        <v>133055.92055984761</v>
      </c>
      <c r="F534" s="680">
        <f t="shared" si="159"/>
        <v>286884.67053309648</v>
      </c>
      <c r="G534" s="680">
        <f t="shared" si="159"/>
        <v>22930.64138506645</v>
      </c>
      <c r="H534" s="680">
        <f t="shared" si="159"/>
        <v>417515.56915701844</v>
      </c>
      <c r="I534" s="680">
        <f t="shared" si="159"/>
        <v>107229.8029832859</v>
      </c>
      <c r="J534" s="513">
        <f t="shared" si="162"/>
        <v>8586529.250668779</v>
      </c>
      <c r="K534" s="677">
        <v>1069</v>
      </c>
      <c r="L534" s="680">
        <f t="shared" ref="L534:L580" si="163">IF(K534&lt;&gt;"",J534/K534,"")</f>
        <v>8032.3005151251436</v>
      </c>
      <c r="M534" s="668">
        <v>11840</v>
      </c>
      <c r="N534" s="668"/>
      <c r="O534" s="567" t="s">
        <v>632</v>
      </c>
      <c r="P534" s="709">
        <v>40899</v>
      </c>
      <c r="Q534" s="670"/>
      <c r="R534" s="572">
        <v>535</v>
      </c>
      <c r="S534" s="296">
        <v>13455</v>
      </c>
      <c r="T534" s="513">
        <f t="shared" ref="T534:T580" si="164">ROUND(R534*S534,0)</f>
        <v>7198425</v>
      </c>
      <c r="U534" s="537"/>
      <c r="V534" s="672"/>
      <c r="W534" s="496"/>
      <c r="X534" s="296"/>
      <c r="Y534" s="513">
        <f t="shared" ref="Y534:Y580" si="165">ROUND(W534*X534,0)</f>
        <v>0</v>
      </c>
    </row>
    <row r="535" spans="1:25" ht="16.5" customHeight="1">
      <c r="A535" s="564">
        <f t="shared" si="160"/>
        <v>196</v>
      </c>
      <c r="B535" s="573" t="s">
        <v>852</v>
      </c>
      <c r="C535" s="513">
        <f t="shared" si="161"/>
        <v>3713580</v>
      </c>
      <c r="D535" s="680">
        <f t="shared" si="159"/>
        <v>108563.95351723843</v>
      </c>
      <c r="E535" s="680">
        <f t="shared" si="159"/>
        <v>34353.072099642603</v>
      </c>
      <c r="F535" s="680">
        <f t="shared" si="159"/>
        <v>74069.381727908913</v>
      </c>
      <c r="G535" s="680">
        <f t="shared" si="159"/>
        <v>5920.3526868833869</v>
      </c>
      <c r="H535" s="680">
        <f t="shared" si="159"/>
        <v>107796.34900592806</v>
      </c>
      <c r="I535" s="680">
        <f t="shared" si="159"/>
        <v>27685.150255740791</v>
      </c>
      <c r="J535" s="513">
        <f t="shared" si="162"/>
        <v>4071967.2592933425</v>
      </c>
      <c r="K535" s="677">
        <v>276</v>
      </c>
      <c r="L535" s="680">
        <f t="shared" si="163"/>
        <v>14753.504562657037</v>
      </c>
      <c r="M535" s="668">
        <v>13258</v>
      </c>
      <c r="N535" s="668"/>
      <c r="O535" s="567" t="s">
        <v>632</v>
      </c>
      <c r="P535" s="709">
        <v>40899</v>
      </c>
      <c r="Q535" s="670"/>
      <c r="R535" s="572">
        <f>K535</f>
        <v>276</v>
      </c>
      <c r="S535" s="296">
        <v>13455</v>
      </c>
      <c r="T535" s="513">
        <f t="shared" si="164"/>
        <v>3713580</v>
      </c>
      <c r="U535" s="537"/>
      <c r="V535" s="672"/>
      <c r="W535" s="496"/>
      <c r="X535" s="296"/>
      <c r="Y535" s="513">
        <f t="shared" si="165"/>
        <v>0</v>
      </c>
    </row>
    <row r="536" spans="1:25" ht="16.5" customHeight="1">
      <c r="A536" s="564">
        <f t="shared" si="160"/>
        <v>197</v>
      </c>
      <c r="B536" s="573" t="s">
        <v>1304</v>
      </c>
      <c r="C536" s="513">
        <f t="shared" si="161"/>
        <v>789072</v>
      </c>
      <c r="D536" s="680">
        <f t="shared" si="159"/>
        <v>18487.339910544226</v>
      </c>
      <c r="E536" s="680">
        <f t="shared" si="159"/>
        <v>5849.9796691420379</v>
      </c>
      <c r="F536" s="680">
        <f t="shared" si="159"/>
        <v>12613.264279752606</v>
      </c>
      <c r="G536" s="680">
        <f t="shared" si="159"/>
        <v>1008.1760010272434</v>
      </c>
      <c r="H536" s="680">
        <f t="shared" si="159"/>
        <v>18356.62464956021</v>
      </c>
      <c r="I536" s="680">
        <f t="shared" si="159"/>
        <v>4714.5002247094826</v>
      </c>
      <c r="J536" s="513">
        <f t="shared" si="162"/>
        <v>850100.88473473582</v>
      </c>
      <c r="K536" s="677">
        <v>47</v>
      </c>
      <c r="L536" s="680">
        <f t="shared" si="163"/>
        <v>18087.252866696508</v>
      </c>
      <c r="M536" s="668">
        <v>18928</v>
      </c>
      <c r="N536" s="668"/>
      <c r="O536" s="567" t="s">
        <v>622</v>
      </c>
      <c r="P536" s="709">
        <v>40899</v>
      </c>
      <c r="Q536" s="670"/>
      <c r="R536" s="572">
        <v>24</v>
      </c>
      <c r="S536" s="296">
        <v>32878</v>
      </c>
      <c r="T536" s="513">
        <f t="shared" si="164"/>
        <v>789072</v>
      </c>
      <c r="U536" s="537"/>
      <c r="V536" s="672"/>
      <c r="W536" s="496"/>
      <c r="X536" s="296"/>
      <c r="Y536" s="513">
        <f t="shared" si="165"/>
        <v>0</v>
      </c>
    </row>
    <row r="537" spans="1:25" ht="16.5" customHeight="1">
      <c r="A537" s="564">
        <f t="shared" si="160"/>
        <v>198</v>
      </c>
      <c r="B537" s="573" t="s">
        <v>1309</v>
      </c>
      <c r="C537" s="513">
        <f t="shared" si="161"/>
        <v>4324060</v>
      </c>
      <c r="D537" s="680">
        <f t="shared" si="159"/>
        <v>102270.39099449998</v>
      </c>
      <c r="E537" s="680">
        <f t="shared" si="159"/>
        <v>32361.589659083613</v>
      </c>
      <c r="F537" s="680">
        <f t="shared" si="159"/>
        <v>69775.504526291013</v>
      </c>
      <c r="G537" s="680">
        <f t="shared" si="159"/>
        <v>5577.1438354698566</v>
      </c>
      <c r="H537" s="680">
        <f t="shared" si="159"/>
        <v>101547.28529543948</v>
      </c>
      <c r="I537" s="680">
        <f t="shared" si="159"/>
        <v>26080.21400903118</v>
      </c>
      <c r="J537" s="513">
        <f t="shared" si="162"/>
        <v>4661671.1283198157</v>
      </c>
      <c r="K537" s="677">
        <v>260</v>
      </c>
      <c r="L537" s="680">
        <f t="shared" si="163"/>
        <v>17929.504339691601</v>
      </c>
      <c r="M537" s="668">
        <v>23012</v>
      </c>
      <c r="N537" s="668"/>
      <c r="O537" s="567" t="s">
        <v>633</v>
      </c>
      <c r="P537" s="709">
        <v>40899</v>
      </c>
      <c r="Q537" s="670"/>
      <c r="R537" s="572">
        <f>K537</f>
        <v>260</v>
      </c>
      <c r="S537" s="296">
        <v>16631</v>
      </c>
      <c r="T537" s="513">
        <f t="shared" si="164"/>
        <v>4324060</v>
      </c>
      <c r="U537" s="537"/>
      <c r="V537" s="672"/>
      <c r="W537" s="496"/>
      <c r="X537" s="296"/>
      <c r="Y537" s="513">
        <f t="shared" si="165"/>
        <v>0</v>
      </c>
    </row>
    <row r="538" spans="1:25" ht="16.5" customHeight="1">
      <c r="A538" s="564">
        <f t="shared" si="160"/>
        <v>199</v>
      </c>
      <c r="B538" s="573" t="s">
        <v>1322</v>
      </c>
      <c r="C538" s="513">
        <f t="shared" si="161"/>
        <v>190981</v>
      </c>
      <c r="D538" s="680">
        <f t="shared" si="159"/>
        <v>107777.25820189613</v>
      </c>
      <c r="E538" s="680">
        <f t="shared" si="159"/>
        <v>34104.136794572732</v>
      </c>
      <c r="F538" s="680">
        <f t="shared" si="159"/>
        <v>73532.647077706672</v>
      </c>
      <c r="G538" s="680">
        <f t="shared" si="159"/>
        <v>5877.4515804566954</v>
      </c>
      <c r="H538" s="680">
        <f t="shared" si="159"/>
        <v>107015.21604211698</v>
      </c>
      <c r="I538" s="680">
        <f t="shared" si="159"/>
        <v>27484.53322490209</v>
      </c>
      <c r="J538" s="513">
        <f t="shared" si="162"/>
        <v>546771.24292165134</v>
      </c>
      <c r="K538" s="677">
        <v>274</v>
      </c>
      <c r="L538" s="680">
        <f t="shared" si="163"/>
        <v>1995.5154851155157</v>
      </c>
      <c r="M538" s="668">
        <v>1474</v>
      </c>
      <c r="N538" s="668"/>
      <c r="O538" s="567" t="s">
        <v>616</v>
      </c>
      <c r="P538" s="709">
        <v>40899</v>
      </c>
      <c r="Q538" s="670"/>
      <c r="R538" s="572">
        <v>7</v>
      </c>
      <c r="S538" s="296">
        <v>27283</v>
      </c>
      <c r="T538" s="513">
        <f t="shared" si="164"/>
        <v>190981</v>
      </c>
      <c r="U538" s="537"/>
      <c r="V538" s="672"/>
      <c r="W538" s="496"/>
      <c r="X538" s="296"/>
      <c r="Y538" s="513">
        <f t="shared" si="165"/>
        <v>0</v>
      </c>
    </row>
    <row r="539" spans="1:25" ht="16.5" customHeight="1">
      <c r="A539" s="564">
        <f t="shared" si="160"/>
        <v>200</v>
      </c>
      <c r="B539" s="573" t="s">
        <v>1323</v>
      </c>
      <c r="C539" s="513">
        <f t="shared" si="161"/>
        <v>27283</v>
      </c>
      <c r="D539" s="680">
        <f t="shared" si="159"/>
        <v>17307.296937530766</v>
      </c>
      <c r="E539" s="680">
        <f t="shared" si="159"/>
        <v>5476.5767115372273</v>
      </c>
      <c r="F539" s="680">
        <f t="shared" si="159"/>
        <v>11808.162304449248</v>
      </c>
      <c r="G539" s="680">
        <f t="shared" si="159"/>
        <v>943.82434138720657</v>
      </c>
      <c r="H539" s="680">
        <f t="shared" si="159"/>
        <v>17184.925203843603</v>
      </c>
      <c r="I539" s="680">
        <f t="shared" si="159"/>
        <v>4413.5746784514304</v>
      </c>
      <c r="J539" s="513">
        <f t="shared" si="162"/>
        <v>84416.360177199487</v>
      </c>
      <c r="K539" s="677">
        <v>44</v>
      </c>
      <c r="L539" s="680">
        <f t="shared" si="163"/>
        <v>1918.5536403908975</v>
      </c>
      <c r="M539" s="668">
        <v>1146</v>
      </c>
      <c r="N539" s="668"/>
      <c r="O539" s="567" t="s">
        <v>616</v>
      </c>
      <c r="P539" s="709">
        <v>40899</v>
      </c>
      <c r="Q539" s="670"/>
      <c r="R539" s="572">
        <v>1</v>
      </c>
      <c r="S539" s="296">
        <v>27283</v>
      </c>
      <c r="T539" s="513">
        <f t="shared" si="164"/>
        <v>27283</v>
      </c>
      <c r="U539" s="537"/>
      <c r="V539" s="672"/>
      <c r="W539" s="496"/>
      <c r="X539" s="296"/>
      <c r="Y539" s="513">
        <f t="shared" si="165"/>
        <v>0</v>
      </c>
    </row>
    <row r="540" spans="1:25" ht="16.5" customHeight="1">
      <c r="A540" s="564">
        <f t="shared" si="160"/>
        <v>201</v>
      </c>
      <c r="B540" s="573" t="s">
        <v>1324</v>
      </c>
      <c r="C540" s="513">
        <f t="shared" si="161"/>
        <v>95256</v>
      </c>
      <c r="D540" s="680">
        <f t="shared" ref="D540:I549" si="166">IF($K$582&lt;&gt;0,D$582/$K$582*$K540,0)</f>
        <v>103057.08630984229</v>
      </c>
      <c r="E540" s="680">
        <f t="shared" si="166"/>
        <v>32610.524964153487</v>
      </c>
      <c r="F540" s="680">
        <f t="shared" si="166"/>
        <v>70312.23917649324</v>
      </c>
      <c r="G540" s="680">
        <f t="shared" si="166"/>
        <v>5620.0449418965482</v>
      </c>
      <c r="H540" s="680">
        <f t="shared" si="166"/>
        <v>102328.41825925054</v>
      </c>
      <c r="I540" s="680">
        <f t="shared" si="166"/>
        <v>26280.831039869881</v>
      </c>
      <c r="J540" s="513">
        <f t="shared" si="162"/>
        <v>435464.14469150599</v>
      </c>
      <c r="K540" s="677">
        <v>262</v>
      </c>
      <c r="L540" s="680">
        <f t="shared" si="163"/>
        <v>1662.0768881355191</v>
      </c>
      <c r="M540" s="668">
        <v>1187</v>
      </c>
      <c r="N540" s="668"/>
      <c r="O540" s="567" t="s">
        <v>617</v>
      </c>
      <c r="P540" s="709">
        <v>40899</v>
      </c>
      <c r="Q540" s="670"/>
      <c r="R540" s="572">
        <v>3</v>
      </c>
      <c r="S540" s="296">
        <v>31752</v>
      </c>
      <c r="T540" s="513">
        <f t="shared" si="164"/>
        <v>95256</v>
      </c>
      <c r="U540" s="537"/>
      <c r="V540" s="672"/>
      <c r="W540" s="496"/>
      <c r="X540" s="296"/>
      <c r="Y540" s="513">
        <f t="shared" si="165"/>
        <v>0</v>
      </c>
    </row>
    <row r="541" spans="1:25" ht="16.5" customHeight="1">
      <c r="A541" s="564">
        <f t="shared" si="160"/>
        <v>202</v>
      </c>
      <c r="B541" s="573" t="s">
        <v>1325</v>
      </c>
      <c r="C541" s="513">
        <f t="shared" si="161"/>
        <v>232740</v>
      </c>
      <c r="D541" s="680">
        <f t="shared" si="166"/>
        <v>103057.08630984229</v>
      </c>
      <c r="E541" s="680">
        <f t="shared" si="166"/>
        <v>32610.524964153487</v>
      </c>
      <c r="F541" s="680">
        <f t="shared" si="166"/>
        <v>70312.23917649324</v>
      </c>
      <c r="G541" s="680">
        <f t="shared" si="166"/>
        <v>5620.0449418965482</v>
      </c>
      <c r="H541" s="680">
        <f t="shared" si="166"/>
        <v>102328.41825925054</v>
      </c>
      <c r="I541" s="680">
        <f t="shared" si="166"/>
        <v>26280.831039869881</v>
      </c>
      <c r="J541" s="513">
        <f t="shared" si="162"/>
        <v>572948.14469150605</v>
      </c>
      <c r="K541" s="677">
        <v>262</v>
      </c>
      <c r="L541" s="680">
        <f t="shared" si="163"/>
        <v>2186.8249797385729</v>
      </c>
      <c r="M541" s="668">
        <v>1515</v>
      </c>
      <c r="N541" s="668"/>
      <c r="O541" s="556" t="s">
        <v>484</v>
      </c>
      <c r="P541" s="709">
        <v>40899</v>
      </c>
      <c r="Q541" s="670"/>
      <c r="R541" s="572">
        <v>27</v>
      </c>
      <c r="S541" s="296">
        <v>8620</v>
      </c>
      <c r="T541" s="513">
        <f t="shared" si="164"/>
        <v>232740</v>
      </c>
      <c r="U541" s="537"/>
      <c r="V541" s="672"/>
      <c r="W541" s="496"/>
      <c r="X541" s="296"/>
      <c r="Y541" s="513">
        <f t="shared" si="165"/>
        <v>0</v>
      </c>
    </row>
    <row r="542" spans="1:25" ht="16.5" customHeight="1">
      <c r="A542" s="564">
        <f t="shared" si="160"/>
        <v>203</v>
      </c>
      <c r="B542" s="573" t="s">
        <v>1326</v>
      </c>
      <c r="C542" s="513">
        <f t="shared" si="161"/>
        <v>245547</v>
      </c>
      <c r="D542" s="680">
        <f t="shared" si="166"/>
        <v>125084.55513942688</v>
      </c>
      <c r="E542" s="680">
        <f t="shared" si="166"/>
        <v>39580.713506109954</v>
      </c>
      <c r="F542" s="680">
        <f t="shared" si="166"/>
        <v>85340.809382155931</v>
      </c>
      <c r="G542" s="680">
        <f t="shared" si="166"/>
        <v>6821.2759218439023</v>
      </c>
      <c r="H542" s="680">
        <f t="shared" si="166"/>
        <v>124200.14124596058</v>
      </c>
      <c r="I542" s="680">
        <f t="shared" si="166"/>
        <v>31898.107903353521</v>
      </c>
      <c r="J542" s="513">
        <f t="shared" si="162"/>
        <v>658471.60309885081</v>
      </c>
      <c r="K542" s="677">
        <v>318</v>
      </c>
      <c r="L542" s="680">
        <f t="shared" si="163"/>
        <v>2070.6654185498455</v>
      </c>
      <c r="M542" s="668">
        <v>1556</v>
      </c>
      <c r="N542" s="668"/>
      <c r="O542" s="567" t="s">
        <v>616</v>
      </c>
      <c r="P542" s="709">
        <v>40899</v>
      </c>
      <c r="Q542" s="670"/>
      <c r="R542" s="572">
        <v>9</v>
      </c>
      <c r="S542" s="296">
        <v>27283</v>
      </c>
      <c r="T542" s="513">
        <f t="shared" si="164"/>
        <v>245547</v>
      </c>
      <c r="U542" s="537"/>
      <c r="V542" s="672"/>
      <c r="W542" s="496"/>
      <c r="X542" s="296"/>
      <c r="Y542" s="513">
        <f t="shared" si="165"/>
        <v>0</v>
      </c>
    </row>
    <row r="543" spans="1:25" ht="16.5" customHeight="1">
      <c r="A543" s="564">
        <f t="shared" si="160"/>
        <v>204</v>
      </c>
      <c r="B543" s="573" t="s">
        <v>1327</v>
      </c>
      <c r="C543" s="513">
        <f t="shared" si="161"/>
        <v>2637180</v>
      </c>
      <c r="D543" s="680">
        <f t="shared" si="166"/>
        <v>154192.28180709228</v>
      </c>
      <c r="E543" s="680">
        <f t="shared" si="166"/>
        <v>48791.319793695293</v>
      </c>
      <c r="F543" s="680">
        <f t="shared" si="166"/>
        <v>105199.99143963875</v>
      </c>
      <c r="G543" s="680">
        <f t="shared" si="166"/>
        <v>8408.6168596314765</v>
      </c>
      <c r="H543" s="680">
        <f t="shared" si="166"/>
        <v>153102.06090697029</v>
      </c>
      <c r="I543" s="680">
        <f t="shared" si="166"/>
        <v>39320.938044385475</v>
      </c>
      <c r="J543" s="513">
        <f t="shared" si="162"/>
        <v>3146194.2088514138</v>
      </c>
      <c r="K543" s="677">
        <v>392</v>
      </c>
      <c r="L543" s="680">
        <f t="shared" si="163"/>
        <v>8026.0056348250355</v>
      </c>
      <c r="M543" s="668">
        <v>11800</v>
      </c>
      <c r="N543" s="668"/>
      <c r="O543" s="567" t="s">
        <v>632</v>
      </c>
      <c r="P543" s="709">
        <v>40907</v>
      </c>
      <c r="Q543" s="670"/>
      <c r="R543" s="572">
        <v>196</v>
      </c>
      <c r="S543" s="296">
        <v>13455</v>
      </c>
      <c r="T543" s="513">
        <f t="shared" si="164"/>
        <v>2637180</v>
      </c>
      <c r="U543" s="537"/>
      <c r="V543" s="672"/>
      <c r="W543" s="496"/>
      <c r="X543" s="296"/>
      <c r="Y543" s="513">
        <f t="shared" si="165"/>
        <v>0</v>
      </c>
    </row>
    <row r="544" spans="1:25" ht="16.5" customHeight="1">
      <c r="A544" s="564">
        <f t="shared" si="160"/>
        <v>205</v>
      </c>
      <c r="B544" s="573" t="s">
        <v>1329</v>
      </c>
      <c r="C544" s="513">
        <f t="shared" si="161"/>
        <v>1068535</v>
      </c>
      <c r="D544" s="680">
        <f t="shared" si="166"/>
        <v>25567.597748624994</v>
      </c>
      <c r="E544" s="680">
        <f t="shared" si="166"/>
        <v>8090.3974147709032</v>
      </c>
      <c r="F544" s="680">
        <f t="shared" si="166"/>
        <v>17443.876131572753</v>
      </c>
      <c r="G544" s="680">
        <f t="shared" si="166"/>
        <v>1394.2859588674642</v>
      </c>
      <c r="H544" s="680">
        <f t="shared" si="166"/>
        <v>25386.821323859869</v>
      </c>
      <c r="I544" s="680">
        <f t="shared" si="166"/>
        <v>6520.0535022577951</v>
      </c>
      <c r="J544" s="513">
        <f t="shared" si="162"/>
        <v>1152937.0320799539</v>
      </c>
      <c r="K544" s="677">
        <v>65</v>
      </c>
      <c r="L544" s="680">
        <f t="shared" si="163"/>
        <v>17737.492801230059</v>
      </c>
      <c r="M544" s="668">
        <v>22324</v>
      </c>
      <c r="N544" s="668"/>
      <c r="O544" s="567" t="s">
        <v>622</v>
      </c>
      <c r="P544" s="709">
        <v>40907</v>
      </c>
      <c r="Q544" s="670"/>
      <c r="R544" s="572">
        <f>K544/2</f>
        <v>32.5</v>
      </c>
      <c r="S544" s="296">
        <v>32878</v>
      </c>
      <c r="T544" s="513">
        <f t="shared" si="164"/>
        <v>1068535</v>
      </c>
      <c r="U544" s="537"/>
      <c r="V544" s="672"/>
      <c r="W544" s="496"/>
      <c r="X544" s="296"/>
      <c r="Y544" s="513">
        <f t="shared" si="165"/>
        <v>0</v>
      </c>
    </row>
    <row r="545" spans="1:25" ht="16.5" customHeight="1">
      <c r="A545" s="564">
        <f t="shared" si="160"/>
        <v>206</v>
      </c>
      <c r="B545" s="573" t="s">
        <v>1330</v>
      </c>
      <c r="C545" s="513">
        <f t="shared" si="161"/>
        <v>174270</v>
      </c>
      <c r="D545" s="680">
        <f t="shared" si="166"/>
        <v>3933.4765767115373</v>
      </c>
      <c r="E545" s="680">
        <f t="shared" si="166"/>
        <v>1244.6765253493697</v>
      </c>
      <c r="F545" s="680">
        <f t="shared" si="166"/>
        <v>2683.6732510111924</v>
      </c>
      <c r="G545" s="680">
        <f t="shared" si="166"/>
        <v>214.50553213345603</v>
      </c>
      <c r="H545" s="680">
        <f t="shared" si="166"/>
        <v>3905.6648190553642</v>
      </c>
      <c r="I545" s="680">
        <f t="shared" si="166"/>
        <v>1003.0851541935069</v>
      </c>
      <c r="J545" s="513">
        <f t="shared" si="162"/>
        <v>187254.08185845445</v>
      </c>
      <c r="K545" s="677">
        <v>10</v>
      </c>
      <c r="L545" s="680">
        <f t="shared" si="163"/>
        <v>18725.408185845445</v>
      </c>
      <c r="M545" s="668">
        <v>18984</v>
      </c>
      <c r="N545" s="668"/>
      <c r="O545" s="556" t="s">
        <v>467</v>
      </c>
      <c r="P545" s="709">
        <v>40907</v>
      </c>
      <c r="Q545" s="670"/>
      <c r="R545" s="572">
        <f>K545</f>
        <v>10</v>
      </c>
      <c r="S545" s="296">
        <v>17427</v>
      </c>
      <c r="T545" s="513">
        <f t="shared" si="164"/>
        <v>174270</v>
      </c>
      <c r="U545" s="537"/>
      <c r="V545" s="672"/>
      <c r="W545" s="496"/>
      <c r="X545" s="296"/>
      <c r="Y545" s="513">
        <f t="shared" si="165"/>
        <v>0</v>
      </c>
    </row>
    <row r="546" spans="1:25" ht="16.5" customHeight="1">
      <c r="A546" s="564">
        <f t="shared" si="160"/>
        <v>207</v>
      </c>
      <c r="B546" s="573" t="s">
        <v>1331</v>
      </c>
      <c r="C546" s="513">
        <f t="shared" si="161"/>
        <v>1762886</v>
      </c>
      <c r="D546" s="680">
        <f t="shared" si="166"/>
        <v>41694.8517131423</v>
      </c>
      <c r="E546" s="680">
        <f t="shared" si="166"/>
        <v>13193.57116870332</v>
      </c>
      <c r="F546" s="680">
        <f t="shared" si="166"/>
        <v>28446.936460718644</v>
      </c>
      <c r="G546" s="680">
        <f t="shared" si="166"/>
        <v>2273.7586406146338</v>
      </c>
      <c r="H546" s="680">
        <f t="shared" si="166"/>
        <v>41400.047081986864</v>
      </c>
      <c r="I546" s="680">
        <f t="shared" si="166"/>
        <v>10632.702634451174</v>
      </c>
      <c r="J546" s="513">
        <f t="shared" si="162"/>
        <v>1900526.8676996171</v>
      </c>
      <c r="K546" s="677">
        <v>106</v>
      </c>
      <c r="L546" s="680">
        <f t="shared" si="163"/>
        <v>17929.49875188318</v>
      </c>
      <c r="M546" s="668">
        <v>24273</v>
      </c>
      <c r="N546" s="668"/>
      <c r="O546" s="567" t="s">
        <v>633</v>
      </c>
      <c r="P546" s="709">
        <v>40907</v>
      </c>
      <c r="Q546" s="670"/>
      <c r="R546" s="572">
        <f>K546</f>
        <v>106</v>
      </c>
      <c r="S546" s="296">
        <v>16631</v>
      </c>
      <c r="T546" s="513">
        <f t="shared" si="164"/>
        <v>1762886</v>
      </c>
      <c r="U546" s="537"/>
      <c r="V546" s="672"/>
      <c r="W546" s="496"/>
      <c r="X546" s="296"/>
      <c r="Y546" s="513">
        <f t="shared" si="165"/>
        <v>0</v>
      </c>
    </row>
    <row r="547" spans="1:25" ht="16.5" customHeight="1">
      <c r="A547" s="564">
        <f t="shared" si="160"/>
        <v>208</v>
      </c>
      <c r="B547" s="573" t="s">
        <v>1332</v>
      </c>
      <c r="C547" s="513">
        <f t="shared" si="161"/>
        <v>1022580</v>
      </c>
      <c r="D547" s="680">
        <f t="shared" si="166"/>
        <v>29894.421983007684</v>
      </c>
      <c r="E547" s="680">
        <f t="shared" si="166"/>
        <v>9459.5415926552105</v>
      </c>
      <c r="F547" s="680">
        <f t="shared" si="166"/>
        <v>20395.916707685064</v>
      </c>
      <c r="G547" s="680">
        <f t="shared" si="166"/>
        <v>1630.2420442142659</v>
      </c>
      <c r="H547" s="680">
        <f t="shared" si="166"/>
        <v>29683.052624820768</v>
      </c>
      <c r="I547" s="680">
        <f t="shared" si="166"/>
        <v>7623.4471718706527</v>
      </c>
      <c r="J547" s="513">
        <f t="shared" si="162"/>
        <v>1121265.6221242533</v>
      </c>
      <c r="K547" s="677">
        <v>76</v>
      </c>
      <c r="L547" s="680">
        <f t="shared" si="163"/>
        <v>14753.495027950701</v>
      </c>
      <c r="M547" s="668">
        <v>17216</v>
      </c>
      <c r="N547" s="668"/>
      <c r="O547" s="567" t="s">
        <v>632</v>
      </c>
      <c r="P547" s="709">
        <v>40907</v>
      </c>
      <c r="Q547" s="670"/>
      <c r="R547" s="572">
        <f>K547</f>
        <v>76</v>
      </c>
      <c r="S547" s="296">
        <v>13455</v>
      </c>
      <c r="T547" s="513">
        <f t="shared" si="164"/>
        <v>1022580</v>
      </c>
      <c r="U547" s="537"/>
      <c r="V547" s="672"/>
      <c r="W547" s="496"/>
      <c r="X547" s="296"/>
      <c r="Y547" s="513">
        <f t="shared" si="165"/>
        <v>0</v>
      </c>
    </row>
    <row r="548" spans="1:25" ht="16.5" customHeight="1">
      <c r="A548" s="564">
        <f t="shared" si="160"/>
        <v>209</v>
      </c>
      <c r="B548" s="573" t="s">
        <v>1309</v>
      </c>
      <c r="C548" s="513">
        <f t="shared" si="161"/>
        <v>3459248</v>
      </c>
      <c r="D548" s="680">
        <f t="shared" si="166"/>
        <v>81816.312795599981</v>
      </c>
      <c r="E548" s="680">
        <f t="shared" si="166"/>
        <v>25889.271727266889</v>
      </c>
      <c r="F548" s="680">
        <f t="shared" si="166"/>
        <v>55820.403621032805</v>
      </c>
      <c r="G548" s="680">
        <f t="shared" si="166"/>
        <v>4461.7150683758855</v>
      </c>
      <c r="H548" s="680">
        <f t="shared" si="166"/>
        <v>81237.828236351575</v>
      </c>
      <c r="I548" s="680">
        <f t="shared" si="166"/>
        <v>20864.171207224947</v>
      </c>
      <c r="J548" s="513">
        <f t="shared" si="162"/>
        <v>3729336.7026558518</v>
      </c>
      <c r="K548" s="677">
        <v>208</v>
      </c>
      <c r="L548" s="680">
        <f t="shared" si="163"/>
        <v>17929.503378153135</v>
      </c>
      <c r="M548" s="668">
        <v>23012</v>
      </c>
      <c r="N548" s="668"/>
      <c r="O548" s="567" t="s">
        <v>633</v>
      </c>
      <c r="P548" s="709">
        <v>40907</v>
      </c>
      <c r="Q548" s="670"/>
      <c r="R548" s="572">
        <f>K548</f>
        <v>208</v>
      </c>
      <c r="S548" s="296">
        <v>16631</v>
      </c>
      <c r="T548" s="513">
        <f t="shared" si="164"/>
        <v>3459248</v>
      </c>
      <c r="U548" s="537"/>
      <c r="V548" s="672"/>
      <c r="W548" s="496"/>
      <c r="X548" s="296"/>
      <c r="Y548" s="513">
        <f t="shared" si="165"/>
        <v>0</v>
      </c>
    </row>
    <row r="549" spans="1:25" ht="16.5" customHeight="1">
      <c r="A549" s="564">
        <f t="shared" si="160"/>
        <v>210</v>
      </c>
      <c r="B549" s="573" t="s">
        <v>1333</v>
      </c>
      <c r="C549" s="513">
        <f t="shared" si="161"/>
        <v>8620</v>
      </c>
      <c r="D549" s="680">
        <f t="shared" si="166"/>
        <v>393.34765767115374</v>
      </c>
      <c r="E549" s="680">
        <f t="shared" si="166"/>
        <v>124.46765253493697</v>
      </c>
      <c r="F549" s="680">
        <f t="shared" si="166"/>
        <v>268.36732510111926</v>
      </c>
      <c r="G549" s="680">
        <f t="shared" si="166"/>
        <v>21.450553213345604</v>
      </c>
      <c r="H549" s="680">
        <f t="shared" si="166"/>
        <v>390.56648190553642</v>
      </c>
      <c r="I549" s="680">
        <f t="shared" si="166"/>
        <v>100.3085154193507</v>
      </c>
      <c r="J549" s="513">
        <f t="shared" si="162"/>
        <v>9917.5081858454432</v>
      </c>
      <c r="K549" s="677">
        <v>1</v>
      </c>
      <c r="L549" s="680">
        <f t="shared" si="163"/>
        <v>9917.5081858454432</v>
      </c>
      <c r="M549" s="668">
        <v>10643</v>
      </c>
      <c r="N549" s="668"/>
      <c r="O549" s="556" t="s">
        <v>484</v>
      </c>
      <c r="P549" s="709">
        <v>40907</v>
      </c>
      <c r="Q549" s="670"/>
      <c r="R549" s="572">
        <f>K549</f>
        <v>1</v>
      </c>
      <c r="S549" s="296">
        <v>8620</v>
      </c>
      <c r="T549" s="513">
        <f t="shared" si="164"/>
        <v>8620</v>
      </c>
      <c r="U549" s="537"/>
      <c r="V549" s="672"/>
      <c r="W549" s="496"/>
      <c r="X549" s="296"/>
      <c r="Y549" s="513">
        <f t="shared" si="165"/>
        <v>0</v>
      </c>
    </row>
    <row r="550" spans="1:25" ht="16.5" customHeight="1">
      <c r="A550" s="564">
        <f t="shared" si="160"/>
        <v>211</v>
      </c>
      <c r="B550" s="573" t="s">
        <v>1334</v>
      </c>
      <c r="C550" s="513">
        <f t="shared" si="161"/>
        <v>131512</v>
      </c>
      <c r="D550" s="680">
        <f t="shared" ref="D550:I559" si="167">IF($K$582&lt;&gt;0,D$582/$K$582*$K550,0)</f>
        <v>4720.1718920538451</v>
      </c>
      <c r="E550" s="680">
        <f t="shared" si="167"/>
        <v>1493.6118304192437</v>
      </c>
      <c r="F550" s="680">
        <f t="shared" si="167"/>
        <v>3220.4079012134312</v>
      </c>
      <c r="G550" s="680">
        <f t="shared" si="167"/>
        <v>257.40663856014726</v>
      </c>
      <c r="H550" s="680">
        <f t="shared" si="167"/>
        <v>4686.797782866437</v>
      </c>
      <c r="I550" s="680">
        <f t="shared" si="167"/>
        <v>1203.7021850322085</v>
      </c>
      <c r="J550" s="513">
        <f t="shared" si="162"/>
        <v>147093.09823014532</v>
      </c>
      <c r="K550" s="677">
        <v>12</v>
      </c>
      <c r="L550" s="680">
        <f t="shared" si="163"/>
        <v>12257.758185845443</v>
      </c>
      <c r="M550" s="668">
        <v>14530</v>
      </c>
      <c r="N550" s="668"/>
      <c r="O550" s="567" t="s">
        <v>622</v>
      </c>
      <c r="P550" s="709">
        <v>40907</v>
      </c>
      <c r="Q550" s="670"/>
      <c r="R550" s="572">
        <v>4</v>
      </c>
      <c r="S550" s="296">
        <v>32878</v>
      </c>
      <c r="T550" s="513">
        <f t="shared" si="164"/>
        <v>131512</v>
      </c>
      <c r="U550" s="537"/>
      <c r="V550" s="672"/>
      <c r="W550" s="496"/>
      <c r="X550" s="296"/>
      <c r="Y550" s="513">
        <f t="shared" si="165"/>
        <v>0</v>
      </c>
    </row>
    <row r="551" spans="1:25" ht="16.5" customHeight="1">
      <c r="A551" s="564">
        <f t="shared" si="160"/>
        <v>212</v>
      </c>
      <c r="B551" s="573" t="s">
        <v>880</v>
      </c>
      <c r="C551" s="513">
        <f t="shared" si="161"/>
        <v>905814</v>
      </c>
      <c r="D551" s="680">
        <f t="shared" si="167"/>
        <v>35794.636848074988</v>
      </c>
      <c r="E551" s="680">
        <f t="shared" si="167"/>
        <v>11326.556380679265</v>
      </c>
      <c r="F551" s="680">
        <f t="shared" si="167"/>
        <v>24421.426584201854</v>
      </c>
      <c r="G551" s="680">
        <f t="shared" si="167"/>
        <v>1952.00034241445</v>
      </c>
      <c r="H551" s="680">
        <f t="shared" si="167"/>
        <v>35541.549853403812</v>
      </c>
      <c r="I551" s="680">
        <f t="shared" si="167"/>
        <v>9128.0749031609139</v>
      </c>
      <c r="J551" s="513">
        <f t="shared" si="162"/>
        <v>1023977.2449119353</v>
      </c>
      <c r="K551" s="677">
        <v>91</v>
      </c>
      <c r="L551" s="680">
        <f t="shared" si="163"/>
        <v>11252.497196834454</v>
      </c>
      <c r="M551" s="668">
        <v>11840</v>
      </c>
      <c r="N551" s="668"/>
      <c r="O551" s="556" t="s">
        <v>607</v>
      </c>
      <c r="P551" s="709">
        <v>40907</v>
      </c>
      <c r="Q551" s="670"/>
      <c r="R551" s="572">
        <f>K551</f>
        <v>91</v>
      </c>
      <c r="S551" s="296">
        <v>9954</v>
      </c>
      <c r="T551" s="513">
        <f t="shared" si="164"/>
        <v>905814</v>
      </c>
      <c r="U551" s="537"/>
      <c r="V551" s="672"/>
      <c r="W551" s="496"/>
      <c r="X551" s="296"/>
      <c r="Y551" s="513">
        <f t="shared" si="165"/>
        <v>0</v>
      </c>
    </row>
    <row r="552" spans="1:25" ht="16.5" customHeight="1">
      <c r="A552" s="564">
        <f t="shared" si="160"/>
        <v>213</v>
      </c>
      <c r="B552" s="573" t="s">
        <v>1335</v>
      </c>
      <c r="C552" s="513">
        <f t="shared" si="161"/>
        <v>537516</v>
      </c>
      <c r="D552" s="680">
        <f t="shared" si="167"/>
        <v>448416.32974511525</v>
      </c>
      <c r="E552" s="680">
        <f t="shared" si="167"/>
        <v>141893.12388982816</v>
      </c>
      <c r="F552" s="680">
        <f t="shared" si="167"/>
        <v>305938.75061527599</v>
      </c>
      <c r="G552" s="680">
        <f t="shared" si="167"/>
        <v>24453.630663213989</v>
      </c>
      <c r="H552" s="680">
        <f t="shared" si="167"/>
        <v>445245.7893723115</v>
      </c>
      <c r="I552" s="680">
        <f t="shared" si="167"/>
        <v>114351.7075780598</v>
      </c>
      <c r="J552" s="513">
        <f t="shared" si="162"/>
        <v>2017814.3318638045</v>
      </c>
      <c r="K552" s="677">
        <v>1140</v>
      </c>
      <c r="L552" s="680">
        <f t="shared" si="163"/>
        <v>1770.0125718103548</v>
      </c>
      <c r="M552" s="668">
        <v>1310</v>
      </c>
      <c r="N552" s="668"/>
      <c r="O552" s="556" t="s">
        <v>607</v>
      </c>
      <c r="P552" s="709">
        <v>40907</v>
      </c>
      <c r="Q552" s="670"/>
      <c r="R552" s="572">
        <v>54</v>
      </c>
      <c r="S552" s="296">
        <v>9954</v>
      </c>
      <c r="T552" s="513">
        <f t="shared" si="164"/>
        <v>537516</v>
      </c>
      <c r="U552" s="537"/>
      <c r="V552" s="672"/>
      <c r="W552" s="496"/>
      <c r="X552" s="296"/>
      <c r="Y552" s="513">
        <f t="shared" si="165"/>
        <v>0</v>
      </c>
    </row>
    <row r="553" spans="1:25" ht="16.5" customHeight="1">
      <c r="A553" s="564">
        <f t="shared" si="160"/>
        <v>214</v>
      </c>
      <c r="B553" s="573" t="s">
        <v>1326</v>
      </c>
      <c r="C553" s="513">
        <f t="shared" si="161"/>
        <v>537516</v>
      </c>
      <c r="D553" s="680">
        <f t="shared" si="167"/>
        <v>448416.32974511525</v>
      </c>
      <c r="E553" s="680">
        <f t="shared" si="167"/>
        <v>141893.12388982816</v>
      </c>
      <c r="F553" s="680">
        <f t="shared" si="167"/>
        <v>305938.75061527599</v>
      </c>
      <c r="G553" s="680">
        <f t="shared" si="167"/>
        <v>24453.630663213989</v>
      </c>
      <c r="H553" s="680">
        <f t="shared" si="167"/>
        <v>445245.7893723115</v>
      </c>
      <c r="I553" s="680">
        <f t="shared" si="167"/>
        <v>114351.7075780598</v>
      </c>
      <c r="J553" s="513">
        <f t="shared" si="162"/>
        <v>2017814.3318638045</v>
      </c>
      <c r="K553" s="677">
        <v>1140</v>
      </c>
      <c r="L553" s="680">
        <f t="shared" si="163"/>
        <v>1770.0125718103548</v>
      </c>
      <c r="M553" s="668">
        <v>1556</v>
      </c>
      <c r="N553" s="668"/>
      <c r="O553" s="556" t="s">
        <v>607</v>
      </c>
      <c r="P553" s="709">
        <v>40907</v>
      </c>
      <c r="Q553" s="670"/>
      <c r="R553" s="572">
        <v>54</v>
      </c>
      <c r="S553" s="296">
        <v>9954</v>
      </c>
      <c r="T553" s="513">
        <f t="shared" si="164"/>
        <v>537516</v>
      </c>
      <c r="U553" s="537"/>
      <c r="V553" s="672"/>
      <c r="W553" s="496"/>
      <c r="X553" s="296"/>
      <c r="Y553" s="513">
        <f t="shared" si="165"/>
        <v>0</v>
      </c>
    </row>
    <row r="554" spans="1:25" ht="16.5" customHeight="1">
      <c r="A554" s="564">
        <f t="shared" si="160"/>
        <v>215</v>
      </c>
      <c r="B554" s="573" t="s">
        <v>1304</v>
      </c>
      <c r="C554" s="513">
        <f t="shared" si="161"/>
        <v>17427</v>
      </c>
      <c r="D554" s="680">
        <f t="shared" si="167"/>
        <v>393.34765767115374</v>
      </c>
      <c r="E554" s="680">
        <f t="shared" si="167"/>
        <v>124.46765253493697</v>
      </c>
      <c r="F554" s="680">
        <f t="shared" si="167"/>
        <v>268.36732510111926</v>
      </c>
      <c r="G554" s="680">
        <f t="shared" si="167"/>
        <v>21.450553213345604</v>
      </c>
      <c r="H554" s="680">
        <f t="shared" si="167"/>
        <v>390.56648190553642</v>
      </c>
      <c r="I554" s="680">
        <f t="shared" si="167"/>
        <v>100.3085154193507</v>
      </c>
      <c r="J554" s="513">
        <f t="shared" si="162"/>
        <v>18724.508185845447</v>
      </c>
      <c r="K554" s="677">
        <v>1</v>
      </c>
      <c r="L554" s="680">
        <f t="shared" si="163"/>
        <v>18724.508185845447</v>
      </c>
      <c r="M554" s="668">
        <v>18928</v>
      </c>
      <c r="N554" s="668"/>
      <c r="O554" s="556" t="s">
        <v>467</v>
      </c>
      <c r="P554" s="709">
        <v>40907</v>
      </c>
      <c r="Q554" s="670"/>
      <c r="R554" s="572">
        <f t="shared" ref="R554:R561" si="168">K554</f>
        <v>1</v>
      </c>
      <c r="S554" s="296">
        <v>17427</v>
      </c>
      <c r="T554" s="513">
        <f t="shared" si="164"/>
        <v>17427</v>
      </c>
      <c r="U554" s="537"/>
      <c r="V554" s="672"/>
      <c r="W554" s="496"/>
      <c r="X554" s="296"/>
      <c r="Y554" s="513">
        <f t="shared" si="165"/>
        <v>0</v>
      </c>
    </row>
    <row r="555" spans="1:25" ht="16.5" customHeight="1">
      <c r="A555" s="564">
        <f t="shared" si="160"/>
        <v>216</v>
      </c>
      <c r="B555" s="573" t="s">
        <v>1336</v>
      </c>
      <c r="C555" s="513">
        <f t="shared" si="161"/>
        <v>108101</v>
      </c>
      <c r="D555" s="680">
        <f t="shared" si="167"/>
        <v>2753.4336036980762</v>
      </c>
      <c r="E555" s="680">
        <f t="shared" si="167"/>
        <v>871.27356774455882</v>
      </c>
      <c r="F555" s="680">
        <f t="shared" si="167"/>
        <v>1878.571275707835</v>
      </c>
      <c r="G555" s="680">
        <f t="shared" si="167"/>
        <v>150.15387249341921</v>
      </c>
      <c r="H555" s="680">
        <f t="shared" si="167"/>
        <v>2733.9653733387549</v>
      </c>
      <c r="I555" s="680">
        <f t="shared" si="167"/>
        <v>702.15960793545491</v>
      </c>
      <c r="J555" s="513">
        <f t="shared" si="162"/>
        <v>117189.5573009181</v>
      </c>
      <c r="K555" s="677">
        <v>7</v>
      </c>
      <c r="L555" s="680">
        <f t="shared" si="163"/>
        <v>16741.365328702585</v>
      </c>
      <c r="M555" s="668">
        <v>17667</v>
      </c>
      <c r="N555" s="668"/>
      <c r="O555" s="567" t="s">
        <v>627</v>
      </c>
      <c r="P555" s="709">
        <v>40907</v>
      </c>
      <c r="Q555" s="670"/>
      <c r="R555" s="572">
        <f t="shared" si="168"/>
        <v>7</v>
      </c>
      <c r="S555" s="296">
        <v>15443</v>
      </c>
      <c r="T555" s="513">
        <f t="shared" si="164"/>
        <v>108101</v>
      </c>
      <c r="U555" s="537"/>
      <c r="V555" s="672"/>
      <c r="W555" s="496"/>
      <c r="X555" s="296"/>
      <c r="Y555" s="513">
        <f t="shared" si="165"/>
        <v>0</v>
      </c>
    </row>
    <row r="556" spans="1:25" ht="16.5" customHeight="1">
      <c r="A556" s="564">
        <f t="shared" si="160"/>
        <v>217</v>
      </c>
      <c r="B556" s="573" t="s">
        <v>1309</v>
      </c>
      <c r="C556" s="513">
        <f t="shared" si="161"/>
        <v>405560</v>
      </c>
      <c r="D556" s="680">
        <f t="shared" si="167"/>
        <v>7866.9531534230746</v>
      </c>
      <c r="E556" s="680">
        <f t="shared" si="167"/>
        <v>2489.3530506987395</v>
      </c>
      <c r="F556" s="680">
        <f t="shared" si="167"/>
        <v>5367.3465020223848</v>
      </c>
      <c r="G556" s="680">
        <f t="shared" si="167"/>
        <v>429.01106426691206</v>
      </c>
      <c r="H556" s="680">
        <f t="shared" si="167"/>
        <v>7811.3296381107284</v>
      </c>
      <c r="I556" s="680">
        <f t="shared" si="167"/>
        <v>2006.1703083870138</v>
      </c>
      <c r="J556" s="513">
        <f t="shared" si="162"/>
        <v>431529.16371690889</v>
      </c>
      <c r="K556" s="677">
        <v>20</v>
      </c>
      <c r="L556" s="680">
        <f t="shared" si="163"/>
        <v>21576.458185845444</v>
      </c>
      <c r="M556" s="668">
        <v>23117</v>
      </c>
      <c r="N556" s="668"/>
      <c r="O556" s="567" t="s">
        <v>619</v>
      </c>
      <c r="P556" s="709">
        <v>40907</v>
      </c>
      <c r="Q556" s="670"/>
      <c r="R556" s="572">
        <f t="shared" si="168"/>
        <v>20</v>
      </c>
      <c r="S556" s="296">
        <v>20278</v>
      </c>
      <c r="T556" s="513">
        <f t="shared" si="164"/>
        <v>405560</v>
      </c>
      <c r="U556" s="537"/>
      <c r="V556" s="672"/>
      <c r="W556" s="496"/>
      <c r="X556" s="296"/>
      <c r="Y556" s="513">
        <f t="shared" si="165"/>
        <v>0</v>
      </c>
    </row>
    <row r="557" spans="1:25" ht="16.5" customHeight="1">
      <c r="A557" s="564">
        <f t="shared" si="160"/>
        <v>218</v>
      </c>
      <c r="B557" s="573" t="s">
        <v>1337</v>
      </c>
      <c r="C557" s="513">
        <f t="shared" si="161"/>
        <v>173740</v>
      </c>
      <c r="D557" s="680">
        <f t="shared" si="167"/>
        <v>3933.4765767115373</v>
      </c>
      <c r="E557" s="680">
        <f t="shared" si="167"/>
        <v>1244.6765253493697</v>
      </c>
      <c r="F557" s="680">
        <f t="shared" si="167"/>
        <v>2683.6732510111924</v>
      </c>
      <c r="G557" s="680">
        <f t="shared" si="167"/>
        <v>214.50553213345603</v>
      </c>
      <c r="H557" s="680">
        <f t="shared" si="167"/>
        <v>3905.6648190553642</v>
      </c>
      <c r="I557" s="680">
        <f t="shared" si="167"/>
        <v>1003.0851541935069</v>
      </c>
      <c r="J557" s="513">
        <f t="shared" si="162"/>
        <v>186724.08185845445</v>
      </c>
      <c r="K557" s="677">
        <v>10</v>
      </c>
      <c r="L557" s="680">
        <f t="shared" si="163"/>
        <v>18672.408185845445</v>
      </c>
      <c r="M557" s="668">
        <v>19203</v>
      </c>
      <c r="N557" s="668"/>
      <c r="O557" s="567" t="s">
        <v>575</v>
      </c>
      <c r="P557" s="709">
        <v>40907</v>
      </c>
      <c r="Q557" s="670"/>
      <c r="R557" s="572">
        <f t="shared" si="168"/>
        <v>10</v>
      </c>
      <c r="S557" s="300">
        <v>17374</v>
      </c>
      <c r="T557" s="513">
        <f t="shared" si="164"/>
        <v>173740</v>
      </c>
      <c r="U557" s="537"/>
      <c r="V557" s="672"/>
      <c r="W557" s="496"/>
      <c r="X557" s="296"/>
      <c r="Y557" s="513">
        <f t="shared" si="165"/>
        <v>0</v>
      </c>
    </row>
    <row r="558" spans="1:25" ht="16.5" customHeight="1">
      <c r="A558" s="564">
        <f t="shared" si="160"/>
        <v>219</v>
      </c>
      <c r="B558" s="573" t="s">
        <v>1255</v>
      </c>
      <c r="C558" s="513">
        <f t="shared" si="161"/>
        <v>30886</v>
      </c>
      <c r="D558" s="680">
        <f t="shared" si="167"/>
        <v>786.69531534230748</v>
      </c>
      <c r="E558" s="680">
        <f t="shared" si="167"/>
        <v>248.93530506987395</v>
      </c>
      <c r="F558" s="680">
        <f t="shared" si="167"/>
        <v>536.73465020223853</v>
      </c>
      <c r="G558" s="680">
        <f t="shared" si="167"/>
        <v>42.901106426691207</v>
      </c>
      <c r="H558" s="680">
        <f t="shared" si="167"/>
        <v>781.13296381107284</v>
      </c>
      <c r="I558" s="680">
        <f t="shared" si="167"/>
        <v>200.6170308387014</v>
      </c>
      <c r="J558" s="513">
        <f t="shared" si="162"/>
        <v>33482.016371690886</v>
      </c>
      <c r="K558" s="677">
        <v>2</v>
      </c>
      <c r="L558" s="680">
        <f t="shared" si="163"/>
        <v>16741.008185845443</v>
      </c>
      <c r="M558" s="668">
        <v>16215</v>
      </c>
      <c r="N558" s="668"/>
      <c r="O558" s="567" t="s">
        <v>627</v>
      </c>
      <c r="P558" s="709">
        <v>40907</v>
      </c>
      <c r="Q558" s="670"/>
      <c r="R558" s="572">
        <f t="shared" si="168"/>
        <v>2</v>
      </c>
      <c r="S558" s="296">
        <v>15443</v>
      </c>
      <c r="T558" s="513">
        <f t="shared" si="164"/>
        <v>30886</v>
      </c>
      <c r="U558" s="537"/>
      <c r="V558" s="672"/>
      <c r="W558" s="496"/>
      <c r="X558" s="296"/>
      <c r="Y558" s="513">
        <f t="shared" si="165"/>
        <v>0</v>
      </c>
    </row>
    <row r="559" spans="1:25" ht="16.5" customHeight="1">
      <c r="A559" s="564">
        <f t="shared" si="160"/>
        <v>220</v>
      </c>
      <c r="B559" s="573" t="s">
        <v>1309</v>
      </c>
      <c r="C559" s="513">
        <f t="shared" si="161"/>
        <v>1796148</v>
      </c>
      <c r="D559" s="680">
        <f t="shared" si="167"/>
        <v>42481.547028484601</v>
      </c>
      <c r="E559" s="680">
        <f t="shared" si="167"/>
        <v>13442.506473773194</v>
      </c>
      <c r="F559" s="680">
        <f t="shared" si="167"/>
        <v>28983.671110920881</v>
      </c>
      <c r="G559" s="680">
        <f t="shared" si="167"/>
        <v>2316.6597470413253</v>
      </c>
      <c r="H559" s="680">
        <f t="shared" si="167"/>
        <v>42181.180045797933</v>
      </c>
      <c r="I559" s="680">
        <f t="shared" si="167"/>
        <v>10833.319665289875</v>
      </c>
      <c r="J559" s="513">
        <f t="shared" si="162"/>
        <v>1936385.8840713077</v>
      </c>
      <c r="K559" s="677">
        <v>108</v>
      </c>
      <c r="L559" s="680">
        <f t="shared" si="163"/>
        <v>17929.498926586184</v>
      </c>
      <c r="M559" s="668">
        <v>23012</v>
      </c>
      <c r="N559" s="668"/>
      <c r="O559" s="567" t="s">
        <v>633</v>
      </c>
      <c r="P559" s="709">
        <v>40907</v>
      </c>
      <c r="Q559" s="670"/>
      <c r="R559" s="572">
        <f t="shared" si="168"/>
        <v>108</v>
      </c>
      <c r="S559" s="296">
        <v>16631</v>
      </c>
      <c r="T559" s="513">
        <f t="shared" si="164"/>
        <v>1796148</v>
      </c>
      <c r="U559" s="537"/>
      <c r="V559" s="672"/>
      <c r="W559" s="496"/>
      <c r="X559" s="296"/>
      <c r="Y559" s="513">
        <f t="shared" si="165"/>
        <v>0</v>
      </c>
    </row>
    <row r="560" spans="1:25" ht="16.5" customHeight="1">
      <c r="A560" s="564">
        <f t="shared" si="160"/>
        <v>221</v>
      </c>
      <c r="B560" s="573" t="s">
        <v>1336</v>
      </c>
      <c r="C560" s="513">
        <f t="shared" si="161"/>
        <v>30886</v>
      </c>
      <c r="D560" s="680">
        <f t="shared" ref="D560:I569" si="169">IF($K$582&lt;&gt;0,D$582/$K$582*$K560,0)</f>
        <v>786.69531534230748</v>
      </c>
      <c r="E560" s="680">
        <f t="shared" si="169"/>
        <v>248.93530506987395</v>
      </c>
      <c r="F560" s="680">
        <f t="shared" si="169"/>
        <v>536.73465020223853</v>
      </c>
      <c r="G560" s="680">
        <f t="shared" si="169"/>
        <v>42.901106426691207</v>
      </c>
      <c r="H560" s="680">
        <f t="shared" si="169"/>
        <v>781.13296381107284</v>
      </c>
      <c r="I560" s="680">
        <f t="shared" si="169"/>
        <v>200.6170308387014</v>
      </c>
      <c r="J560" s="513">
        <f t="shared" si="162"/>
        <v>33482.016371690886</v>
      </c>
      <c r="K560" s="677">
        <v>2</v>
      </c>
      <c r="L560" s="680">
        <f t="shared" si="163"/>
        <v>16741.008185845443</v>
      </c>
      <c r="M560" s="668">
        <v>17667</v>
      </c>
      <c r="N560" s="668"/>
      <c r="O560" s="567" t="s">
        <v>627</v>
      </c>
      <c r="P560" s="709">
        <v>40907</v>
      </c>
      <c r="Q560" s="670"/>
      <c r="R560" s="572">
        <f t="shared" si="168"/>
        <v>2</v>
      </c>
      <c r="S560" s="296">
        <v>15443</v>
      </c>
      <c r="T560" s="513">
        <f t="shared" si="164"/>
        <v>30886</v>
      </c>
      <c r="U560" s="537"/>
      <c r="V560" s="672"/>
      <c r="W560" s="496"/>
      <c r="X560" s="296"/>
      <c r="Y560" s="513">
        <f t="shared" si="165"/>
        <v>0</v>
      </c>
    </row>
    <row r="561" spans="1:25" ht="16.5" customHeight="1">
      <c r="A561" s="564">
        <f t="shared" si="160"/>
        <v>222</v>
      </c>
      <c r="B561" s="573" t="s">
        <v>1339</v>
      </c>
      <c r="C561" s="513">
        <f t="shared" si="161"/>
        <v>25860</v>
      </c>
      <c r="D561" s="680">
        <f t="shared" si="169"/>
        <v>1180.0429730134613</v>
      </c>
      <c r="E561" s="680">
        <f t="shared" si="169"/>
        <v>373.40295760481092</v>
      </c>
      <c r="F561" s="680">
        <f t="shared" si="169"/>
        <v>805.10197530335779</v>
      </c>
      <c r="G561" s="680">
        <f t="shared" si="169"/>
        <v>64.351659640036814</v>
      </c>
      <c r="H561" s="680">
        <f t="shared" si="169"/>
        <v>1171.6994457166093</v>
      </c>
      <c r="I561" s="680">
        <f t="shared" si="169"/>
        <v>300.92554625805212</v>
      </c>
      <c r="J561" s="513">
        <f t="shared" si="162"/>
        <v>29754.524557536326</v>
      </c>
      <c r="K561" s="677">
        <v>3</v>
      </c>
      <c r="L561" s="680">
        <f t="shared" si="163"/>
        <v>9918.1748525121093</v>
      </c>
      <c r="M561" s="668">
        <v>10778</v>
      </c>
      <c r="N561" s="668"/>
      <c r="O561" s="556" t="s">
        <v>484</v>
      </c>
      <c r="P561" s="709">
        <v>40907</v>
      </c>
      <c r="Q561" s="670"/>
      <c r="R561" s="572">
        <f t="shared" si="168"/>
        <v>3</v>
      </c>
      <c r="S561" s="296">
        <v>8620</v>
      </c>
      <c r="T561" s="513">
        <f t="shared" si="164"/>
        <v>25860</v>
      </c>
      <c r="U561" s="537"/>
      <c r="V561" s="672"/>
      <c r="W561" s="496"/>
      <c r="X561" s="296"/>
      <c r="Y561" s="513">
        <f t="shared" si="165"/>
        <v>0</v>
      </c>
    </row>
    <row r="562" spans="1:25" ht="16.5" customHeight="1">
      <c r="A562" s="564">
        <f t="shared" si="160"/>
        <v>223</v>
      </c>
      <c r="B562" s="573" t="s">
        <v>1340</v>
      </c>
      <c r="C562" s="513">
        <f t="shared" si="161"/>
        <v>27908</v>
      </c>
      <c r="D562" s="680">
        <f t="shared" si="169"/>
        <v>786.69531534230748</v>
      </c>
      <c r="E562" s="680">
        <f t="shared" si="169"/>
        <v>248.93530506987395</v>
      </c>
      <c r="F562" s="680">
        <f t="shared" si="169"/>
        <v>536.73465020223853</v>
      </c>
      <c r="G562" s="680">
        <f t="shared" si="169"/>
        <v>42.901106426691207</v>
      </c>
      <c r="H562" s="680">
        <f t="shared" si="169"/>
        <v>781.13296381107284</v>
      </c>
      <c r="I562" s="680">
        <f t="shared" si="169"/>
        <v>200.6170308387014</v>
      </c>
      <c r="J562" s="513">
        <f t="shared" si="162"/>
        <v>30504.016371690886</v>
      </c>
      <c r="K562" s="677">
        <v>2</v>
      </c>
      <c r="L562" s="680">
        <f t="shared" si="163"/>
        <v>15252.008185845443</v>
      </c>
      <c r="M562" s="668">
        <v>18002</v>
      </c>
      <c r="N562" s="668"/>
      <c r="O562" s="556" t="s">
        <v>526</v>
      </c>
      <c r="P562" s="709">
        <v>40907</v>
      </c>
      <c r="Q562" s="670"/>
      <c r="R562" s="572">
        <v>2</v>
      </c>
      <c r="S562" s="296">
        <v>13954</v>
      </c>
      <c r="T562" s="513">
        <f t="shared" si="164"/>
        <v>27908</v>
      </c>
      <c r="U562" s="537"/>
      <c r="V562" s="672"/>
      <c r="W562" s="496"/>
      <c r="X562" s="296"/>
      <c r="Y562" s="513">
        <f t="shared" si="165"/>
        <v>0</v>
      </c>
    </row>
    <row r="563" spans="1:25" ht="16.5" customHeight="1">
      <c r="A563" s="564">
        <f t="shared" si="160"/>
        <v>224</v>
      </c>
      <c r="B563" s="573" t="s">
        <v>1254</v>
      </c>
      <c r="C563" s="513">
        <f t="shared" si="161"/>
        <v>34854</v>
      </c>
      <c r="D563" s="680">
        <f t="shared" si="169"/>
        <v>1573.390630684615</v>
      </c>
      <c r="E563" s="680">
        <f t="shared" si="169"/>
        <v>497.8706101397479</v>
      </c>
      <c r="F563" s="680">
        <f t="shared" si="169"/>
        <v>1073.4693004044771</v>
      </c>
      <c r="G563" s="680">
        <f t="shared" si="169"/>
        <v>85.802212853382414</v>
      </c>
      <c r="H563" s="680">
        <f t="shared" si="169"/>
        <v>1562.2659276221457</v>
      </c>
      <c r="I563" s="680">
        <f t="shared" si="169"/>
        <v>401.23406167740279</v>
      </c>
      <c r="J563" s="513">
        <f t="shared" si="162"/>
        <v>40047.032743381773</v>
      </c>
      <c r="K563" s="677">
        <v>4</v>
      </c>
      <c r="L563" s="680">
        <f t="shared" si="163"/>
        <v>10011.758185845443</v>
      </c>
      <c r="M563" s="668">
        <v>11987</v>
      </c>
      <c r="N563" s="668"/>
      <c r="O563" s="556" t="s">
        <v>467</v>
      </c>
      <c r="P563" s="709">
        <v>40907</v>
      </c>
      <c r="Q563" s="670"/>
      <c r="R563" s="572">
        <v>2</v>
      </c>
      <c r="S563" s="296">
        <v>17427</v>
      </c>
      <c r="T563" s="513">
        <f t="shared" si="164"/>
        <v>34854</v>
      </c>
      <c r="U563" s="537"/>
      <c r="V563" s="672"/>
      <c r="W563" s="496"/>
      <c r="X563" s="296"/>
      <c r="Y563" s="513">
        <f t="shared" si="165"/>
        <v>0</v>
      </c>
    </row>
    <row r="564" spans="1:25" ht="16.5" customHeight="1">
      <c r="A564" s="564">
        <f t="shared" si="160"/>
        <v>225</v>
      </c>
      <c r="B564" s="573" t="s">
        <v>1257</v>
      </c>
      <c r="C564" s="513">
        <f t="shared" si="161"/>
        <v>26910</v>
      </c>
      <c r="D564" s="680">
        <f t="shared" si="169"/>
        <v>786.69531534230748</v>
      </c>
      <c r="E564" s="680">
        <f t="shared" si="169"/>
        <v>248.93530506987395</v>
      </c>
      <c r="F564" s="680">
        <f t="shared" si="169"/>
        <v>536.73465020223853</v>
      </c>
      <c r="G564" s="680">
        <f t="shared" si="169"/>
        <v>42.901106426691207</v>
      </c>
      <c r="H564" s="680">
        <f t="shared" si="169"/>
        <v>781.13296381107284</v>
      </c>
      <c r="I564" s="680">
        <f t="shared" si="169"/>
        <v>200.6170308387014</v>
      </c>
      <c r="J564" s="513">
        <f t="shared" si="162"/>
        <v>29506.016371690886</v>
      </c>
      <c r="K564" s="677">
        <v>2</v>
      </c>
      <c r="L564" s="680">
        <f t="shared" si="163"/>
        <v>14753.008185845443</v>
      </c>
      <c r="M564" s="668">
        <v>14798</v>
      </c>
      <c r="N564" s="668"/>
      <c r="O564" s="567" t="s">
        <v>632</v>
      </c>
      <c r="P564" s="709">
        <v>40907</v>
      </c>
      <c r="Q564" s="670"/>
      <c r="R564" s="572">
        <f t="shared" ref="R564:R570" si="170">K564</f>
        <v>2</v>
      </c>
      <c r="S564" s="296">
        <v>13455</v>
      </c>
      <c r="T564" s="513">
        <f t="shared" si="164"/>
        <v>26910</v>
      </c>
      <c r="U564" s="537"/>
      <c r="V564" s="672"/>
      <c r="W564" s="496"/>
      <c r="X564" s="296"/>
      <c r="Y564" s="513">
        <f t="shared" si="165"/>
        <v>0</v>
      </c>
    </row>
    <row r="565" spans="1:25" ht="16.5" customHeight="1">
      <c r="A565" s="564">
        <f t="shared" si="160"/>
        <v>226</v>
      </c>
      <c r="B565" s="573" t="s">
        <v>1341</v>
      </c>
      <c r="C565" s="513">
        <f t="shared" si="161"/>
        <v>13455</v>
      </c>
      <c r="D565" s="680">
        <f t="shared" si="169"/>
        <v>393.34765767115374</v>
      </c>
      <c r="E565" s="680">
        <f t="shared" si="169"/>
        <v>124.46765253493697</v>
      </c>
      <c r="F565" s="680">
        <f t="shared" si="169"/>
        <v>268.36732510111926</v>
      </c>
      <c r="G565" s="680">
        <f t="shared" si="169"/>
        <v>21.450553213345604</v>
      </c>
      <c r="H565" s="680">
        <f t="shared" si="169"/>
        <v>390.56648190553642</v>
      </c>
      <c r="I565" s="680">
        <f t="shared" si="169"/>
        <v>100.3085154193507</v>
      </c>
      <c r="J565" s="513">
        <f t="shared" si="162"/>
        <v>14752.508185845443</v>
      </c>
      <c r="K565" s="677">
        <v>1</v>
      </c>
      <c r="L565" s="680">
        <f t="shared" si="163"/>
        <v>14752.508185845443</v>
      </c>
      <c r="M565" s="668">
        <v>13310</v>
      </c>
      <c r="N565" s="668"/>
      <c r="O565" s="567" t="s">
        <v>632</v>
      </c>
      <c r="P565" s="709">
        <v>40907</v>
      </c>
      <c r="Q565" s="670"/>
      <c r="R565" s="572">
        <f t="shared" si="170"/>
        <v>1</v>
      </c>
      <c r="S565" s="296">
        <v>13455</v>
      </c>
      <c r="T565" s="513">
        <f t="shared" si="164"/>
        <v>13455</v>
      </c>
      <c r="U565" s="537"/>
      <c r="V565" s="672"/>
      <c r="W565" s="496"/>
      <c r="X565" s="296"/>
      <c r="Y565" s="513">
        <f t="shared" si="165"/>
        <v>0</v>
      </c>
    </row>
    <row r="566" spans="1:25" ht="16.5" customHeight="1">
      <c r="A566" s="564">
        <f t="shared" si="160"/>
        <v>227</v>
      </c>
      <c r="B566" s="573" t="s">
        <v>1332</v>
      </c>
      <c r="C566" s="513">
        <f t="shared" si="161"/>
        <v>15443</v>
      </c>
      <c r="D566" s="680">
        <f t="shared" si="169"/>
        <v>393.34765767115374</v>
      </c>
      <c r="E566" s="680">
        <f t="shared" si="169"/>
        <v>124.46765253493697</v>
      </c>
      <c r="F566" s="680">
        <f t="shared" si="169"/>
        <v>268.36732510111926</v>
      </c>
      <c r="G566" s="680">
        <f t="shared" si="169"/>
        <v>21.450553213345604</v>
      </c>
      <c r="H566" s="680">
        <f t="shared" si="169"/>
        <v>390.56648190553642</v>
      </c>
      <c r="I566" s="680">
        <f t="shared" si="169"/>
        <v>100.3085154193507</v>
      </c>
      <c r="J566" s="513">
        <f t="shared" si="162"/>
        <v>16740.508185845443</v>
      </c>
      <c r="K566" s="677">
        <v>1</v>
      </c>
      <c r="L566" s="680">
        <f t="shared" si="163"/>
        <v>16740.508185845443</v>
      </c>
      <c r="M566" s="668">
        <v>17216</v>
      </c>
      <c r="N566" s="668"/>
      <c r="O566" s="567" t="s">
        <v>627</v>
      </c>
      <c r="P566" s="709">
        <v>40907</v>
      </c>
      <c r="Q566" s="670"/>
      <c r="R566" s="572">
        <f t="shared" si="170"/>
        <v>1</v>
      </c>
      <c r="S566" s="296">
        <v>15443</v>
      </c>
      <c r="T566" s="513">
        <f t="shared" si="164"/>
        <v>15443</v>
      </c>
      <c r="U566" s="537"/>
      <c r="V566" s="672"/>
      <c r="W566" s="496"/>
      <c r="X566" s="296"/>
      <c r="Y566" s="513">
        <f t="shared" si="165"/>
        <v>0</v>
      </c>
    </row>
    <row r="567" spans="1:25" ht="16.5" customHeight="1">
      <c r="A567" s="564">
        <f t="shared" si="160"/>
        <v>228</v>
      </c>
      <c r="B567" s="573" t="s">
        <v>1342</v>
      </c>
      <c r="C567" s="513">
        <f t="shared" si="161"/>
        <v>26910</v>
      </c>
      <c r="D567" s="680">
        <f t="shared" si="169"/>
        <v>786.69531534230748</v>
      </c>
      <c r="E567" s="680">
        <f t="shared" si="169"/>
        <v>248.93530506987395</v>
      </c>
      <c r="F567" s="680">
        <f t="shared" si="169"/>
        <v>536.73465020223853</v>
      </c>
      <c r="G567" s="680">
        <f t="shared" si="169"/>
        <v>42.901106426691207</v>
      </c>
      <c r="H567" s="680">
        <f t="shared" si="169"/>
        <v>781.13296381107284</v>
      </c>
      <c r="I567" s="680">
        <f t="shared" si="169"/>
        <v>200.6170308387014</v>
      </c>
      <c r="J567" s="513">
        <f t="shared" si="162"/>
        <v>29506.016371690886</v>
      </c>
      <c r="K567" s="677">
        <v>2</v>
      </c>
      <c r="L567" s="680">
        <f t="shared" si="163"/>
        <v>14753.008185845443</v>
      </c>
      <c r="M567" s="668">
        <v>15261</v>
      </c>
      <c r="N567" s="668"/>
      <c r="O567" s="567" t="s">
        <v>632</v>
      </c>
      <c r="P567" s="709">
        <v>40907</v>
      </c>
      <c r="Q567" s="670"/>
      <c r="R567" s="572">
        <f t="shared" si="170"/>
        <v>2</v>
      </c>
      <c r="S567" s="296">
        <v>13455</v>
      </c>
      <c r="T567" s="513">
        <f t="shared" si="164"/>
        <v>26910</v>
      </c>
      <c r="U567" s="537"/>
      <c r="V567" s="672"/>
      <c r="W567" s="496"/>
      <c r="X567" s="296"/>
      <c r="Y567" s="513">
        <f t="shared" si="165"/>
        <v>0</v>
      </c>
    </row>
    <row r="568" spans="1:25" ht="16.5" customHeight="1">
      <c r="A568" s="564">
        <f t="shared" si="160"/>
        <v>229</v>
      </c>
      <c r="B568" s="573" t="s">
        <v>720</v>
      </c>
      <c r="C568" s="513">
        <f t="shared" si="161"/>
        <v>13455</v>
      </c>
      <c r="D568" s="680">
        <f t="shared" si="169"/>
        <v>393.34765767115374</v>
      </c>
      <c r="E568" s="680">
        <f t="shared" si="169"/>
        <v>124.46765253493697</v>
      </c>
      <c r="F568" s="680">
        <f t="shared" si="169"/>
        <v>268.36732510111926</v>
      </c>
      <c r="G568" s="680">
        <f t="shared" si="169"/>
        <v>21.450553213345604</v>
      </c>
      <c r="H568" s="680">
        <f t="shared" si="169"/>
        <v>390.56648190553642</v>
      </c>
      <c r="I568" s="680">
        <f t="shared" si="169"/>
        <v>100.3085154193507</v>
      </c>
      <c r="J568" s="513">
        <f t="shared" si="162"/>
        <v>14752.508185845443</v>
      </c>
      <c r="K568" s="677">
        <v>1</v>
      </c>
      <c r="L568" s="680">
        <f t="shared" si="163"/>
        <v>14752.508185845443</v>
      </c>
      <c r="M568" s="668">
        <v>14462</v>
      </c>
      <c r="N568" s="668"/>
      <c r="O568" s="567" t="s">
        <v>632</v>
      </c>
      <c r="P568" s="709">
        <v>40907</v>
      </c>
      <c r="Q568" s="670"/>
      <c r="R568" s="572">
        <f t="shared" si="170"/>
        <v>1</v>
      </c>
      <c r="S568" s="296">
        <v>13455</v>
      </c>
      <c r="T568" s="513">
        <f t="shared" si="164"/>
        <v>13455</v>
      </c>
      <c r="U568" s="537"/>
      <c r="V568" s="672"/>
      <c r="W568" s="496"/>
      <c r="X568" s="296"/>
      <c r="Y568" s="513">
        <f t="shared" si="165"/>
        <v>0</v>
      </c>
    </row>
    <row r="569" spans="1:25" ht="16.5" customHeight="1">
      <c r="A569" s="564">
        <f t="shared" si="160"/>
        <v>230</v>
      </c>
      <c r="B569" s="573" t="s">
        <v>1343</v>
      </c>
      <c r="C569" s="513">
        <f t="shared" si="161"/>
        <v>15443</v>
      </c>
      <c r="D569" s="680">
        <f t="shared" si="169"/>
        <v>393.34765767115374</v>
      </c>
      <c r="E569" s="680">
        <f t="shared" si="169"/>
        <v>124.46765253493697</v>
      </c>
      <c r="F569" s="680">
        <f t="shared" si="169"/>
        <v>268.36732510111926</v>
      </c>
      <c r="G569" s="680">
        <f t="shared" si="169"/>
        <v>21.450553213345604</v>
      </c>
      <c r="H569" s="680">
        <f t="shared" si="169"/>
        <v>390.56648190553642</v>
      </c>
      <c r="I569" s="680">
        <f t="shared" si="169"/>
        <v>100.3085154193507</v>
      </c>
      <c r="J569" s="513">
        <f t="shared" si="162"/>
        <v>16740.508185845443</v>
      </c>
      <c r="K569" s="677">
        <v>1</v>
      </c>
      <c r="L569" s="680">
        <f t="shared" si="163"/>
        <v>16740.508185845443</v>
      </c>
      <c r="M569" s="668">
        <v>16025</v>
      </c>
      <c r="N569" s="668"/>
      <c r="O569" s="567" t="s">
        <v>627</v>
      </c>
      <c r="P569" s="709">
        <v>40907</v>
      </c>
      <c r="Q569" s="670"/>
      <c r="R569" s="572">
        <f t="shared" si="170"/>
        <v>1</v>
      </c>
      <c r="S569" s="296">
        <v>15443</v>
      </c>
      <c r="T569" s="513">
        <f t="shared" si="164"/>
        <v>15443</v>
      </c>
      <c r="U569" s="537"/>
      <c r="V569" s="672"/>
      <c r="W569" s="496"/>
      <c r="X569" s="296"/>
      <c r="Y569" s="513">
        <f t="shared" si="165"/>
        <v>0</v>
      </c>
    </row>
    <row r="570" spans="1:25" ht="16.5" customHeight="1">
      <c r="A570" s="564">
        <f t="shared" si="160"/>
        <v>231</v>
      </c>
      <c r="B570" s="573" t="s">
        <v>1344</v>
      </c>
      <c r="C570" s="513">
        <f t="shared" si="161"/>
        <v>13455</v>
      </c>
      <c r="D570" s="680">
        <f t="shared" ref="D570:I580" si="171">IF($K$582&lt;&gt;0,D$582/$K$582*$K570,0)</f>
        <v>393.34765767115374</v>
      </c>
      <c r="E570" s="680">
        <f t="shared" si="171"/>
        <v>124.46765253493697</v>
      </c>
      <c r="F570" s="680">
        <f t="shared" si="171"/>
        <v>268.36732510111926</v>
      </c>
      <c r="G570" s="680">
        <f t="shared" si="171"/>
        <v>21.450553213345604</v>
      </c>
      <c r="H570" s="680">
        <f t="shared" si="171"/>
        <v>390.56648190553642</v>
      </c>
      <c r="I570" s="680">
        <f t="shared" si="171"/>
        <v>100.3085154193507</v>
      </c>
      <c r="J570" s="513">
        <f t="shared" si="162"/>
        <v>14752.508185845443</v>
      </c>
      <c r="K570" s="677">
        <v>1</v>
      </c>
      <c r="L570" s="680">
        <f t="shared" si="163"/>
        <v>14752.508185845443</v>
      </c>
      <c r="M570" s="668">
        <v>13871</v>
      </c>
      <c r="N570" s="668"/>
      <c r="O570" s="567" t="s">
        <v>632</v>
      </c>
      <c r="P570" s="709">
        <v>40907</v>
      </c>
      <c r="Q570" s="670"/>
      <c r="R570" s="572">
        <f t="shared" si="170"/>
        <v>1</v>
      </c>
      <c r="S570" s="296">
        <v>13455</v>
      </c>
      <c r="T570" s="513">
        <f t="shared" si="164"/>
        <v>13455</v>
      </c>
      <c r="U570" s="537"/>
      <c r="V570" s="672"/>
      <c r="W570" s="496"/>
      <c r="X570" s="296"/>
      <c r="Y570" s="513">
        <f t="shared" si="165"/>
        <v>0</v>
      </c>
    </row>
    <row r="571" spans="1:25" ht="16.5" customHeight="1">
      <c r="A571" s="564">
        <f t="shared" si="160"/>
        <v>232</v>
      </c>
      <c r="B571" s="573" t="s">
        <v>1345</v>
      </c>
      <c r="C571" s="513">
        <f t="shared" si="161"/>
        <v>16439</v>
      </c>
      <c r="D571" s="680">
        <f t="shared" si="171"/>
        <v>393.34765767115374</v>
      </c>
      <c r="E571" s="680">
        <f t="shared" si="171"/>
        <v>124.46765253493697</v>
      </c>
      <c r="F571" s="680">
        <f t="shared" si="171"/>
        <v>268.36732510111926</v>
      </c>
      <c r="G571" s="680">
        <f t="shared" si="171"/>
        <v>21.450553213345604</v>
      </c>
      <c r="H571" s="680">
        <f t="shared" si="171"/>
        <v>390.56648190553642</v>
      </c>
      <c r="I571" s="680">
        <f t="shared" si="171"/>
        <v>100.3085154193507</v>
      </c>
      <c r="J571" s="513">
        <f t="shared" si="162"/>
        <v>17736.508185845447</v>
      </c>
      <c r="K571" s="677">
        <v>1</v>
      </c>
      <c r="L571" s="680">
        <f t="shared" si="163"/>
        <v>17736.508185845447</v>
      </c>
      <c r="M571" s="668">
        <v>19814</v>
      </c>
      <c r="N571" s="668"/>
      <c r="O571" s="567" t="s">
        <v>622</v>
      </c>
      <c r="P571" s="709">
        <v>40907</v>
      </c>
      <c r="Q571" s="670"/>
      <c r="R571" s="572">
        <f>K571/2</f>
        <v>0.5</v>
      </c>
      <c r="S571" s="296">
        <v>32878</v>
      </c>
      <c r="T571" s="513">
        <f t="shared" si="164"/>
        <v>16439</v>
      </c>
      <c r="U571" s="537"/>
      <c r="V571" s="672"/>
      <c r="W571" s="496"/>
      <c r="X571" s="296"/>
      <c r="Y571" s="513">
        <f t="shared" si="165"/>
        <v>0</v>
      </c>
    </row>
    <row r="572" spans="1:25" ht="16.5" customHeight="1">
      <c r="A572" s="564">
        <f t="shared" si="160"/>
        <v>233</v>
      </c>
      <c r="B572" s="573" t="s">
        <v>1305</v>
      </c>
      <c r="C572" s="513">
        <f t="shared" si="161"/>
        <v>148005</v>
      </c>
      <c r="D572" s="680">
        <f t="shared" si="171"/>
        <v>4326.8242343826914</v>
      </c>
      <c r="E572" s="680">
        <f t="shared" si="171"/>
        <v>1369.1441778843068</v>
      </c>
      <c r="F572" s="680">
        <f t="shared" si="171"/>
        <v>2952.040576112312</v>
      </c>
      <c r="G572" s="680">
        <f t="shared" si="171"/>
        <v>235.95608534680164</v>
      </c>
      <c r="H572" s="680">
        <f t="shared" si="171"/>
        <v>4296.2313009609006</v>
      </c>
      <c r="I572" s="680">
        <f t="shared" si="171"/>
        <v>1103.3936696128576</v>
      </c>
      <c r="J572" s="513">
        <f t="shared" si="162"/>
        <v>162287.59004429987</v>
      </c>
      <c r="K572" s="677">
        <v>11</v>
      </c>
      <c r="L572" s="680">
        <f t="shared" si="163"/>
        <v>14753.417276754533</v>
      </c>
      <c r="M572" s="668">
        <v>15524</v>
      </c>
      <c r="N572" s="668"/>
      <c r="O572" s="567" t="s">
        <v>632</v>
      </c>
      <c r="P572" s="709">
        <v>40907</v>
      </c>
      <c r="Q572" s="670"/>
      <c r="R572" s="572">
        <f>K572</f>
        <v>11</v>
      </c>
      <c r="S572" s="296">
        <v>13455</v>
      </c>
      <c r="T572" s="513">
        <f t="shared" si="164"/>
        <v>148005</v>
      </c>
      <c r="U572" s="537"/>
      <c r="V572" s="672"/>
      <c r="W572" s="496"/>
      <c r="X572" s="296"/>
      <c r="Y572" s="513">
        <f t="shared" si="165"/>
        <v>0</v>
      </c>
    </row>
    <row r="573" spans="1:25" ht="16.5" customHeight="1">
      <c r="A573" s="564">
        <f t="shared" si="160"/>
        <v>234</v>
      </c>
      <c r="B573" s="573" t="s">
        <v>1306</v>
      </c>
      <c r="C573" s="513">
        <f t="shared" si="161"/>
        <v>4324060</v>
      </c>
      <c r="D573" s="680">
        <f t="shared" si="171"/>
        <v>102270.39099449998</v>
      </c>
      <c r="E573" s="680">
        <f t="shared" si="171"/>
        <v>32361.589659083613</v>
      </c>
      <c r="F573" s="680">
        <f t="shared" si="171"/>
        <v>69775.504526291013</v>
      </c>
      <c r="G573" s="680">
        <f t="shared" si="171"/>
        <v>5577.1438354698566</v>
      </c>
      <c r="H573" s="680">
        <f t="shared" si="171"/>
        <v>101547.28529543948</v>
      </c>
      <c r="I573" s="680">
        <f t="shared" si="171"/>
        <v>26080.21400903118</v>
      </c>
      <c r="J573" s="513">
        <f t="shared" si="162"/>
        <v>4661671.1283198157</v>
      </c>
      <c r="K573" s="677">
        <v>260</v>
      </c>
      <c r="L573" s="680">
        <f t="shared" si="163"/>
        <v>17929.504339691601</v>
      </c>
      <c r="M573" s="668">
        <v>24159</v>
      </c>
      <c r="N573" s="668"/>
      <c r="O573" s="567" t="s">
        <v>633</v>
      </c>
      <c r="P573" s="709">
        <v>40907</v>
      </c>
      <c r="Q573" s="670"/>
      <c r="R573" s="572">
        <f>K573</f>
        <v>260</v>
      </c>
      <c r="S573" s="296">
        <v>16631</v>
      </c>
      <c r="T573" s="513">
        <f t="shared" si="164"/>
        <v>4324060</v>
      </c>
      <c r="U573" s="537"/>
      <c r="V573" s="672"/>
      <c r="W573" s="496"/>
      <c r="X573" s="296"/>
      <c r="Y573" s="513">
        <f t="shared" si="165"/>
        <v>0</v>
      </c>
    </row>
    <row r="574" spans="1:25" ht="16.5" customHeight="1">
      <c r="A574" s="564">
        <f t="shared" si="160"/>
        <v>235</v>
      </c>
      <c r="B574" s="573" t="s">
        <v>1274</v>
      </c>
      <c r="C574" s="513">
        <f t="shared" si="161"/>
        <v>772150</v>
      </c>
      <c r="D574" s="680">
        <f t="shared" si="171"/>
        <v>19667.382883557686</v>
      </c>
      <c r="E574" s="680">
        <f t="shared" si="171"/>
        <v>6223.3826267468485</v>
      </c>
      <c r="F574" s="680">
        <f t="shared" si="171"/>
        <v>13418.366255055964</v>
      </c>
      <c r="G574" s="680">
        <f t="shared" si="171"/>
        <v>1072.5276606672801</v>
      </c>
      <c r="H574" s="680">
        <f t="shared" si="171"/>
        <v>19528.324095276821</v>
      </c>
      <c r="I574" s="680">
        <f t="shared" si="171"/>
        <v>5015.4257709675348</v>
      </c>
      <c r="J574" s="513">
        <f t="shared" si="162"/>
        <v>837074.40929227218</v>
      </c>
      <c r="K574" s="677">
        <v>50</v>
      </c>
      <c r="L574" s="680">
        <f t="shared" si="163"/>
        <v>16741.488185845443</v>
      </c>
      <c r="M574" s="668">
        <v>18100</v>
      </c>
      <c r="N574" s="668"/>
      <c r="O574" s="567" t="s">
        <v>627</v>
      </c>
      <c r="P574" s="709">
        <v>40907</v>
      </c>
      <c r="Q574" s="670"/>
      <c r="R574" s="572">
        <f>K574</f>
        <v>50</v>
      </c>
      <c r="S574" s="296">
        <v>15443</v>
      </c>
      <c r="T574" s="513">
        <f t="shared" si="164"/>
        <v>772150</v>
      </c>
      <c r="U574" s="537"/>
      <c r="V574" s="672"/>
      <c r="W574" s="496"/>
      <c r="X574" s="296"/>
      <c r="Y574" s="513">
        <f t="shared" si="165"/>
        <v>0</v>
      </c>
    </row>
    <row r="575" spans="1:25" ht="16.5" customHeight="1">
      <c r="A575" s="564">
        <f t="shared" si="160"/>
        <v>236</v>
      </c>
      <c r="B575" s="573" t="s">
        <v>1276</v>
      </c>
      <c r="C575" s="513">
        <f t="shared" si="161"/>
        <v>1663100</v>
      </c>
      <c r="D575" s="680">
        <f t="shared" si="171"/>
        <v>39334.765767115372</v>
      </c>
      <c r="E575" s="680">
        <f t="shared" si="171"/>
        <v>12446.765253493697</v>
      </c>
      <c r="F575" s="680">
        <f t="shared" si="171"/>
        <v>26836.732510111928</v>
      </c>
      <c r="G575" s="680">
        <f t="shared" si="171"/>
        <v>2145.0553213345602</v>
      </c>
      <c r="H575" s="680">
        <f t="shared" si="171"/>
        <v>39056.648190553642</v>
      </c>
      <c r="I575" s="680">
        <f t="shared" si="171"/>
        <v>10030.85154193507</v>
      </c>
      <c r="J575" s="513">
        <f t="shared" si="162"/>
        <v>1792949.8185845444</v>
      </c>
      <c r="K575" s="677">
        <v>100</v>
      </c>
      <c r="L575" s="680">
        <f t="shared" si="163"/>
        <v>17929.498185845445</v>
      </c>
      <c r="M575" s="668">
        <v>23260</v>
      </c>
      <c r="N575" s="668"/>
      <c r="O575" s="567" t="s">
        <v>633</v>
      </c>
      <c r="P575" s="709">
        <v>40907</v>
      </c>
      <c r="Q575" s="670"/>
      <c r="R575" s="572">
        <f>K575</f>
        <v>100</v>
      </c>
      <c r="S575" s="296">
        <v>16631</v>
      </c>
      <c r="T575" s="513">
        <f t="shared" si="164"/>
        <v>1663100</v>
      </c>
      <c r="U575" s="537"/>
      <c r="V575" s="672"/>
      <c r="W575" s="496"/>
      <c r="X575" s="296"/>
      <c r="Y575" s="513">
        <f t="shared" si="165"/>
        <v>0</v>
      </c>
    </row>
    <row r="576" spans="1:25" ht="16.5" customHeight="1">
      <c r="A576" s="564">
        <f t="shared" si="160"/>
        <v>237</v>
      </c>
      <c r="B576" s="573" t="s">
        <v>1277</v>
      </c>
      <c r="C576" s="513">
        <f t="shared" si="161"/>
        <v>821950</v>
      </c>
      <c r="D576" s="680">
        <f t="shared" si="171"/>
        <v>19667.382883557686</v>
      </c>
      <c r="E576" s="680">
        <f t="shared" si="171"/>
        <v>6223.3826267468485</v>
      </c>
      <c r="F576" s="680">
        <f t="shared" si="171"/>
        <v>13418.366255055964</v>
      </c>
      <c r="G576" s="680">
        <f t="shared" si="171"/>
        <v>1072.5276606672801</v>
      </c>
      <c r="H576" s="680">
        <f t="shared" si="171"/>
        <v>19528.324095276821</v>
      </c>
      <c r="I576" s="680">
        <f t="shared" si="171"/>
        <v>5015.4257709675348</v>
      </c>
      <c r="J576" s="513">
        <f t="shared" si="162"/>
        <v>886874.40929227218</v>
      </c>
      <c r="K576" s="677">
        <v>50</v>
      </c>
      <c r="L576" s="680">
        <f t="shared" si="163"/>
        <v>17737.488185845443</v>
      </c>
      <c r="M576" s="668">
        <v>20090</v>
      </c>
      <c r="N576" s="668"/>
      <c r="O576" s="567" t="s">
        <v>622</v>
      </c>
      <c r="P576" s="709">
        <v>40907</v>
      </c>
      <c r="Q576" s="670"/>
      <c r="R576" s="572">
        <f>K576/2</f>
        <v>25</v>
      </c>
      <c r="S576" s="296">
        <v>32878</v>
      </c>
      <c r="T576" s="513">
        <f t="shared" si="164"/>
        <v>821950</v>
      </c>
      <c r="U576" s="537"/>
      <c r="V576" s="672"/>
      <c r="W576" s="496"/>
      <c r="X576" s="296"/>
      <c r="Y576" s="513">
        <f t="shared" si="165"/>
        <v>0</v>
      </c>
    </row>
    <row r="577" spans="1:25" ht="16.5" customHeight="1">
      <c r="A577" s="564">
        <f t="shared" si="160"/>
        <v>238</v>
      </c>
      <c r="B577" s="573" t="s">
        <v>1278</v>
      </c>
      <c r="C577" s="513">
        <f t="shared" si="161"/>
        <v>3159890</v>
      </c>
      <c r="D577" s="680">
        <f t="shared" si="171"/>
        <v>74736.054957519213</v>
      </c>
      <c r="E577" s="680">
        <f t="shared" si="171"/>
        <v>23648.853981638025</v>
      </c>
      <c r="F577" s="680">
        <f t="shared" si="171"/>
        <v>50989.791769212658</v>
      </c>
      <c r="G577" s="680">
        <f t="shared" si="171"/>
        <v>4075.6051105356646</v>
      </c>
      <c r="H577" s="680">
        <f t="shared" si="171"/>
        <v>74207.631562051916</v>
      </c>
      <c r="I577" s="680">
        <f t="shared" si="171"/>
        <v>19058.617929676631</v>
      </c>
      <c r="J577" s="513">
        <f t="shared" si="162"/>
        <v>3406605.555310634</v>
      </c>
      <c r="K577" s="677">
        <v>190</v>
      </c>
      <c r="L577" s="680">
        <f t="shared" si="163"/>
        <v>17929.502922687549</v>
      </c>
      <c r="M577" s="668">
        <v>18170</v>
      </c>
      <c r="N577" s="668"/>
      <c r="O577" s="567" t="s">
        <v>633</v>
      </c>
      <c r="P577" s="709">
        <v>40907</v>
      </c>
      <c r="Q577" s="670"/>
      <c r="R577" s="572">
        <f>K577</f>
        <v>190</v>
      </c>
      <c r="S577" s="296">
        <v>16631</v>
      </c>
      <c r="T577" s="513">
        <f t="shared" si="164"/>
        <v>3159890</v>
      </c>
      <c r="U577" s="537"/>
      <c r="V577" s="672"/>
      <c r="W577" s="496"/>
      <c r="X577" s="296"/>
      <c r="Y577" s="513">
        <f t="shared" si="165"/>
        <v>0</v>
      </c>
    </row>
    <row r="578" spans="1:25" ht="16.5" customHeight="1">
      <c r="A578" s="564">
        <f t="shared" si="160"/>
        <v>239</v>
      </c>
      <c r="B578" s="573" t="s">
        <v>1279</v>
      </c>
      <c r="C578" s="513">
        <f t="shared" si="161"/>
        <v>2162030</v>
      </c>
      <c r="D578" s="680">
        <f t="shared" si="171"/>
        <v>51135.195497249988</v>
      </c>
      <c r="E578" s="680">
        <f t="shared" si="171"/>
        <v>16180.794829541806</v>
      </c>
      <c r="F578" s="680">
        <f t="shared" si="171"/>
        <v>34887.752263145507</v>
      </c>
      <c r="G578" s="680">
        <f t="shared" si="171"/>
        <v>2788.5719177349283</v>
      </c>
      <c r="H578" s="680">
        <f t="shared" si="171"/>
        <v>50773.642647719738</v>
      </c>
      <c r="I578" s="680">
        <f t="shared" si="171"/>
        <v>13040.10700451559</v>
      </c>
      <c r="J578" s="513">
        <f t="shared" si="162"/>
        <v>2330835.0641599079</v>
      </c>
      <c r="K578" s="677">
        <v>130</v>
      </c>
      <c r="L578" s="680">
        <f t="shared" si="163"/>
        <v>17929.500493537751</v>
      </c>
      <c r="M578" s="668">
        <v>19420</v>
      </c>
      <c r="N578" s="668"/>
      <c r="O578" s="567" t="s">
        <v>633</v>
      </c>
      <c r="P578" s="709">
        <v>40907</v>
      </c>
      <c r="Q578" s="670"/>
      <c r="R578" s="572">
        <f>K578</f>
        <v>130</v>
      </c>
      <c r="S578" s="296">
        <v>16631</v>
      </c>
      <c r="T578" s="513">
        <f t="shared" si="164"/>
        <v>2162030</v>
      </c>
      <c r="U578" s="537"/>
      <c r="V578" s="672"/>
      <c r="W578" s="496"/>
      <c r="X578" s="296"/>
      <c r="Y578" s="513">
        <f t="shared" si="165"/>
        <v>0</v>
      </c>
    </row>
    <row r="579" spans="1:25" ht="16.5" customHeight="1">
      <c r="A579" s="564">
        <f t="shared" si="160"/>
        <v>240</v>
      </c>
      <c r="B579" s="573" t="s">
        <v>1280</v>
      </c>
      <c r="C579" s="513">
        <f t="shared" si="161"/>
        <v>1829410</v>
      </c>
      <c r="D579" s="680">
        <f t="shared" si="171"/>
        <v>43268.242343826911</v>
      </c>
      <c r="E579" s="680">
        <f t="shared" si="171"/>
        <v>13691.441778843067</v>
      </c>
      <c r="F579" s="680">
        <f t="shared" si="171"/>
        <v>29520.405761123118</v>
      </c>
      <c r="G579" s="680">
        <f t="shared" si="171"/>
        <v>2359.5608534680164</v>
      </c>
      <c r="H579" s="680">
        <f t="shared" si="171"/>
        <v>42962.313009609003</v>
      </c>
      <c r="I579" s="680">
        <f t="shared" si="171"/>
        <v>11033.936696128576</v>
      </c>
      <c r="J579" s="513">
        <f t="shared" si="162"/>
        <v>1972244.9004429989</v>
      </c>
      <c r="K579" s="677">
        <v>110</v>
      </c>
      <c r="L579" s="680">
        <f t="shared" si="163"/>
        <v>17929.499094936353</v>
      </c>
      <c r="M579" s="668">
        <v>19450</v>
      </c>
      <c r="N579" s="668"/>
      <c r="O579" s="567" t="s">
        <v>633</v>
      </c>
      <c r="P579" s="709">
        <v>40907</v>
      </c>
      <c r="Q579" s="670"/>
      <c r="R579" s="572">
        <f>K579</f>
        <v>110</v>
      </c>
      <c r="S579" s="296">
        <v>16631</v>
      </c>
      <c r="T579" s="513">
        <f t="shared" si="164"/>
        <v>1829410</v>
      </c>
      <c r="U579" s="537"/>
      <c r="V579" s="672"/>
      <c r="W579" s="496"/>
      <c r="X579" s="296"/>
      <c r="Y579" s="513">
        <f t="shared" si="165"/>
        <v>0</v>
      </c>
    </row>
    <row r="580" spans="1:25" ht="16.5" customHeight="1">
      <c r="A580" s="564">
        <f t="shared" si="160"/>
        <v>241</v>
      </c>
      <c r="B580" s="573" t="s">
        <v>1347</v>
      </c>
      <c r="C580" s="513">
        <f t="shared" si="161"/>
        <v>197268</v>
      </c>
      <c r="D580" s="680">
        <f t="shared" si="171"/>
        <v>4720.1718920538451</v>
      </c>
      <c r="E580" s="680">
        <f t="shared" si="171"/>
        <v>1493.6118304192437</v>
      </c>
      <c r="F580" s="680">
        <f t="shared" si="171"/>
        <v>3220.4079012134312</v>
      </c>
      <c r="G580" s="680">
        <f t="shared" si="171"/>
        <v>257.40663856014726</v>
      </c>
      <c r="H580" s="680">
        <f t="shared" si="171"/>
        <v>4686.797782866437</v>
      </c>
      <c r="I580" s="680">
        <f t="shared" si="171"/>
        <v>1203.7021850322085</v>
      </c>
      <c r="J580" s="513">
        <f t="shared" si="162"/>
        <v>212849.09823014532</v>
      </c>
      <c r="K580" s="677">
        <v>12</v>
      </c>
      <c r="L580" s="680">
        <f t="shared" si="163"/>
        <v>17737.424852512111</v>
      </c>
      <c r="M580" s="668">
        <v>19625</v>
      </c>
      <c r="N580" s="668"/>
      <c r="O580" s="567" t="s">
        <v>622</v>
      </c>
      <c r="P580" s="709">
        <v>40907</v>
      </c>
      <c r="Q580" s="670"/>
      <c r="R580" s="572">
        <f>K580/2</f>
        <v>6</v>
      </c>
      <c r="S580" s="296">
        <v>32878</v>
      </c>
      <c r="T580" s="513">
        <f t="shared" si="164"/>
        <v>197268</v>
      </c>
      <c r="U580" s="537"/>
      <c r="V580" s="672"/>
      <c r="W580" s="496"/>
      <c r="X580" s="296"/>
      <c r="Y580" s="513">
        <f t="shared" si="165"/>
        <v>0</v>
      </c>
    </row>
    <row r="581" spans="1:25" ht="16.5" customHeight="1">
      <c r="A581" s="679"/>
      <c r="B581" s="566"/>
      <c r="C581" s="513"/>
      <c r="D581" s="680"/>
      <c r="E581" s="680"/>
      <c r="F581" s="680"/>
      <c r="G581" s="680"/>
      <c r="H581" s="680"/>
      <c r="I581" s="680"/>
      <c r="J581" s="513"/>
      <c r="K581" s="680"/>
      <c r="L581" s="680"/>
      <c r="M581" s="668"/>
      <c r="N581" s="668"/>
      <c r="O581" s="537"/>
      <c r="P581" s="672"/>
      <c r="Q581" s="670"/>
      <c r="R581" s="572"/>
      <c r="S581" s="296"/>
      <c r="T581" s="513">
        <f t="shared" si="119"/>
        <v>0</v>
      </c>
      <c r="U581" s="537"/>
      <c r="V581" s="672"/>
      <c r="W581" s="496"/>
      <c r="X581" s="296"/>
      <c r="Y581" s="513">
        <f t="shared" si="120"/>
        <v>0</v>
      </c>
    </row>
    <row r="582" spans="1:25" s="691" customFormat="1" ht="16.5" customHeight="1">
      <c r="A582" s="692"/>
      <c r="B582" s="693" t="s">
        <v>235</v>
      </c>
      <c r="C582" s="694">
        <f>SUM(C340:C581)</f>
        <v>337375734</v>
      </c>
      <c r="D582" s="694">
        <v>18379956</v>
      </c>
      <c r="E582" s="694">
        <f>$Y$582</f>
        <v>5816000</v>
      </c>
      <c r="F582" s="694">
        <v>12540000</v>
      </c>
      <c r="G582" s="694">
        <v>1002320</v>
      </c>
      <c r="H582" s="694">
        <v>18250000</v>
      </c>
      <c r="I582" s="694">
        <v>4687116</v>
      </c>
      <c r="J582" s="694">
        <f>SUM(J340:J581)</f>
        <v>398051099.09153324</v>
      </c>
      <c r="K582" s="694">
        <f>ROUND(SUM(K340:K581),0)</f>
        <v>46727</v>
      </c>
      <c r="L582" s="694"/>
      <c r="M582" s="668"/>
      <c r="N582" s="668"/>
      <c r="O582" s="695"/>
      <c r="P582" s="696"/>
      <c r="Q582" s="697"/>
      <c r="R582" s="698"/>
      <c r="S582" s="710"/>
      <c r="T582" s="373">
        <f>SUM(T340:T581)</f>
        <v>337375734</v>
      </c>
      <c r="U582" s="695"/>
      <c r="V582" s="696"/>
      <c r="W582" s="699"/>
      <c r="X582" s="710"/>
      <c r="Y582" s="373">
        <f>SUM(Y340:Y581)</f>
        <v>5816000</v>
      </c>
    </row>
    <row r="583" spans="1:25" s="649" customFormat="1">
      <c r="A583" s="637"/>
      <c r="B583" s="637"/>
      <c r="C583" s="637"/>
      <c r="D583" s="637"/>
      <c r="E583" s="637"/>
      <c r="F583" s="637"/>
      <c r="G583" s="637"/>
      <c r="H583" s="637"/>
      <c r="I583" s="637"/>
      <c r="J583" s="300"/>
      <c r="K583" s="637"/>
      <c r="L583" s="637"/>
      <c r="M583" s="668"/>
      <c r="N583" s="668"/>
      <c r="O583" s="637"/>
      <c r="P583" s="711"/>
      <c r="Q583" s="706"/>
      <c r="R583" s="707"/>
      <c r="S583" s="300"/>
      <c r="T583" s="637"/>
      <c r="U583" s="637"/>
      <c r="V583" s="711"/>
      <c r="W583" s="300"/>
      <c r="X583" s="300"/>
      <c r="Y583" s="637"/>
    </row>
    <row r="584" spans="1:25">
      <c r="M584" s="668"/>
      <c r="N584" s="668"/>
    </row>
    <row r="585" spans="1:25">
      <c r="J585" s="640"/>
      <c r="M585" s="668"/>
      <c r="N585" s="668"/>
    </row>
    <row r="586" spans="1:25">
      <c r="M586" s="668"/>
      <c r="N586" s="668"/>
    </row>
  </sheetData>
  <autoFilter ref="A339:AA580"/>
  <sortState ref="A359:AB597">
    <sortCondition ref="V359:V597"/>
  </sortState>
  <dataValidations count="1">
    <dataValidation type="list" allowBlank="1" showInputMessage="1" showErrorMessage="1" sqref="O339 O178 O5 U339 U178 U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26" customWidth="1"/>
    <col min="2" max="2" width="9.140625" style="526" customWidth="1"/>
    <col min="3" max="3" width="9" style="529" customWidth="1"/>
    <col min="4" max="4" width="28.140625" style="526" customWidth="1"/>
    <col min="5" max="5" width="9.140625" style="526" customWidth="1"/>
    <col min="6" max="6" width="9.28515625" style="529" customWidth="1"/>
    <col min="7" max="7" width="9" style="526" customWidth="1"/>
    <col min="8" max="8" width="14.5703125" style="526" customWidth="1"/>
    <col min="9" max="9" width="6" style="526" customWidth="1"/>
    <col min="10" max="10" width="14.140625" style="526" customWidth="1"/>
    <col min="11" max="11" width="14.85546875" style="717" customWidth="1"/>
    <col min="12" max="12" width="14.42578125" style="526" customWidth="1"/>
    <col min="13" max="13" width="5.85546875" style="526" customWidth="1"/>
    <col min="14" max="14" width="7.42578125" style="526" customWidth="1"/>
    <col min="15" max="15" width="11.7109375" style="526" customWidth="1"/>
    <col min="16" max="16" width="4.5703125" style="718" customWidth="1"/>
    <col min="17" max="17" width="11.140625" style="526" bestFit="1" customWidth="1"/>
    <col min="18" max="18" width="12" style="526" bestFit="1" customWidth="1"/>
    <col min="19" max="16384" width="9.140625" style="526"/>
  </cols>
  <sheetData>
    <row r="1" spans="1:18" ht="15" customHeight="1">
      <c r="A1" s="716" t="str">
        <f>TH!A1</f>
        <v>Đơn vị: CÔNG TY TNHH SX TM KIM DUNG PHÁT</v>
      </c>
      <c r="L1" s="926" t="s">
        <v>254</v>
      </c>
      <c r="M1" s="926"/>
      <c r="N1" s="926"/>
      <c r="O1" s="926"/>
    </row>
    <row r="2" spans="1:18" ht="15" customHeight="1">
      <c r="A2" s="719" t="str">
        <f>TH!A2</f>
        <v>Địa chỉ: 1A227/1 Ấp 1, Phạm Văn Hai, Bình Chánh, TPHCM</v>
      </c>
      <c r="L2" s="92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25"/>
      <c r="N2" s="925"/>
      <c r="O2" s="925"/>
    </row>
    <row r="3" spans="1:18" ht="15" customHeight="1">
      <c r="L3" s="925"/>
      <c r="M3" s="925"/>
      <c r="N3" s="925"/>
      <c r="O3" s="925"/>
    </row>
    <row r="5" spans="1:18" ht="30" customHeight="1">
      <c r="A5" s="927" t="s">
        <v>255</v>
      </c>
      <c r="B5" s="927"/>
      <c r="C5" s="927"/>
      <c r="D5" s="927"/>
      <c r="E5" s="927"/>
      <c r="F5" s="927"/>
      <c r="G5" s="927"/>
      <c r="H5" s="927"/>
      <c r="I5" s="927"/>
      <c r="J5" s="927"/>
      <c r="K5" s="927"/>
      <c r="L5" s="927"/>
      <c r="M5" s="927"/>
      <c r="N5" s="927"/>
      <c r="O5" s="927"/>
    </row>
    <row r="6" spans="1:18" ht="21" customHeight="1">
      <c r="A6" s="928" t="str">
        <f>"Năm: "&amp;YEAR(TH!$C$10)</f>
        <v>Năm: 2011</v>
      </c>
      <c r="B6" s="928"/>
      <c r="C6" s="928"/>
      <c r="D6" s="928"/>
      <c r="E6" s="928"/>
      <c r="F6" s="928"/>
      <c r="G6" s="928"/>
      <c r="H6" s="928"/>
      <c r="I6" s="928"/>
      <c r="J6" s="928"/>
      <c r="K6" s="928"/>
      <c r="L6" s="928"/>
      <c r="M6" s="928"/>
      <c r="N6" s="928"/>
      <c r="O6" s="928"/>
    </row>
    <row r="7" spans="1:18" ht="21" customHeight="1">
      <c r="A7" s="869" t="s">
        <v>297</v>
      </c>
      <c r="B7" s="869"/>
      <c r="C7" s="869"/>
      <c r="D7" s="869"/>
      <c r="E7" s="869"/>
      <c r="F7" s="869"/>
      <c r="G7" s="869"/>
      <c r="H7" s="869"/>
      <c r="I7" s="869"/>
      <c r="J7" s="869"/>
      <c r="K7" s="869"/>
      <c r="L7" s="869"/>
      <c r="M7" s="869"/>
      <c r="N7" s="869"/>
      <c r="O7" s="869"/>
    </row>
    <row r="8" spans="1:18">
      <c r="D8" s="529"/>
    </row>
    <row r="9" spans="1:18" s="721" customFormat="1" ht="24" customHeight="1">
      <c r="A9" s="929" t="s">
        <v>218</v>
      </c>
      <c r="B9" s="932" t="s">
        <v>256</v>
      </c>
      <c r="C9" s="933"/>
      <c r="D9" s="933"/>
      <c r="E9" s="933"/>
      <c r="F9" s="933"/>
      <c r="G9" s="933"/>
      <c r="H9" s="934"/>
      <c r="I9" s="932" t="s">
        <v>257</v>
      </c>
      <c r="J9" s="933"/>
      <c r="K9" s="933"/>
      <c r="L9" s="934"/>
      <c r="M9" s="935" t="s">
        <v>258</v>
      </c>
      <c r="N9" s="935"/>
      <c r="O9" s="935"/>
      <c r="P9" s="720"/>
    </row>
    <row r="10" spans="1:18" s="721" customFormat="1" ht="24" customHeight="1">
      <c r="A10" s="930"/>
      <c r="B10" s="932" t="s">
        <v>259</v>
      </c>
      <c r="C10" s="934"/>
      <c r="D10" s="929" t="s">
        <v>260</v>
      </c>
      <c r="E10" s="929" t="s">
        <v>261</v>
      </c>
      <c r="F10" s="929" t="s">
        <v>262</v>
      </c>
      <c r="G10" s="929" t="s">
        <v>263</v>
      </c>
      <c r="H10" s="929" t="s">
        <v>264</v>
      </c>
      <c r="I10" s="932" t="s">
        <v>265</v>
      </c>
      <c r="J10" s="934"/>
      <c r="K10" s="936" t="s">
        <v>266</v>
      </c>
      <c r="L10" s="929" t="s">
        <v>267</v>
      </c>
      <c r="M10" s="935" t="s">
        <v>259</v>
      </c>
      <c r="N10" s="935"/>
      <c r="O10" s="935" t="s">
        <v>268</v>
      </c>
      <c r="P10" s="720"/>
    </row>
    <row r="11" spans="1:18" s="721" customFormat="1" ht="55.5" customHeight="1">
      <c r="A11" s="931"/>
      <c r="B11" s="722" t="s">
        <v>269</v>
      </c>
      <c r="C11" s="722" t="s">
        <v>219</v>
      </c>
      <c r="D11" s="931"/>
      <c r="E11" s="931"/>
      <c r="F11" s="931"/>
      <c r="G11" s="931"/>
      <c r="H11" s="931"/>
      <c r="I11" s="722" t="s">
        <v>270</v>
      </c>
      <c r="J11" s="722" t="s">
        <v>271</v>
      </c>
      <c r="K11" s="937"/>
      <c r="L11" s="931"/>
      <c r="M11" s="722" t="s">
        <v>15</v>
      </c>
      <c r="N11" s="722" t="s">
        <v>219</v>
      </c>
      <c r="O11" s="935"/>
      <c r="P11" s="720"/>
    </row>
    <row r="12" spans="1:18" s="726" customFormat="1">
      <c r="A12" s="723" t="s">
        <v>2</v>
      </c>
      <c r="B12" s="723" t="s">
        <v>3</v>
      </c>
      <c r="C12" s="723" t="s">
        <v>4</v>
      </c>
      <c r="D12" s="723" t="s">
        <v>5</v>
      </c>
      <c r="E12" s="723" t="s">
        <v>6</v>
      </c>
      <c r="F12" s="723" t="s">
        <v>120</v>
      </c>
      <c r="G12" s="723" t="s">
        <v>272</v>
      </c>
      <c r="H12" s="723">
        <v>1</v>
      </c>
      <c r="I12" s="723">
        <v>2</v>
      </c>
      <c r="J12" s="723">
        <v>3</v>
      </c>
      <c r="K12" s="724"/>
      <c r="L12" s="723">
        <v>4</v>
      </c>
      <c r="M12" s="723" t="s">
        <v>273</v>
      </c>
      <c r="N12" s="723" t="s">
        <v>274</v>
      </c>
      <c r="O12" s="723" t="s">
        <v>275</v>
      </c>
      <c r="P12" s="725"/>
    </row>
    <row r="13" spans="1:18" s="726" customFormat="1" ht="21.75" customHeight="1">
      <c r="A13" s="727" t="s">
        <v>273</v>
      </c>
      <c r="B13" s="728" t="s">
        <v>296</v>
      </c>
      <c r="C13" s="727"/>
      <c r="D13" s="727"/>
      <c r="E13" s="727"/>
      <c r="F13" s="727"/>
      <c r="G13" s="729"/>
      <c r="H13" s="730"/>
      <c r="I13" s="730"/>
      <c r="J13" s="730"/>
      <c r="K13" s="730"/>
      <c r="L13" s="495"/>
      <c r="M13" s="727"/>
      <c r="N13" s="727"/>
      <c r="O13" s="731"/>
      <c r="P13" s="725" t="str">
        <f>IF(D13='THE-TS'!$D$11,"x","")</f>
        <v/>
      </c>
    </row>
    <row r="14" spans="1:18" ht="21.75" customHeight="1">
      <c r="A14" s="536">
        <v>1</v>
      </c>
      <c r="B14" s="732" t="s">
        <v>648</v>
      </c>
      <c r="C14" s="733">
        <v>40682</v>
      </c>
      <c r="D14" s="498" t="s">
        <v>436</v>
      </c>
      <c r="E14" s="537" t="s">
        <v>276</v>
      </c>
      <c r="F14" s="734" t="s">
        <v>757</v>
      </c>
      <c r="G14" s="729" t="s">
        <v>703</v>
      </c>
      <c r="H14" s="675">
        <v>18000000</v>
      </c>
      <c r="I14" s="675">
        <v>5</v>
      </c>
      <c r="J14" s="495">
        <v>2100000</v>
      </c>
      <c r="K14" s="495"/>
      <c r="L14" s="495">
        <f t="shared" ref="L14:L16" si="0">K14+J14</f>
        <v>2100000</v>
      </c>
      <c r="M14" s="538"/>
      <c r="N14" s="537"/>
      <c r="O14" s="731"/>
      <c r="P14" s="725" t="str">
        <f>IF(D14='THE-TS'!$D$11,"x","")</f>
        <v>x</v>
      </c>
      <c r="Q14" s="300"/>
      <c r="R14" s="300"/>
    </row>
    <row r="15" spans="1:18" ht="21.75" customHeight="1">
      <c r="A15" s="536">
        <v>2</v>
      </c>
      <c r="B15" s="734" t="s">
        <v>651</v>
      </c>
      <c r="C15" s="733">
        <v>40686</v>
      </c>
      <c r="D15" s="498" t="s">
        <v>439</v>
      </c>
      <c r="E15" s="537" t="s">
        <v>276</v>
      </c>
      <c r="F15" s="734" t="s">
        <v>757</v>
      </c>
      <c r="G15" s="729" t="s">
        <v>704</v>
      </c>
      <c r="H15" s="675">
        <v>27000000</v>
      </c>
      <c r="I15" s="675">
        <v>5</v>
      </c>
      <c r="J15" s="495">
        <v>3150000</v>
      </c>
      <c r="K15" s="495"/>
      <c r="L15" s="495">
        <f t="shared" si="0"/>
        <v>3150000</v>
      </c>
      <c r="M15" s="538"/>
      <c r="N15" s="537"/>
      <c r="O15" s="731"/>
      <c r="P15" s="725" t="str">
        <f>IF(D15='THE-TS'!$D$11,"x","")</f>
        <v/>
      </c>
      <c r="Q15" s="300"/>
      <c r="R15" s="300"/>
    </row>
    <row r="16" spans="1:18" ht="21.75" customHeight="1">
      <c r="A16" s="536">
        <v>3</v>
      </c>
      <c r="B16" s="734" t="s">
        <v>314</v>
      </c>
      <c r="C16" s="733">
        <v>40710</v>
      </c>
      <c r="D16" s="498" t="s">
        <v>505</v>
      </c>
      <c r="E16" s="537" t="s">
        <v>276</v>
      </c>
      <c r="F16" s="734" t="s">
        <v>758</v>
      </c>
      <c r="G16" s="729" t="s">
        <v>705</v>
      </c>
      <c r="H16" s="675">
        <v>320000000</v>
      </c>
      <c r="I16" s="675">
        <v>5</v>
      </c>
      <c r="J16" s="495">
        <v>32000000</v>
      </c>
      <c r="K16" s="495"/>
      <c r="L16" s="495">
        <f t="shared" si="0"/>
        <v>32000000</v>
      </c>
      <c r="M16" s="538"/>
      <c r="N16" s="731"/>
      <c r="O16" s="731"/>
      <c r="P16" s="725" t="str">
        <f>IF(D16='THE-TS'!$D$11,"x","")</f>
        <v/>
      </c>
      <c r="Q16" s="300"/>
      <c r="R16" s="300"/>
    </row>
    <row r="17" spans="1:18" ht="21.75" customHeight="1">
      <c r="A17" s="540"/>
      <c r="B17" s="735"/>
      <c r="C17" s="736"/>
      <c r="D17" s="737"/>
      <c r="E17" s="539"/>
      <c r="F17" s="736"/>
      <c r="G17" s="735"/>
      <c r="H17" s="674"/>
      <c r="I17" s="674"/>
      <c r="J17" s="541"/>
      <c r="K17" s="541"/>
      <c r="L17" s="541"/>
      <c r="M17" s="539"/>
      <c r="N17" s="539"/>
      <c r="O17" s="539"/>
      <c r="P17" s="725" t="str">
        <f>IF(D17='THE-TS'!$D$11,"x","")</f>
        <v/>
      </c>
      <c r="R17" s="738"/>
    </row>
    <row r="18" spans="1:18" s="741" customFormat="1" ht="21.75" customHeight="1">
      <c r="A18" s="739"/>
      <c r="B18" s="740"/>
      <c r="C18" s="739"/>
      <c r="D18" s="739" t="s">
        <v>277</v>
      </c>
      <c r="E18" s="739" t="s">
        <v>18</v>
      </c>
      <c r="F18" s="739" t="s">
        <v>18</v>
      </c>
      <c r="G18" s="739" t="s">
        <v>18</v>
      </c>
      <c r="H18" s="694">
        <f>SUM(H13:H17)</f>
        <v>365000000</v>
      </c>
      <c r="I18" s="694"/>
      <c r="J18" s="694">
        <f>SUM(J13:J17)</f>
        <v>37250000</v>
      </c>
      <c r="K18" s="694">
        <f>SUM(K13:K17)</f>
        <v>0</v>
      </c>
      <c r="L18" s="694">
        <f>SUM(L13:L17)</f>
        <v>37250000</v>
      </c>
      <c r="M18" s="714" t="s">
        <v>18</v>
      </c>
      <c r="N18" s="714" t="s">
        <v>18</v>
      </c>
      <c r="O18" s="714" t="s">
        <v>18</v>
      </c>
      <c r="P18" s="725" t="str">
        <f>IF(D18='THE-TS'!$D$11,"x","")</f>
        <v/>
      </c>
    </row>
    <row r="19" spans="1:18" ht="6.75" customHeight="1">
      <c r="A19" s="643"/>
      <c r="B19" s="643"/>
      <c r="C19" s="742"/>
      <c r="D19" s="643"/>
      <c r="E19" s="742"/>
      <c r="F19" s="742"/>
      <c r="G19" s="742"/>
      <c r="H19" s="643"/>
      <c r="I19" s="643"/>
      <c r="J19" s="643"/>
      <c r="K19" s="743"/>
      <c r="L19" s="643"/>
      <c r="M19" s="643"/>
      <c r="N19" s="643"/>
      <c r="O19" s="643"/>
      <c r="P19" s="725" t="str">
        <f>IF(D19='THE-TS'!$D$11,"x","")</f>
        <v/>
      </c>
    </row>
    <row r="20" spans="1:18" ht="13.5" customHeight="1">
      <c r="A20" s="643"/>
      <c r="B20" s="643"/>
      <c r="C20" s="742"/>
      <c r="D20" s="643" t="s">
        <v>278</v>
      </c>
      <c r="E20" s="643"/>
      <c r="F20" s="742"/>
      <c r="G20" s="643"/>
      <c r="H20" s="717"/>
      <c r="I20" s="717"/>
      <c r="J20" s="744"/>
      <c r="L20" s="717"/>
      <c r="M20" s="643"/>
      <c r="N20" s="643"/>
      <c r="O20" s="643"/>
      <c r="P20" s="725" t="str">
        <f>IF(D20='THE-TS'!$D$11,"x","")</f>
        <v/>
      </c>
    </row>
    <row r="21" spans="1:18" ht="13.5" customHeight="1">
      <c r="A21" s="643"/>
      <c r="B21" s="643"/>
      <c r="C21" s="742"/>
      <c r="D21" s="643" t="s">
        <v>751</v>
      </c>
      <c r="E21" s="643"/>
      <c r="F21" s="742"/>
      <c r="G21" s="643"/>
      <c r="H21" s="738"/>
      <c r="I21" s="643"/>
      <c r="J21" s="745"/>
      <c r="K21" s="743"/>
      <c r="L21" s="643"/>
      <c r="M21" s="643"/>
      <c r="N21" s="643"/>
      <c r="O21" s="643"/>
      <c r="P21" s="725" t="str">
        <f>IF(D21='THE-TS'!$D$11,"x","")</f>
        <v/>
      </c>
    </row>
    <row r="22" spans="1:18" ht="13.5" customHeight="1">
      <c r="K22" s="386"/>
      <c r="L22" s="746" t="str">
        <f>"Ngày  31  tháng   12  năm   "&amp;YEAR(TH!$C$10)</f>
        <v>Ngày  31  tháng   12  năm   2011</v>
      </c>
      <c r="P22" s="725" t="str">
        <f>IF(D22='THE-TS'!$D$11,"x","")</f>
        <v/>
      </c>
    </row>
    <row r="23" spans="1:18" ht="13.5" customHeight="1">
      <c r="B23" s="529"/>
      <c r="D23" s="529" t="s">
        <v>11</v>
      </c>
      <c r="F23" s="529" t="s">
        <v>279</v>
      </c>
      <c r="I23" s="747"/>
      <c r="K23" s="742"/>
      <c r="L23" s="742" t="s">
        <v>98</v>
      </c>
      <c r="P23" s="725" t="str">
        <f>IF(D23='THE-TS'!$D$11,"x","")</f>
        <v/>
      </c>
    </row>
    <row r="24" spans="1:18" ht="13.5" customHeight="1">
      <c r="B24" s="529"/>
      <c r="D24" s="529"/>
      <c r="P24" s="725" t="str">
        <f>IF(D24='THE-TS'!$D$11,"x","")</f>
        <v/>
      </c>
    </row>
    <row r="25" spans="1:18" ht="13.5" customHeight="1">
      <c r="H25" s="748"/>
      <c r="J25" s="748"/>
      <c r="L25" s="748"/>
      <c r="P25" s="725" t="str">
        <f>IF(D25='THE-TS'!$D$11,"x","")</f>
        <v/>
      </c>
    </row>
    <row r="26" spans="1:18" ht="13.5" customHeight="1">
      <c r="H26" s="749"/>
      <c r="P26" s="725" t="str">
        <f>IF(D26='THE-TS'!$D$11,"x","")</f>
        <v/>
      </c>
    </row>
    <row r="27" spans="1:18" ht="13.5" customHeight="1">
      <c r="H27" s="749"/>
      <c r="J27" s="748"/>
      <c r="P27" s="725" t="str">
        <f>IF(D27='THE-TS'!$D$11,"x","")</f>
        <v/>
      </c>
    </row>
    <row r="28" spans="1:18" ht="13.5" customHeight="1">
      <c r="H28" s="749"/>
      <c r="P28" s="725" t="str">
        <f>IF(D28='THE-TS'!$D$11,"x","")</f>
        <v/>
      </c>
    </row>
    <row r="29" spans="1:18" ht="13.5" customHeight="1">
      <c r="H29" s="749"/>
      <c r="P29" s="725" t="str">
        <f>IF(D29='THE-TS'!$D$11,"x","")</f>
        <v/>
      </c>
    </row>
    <row r="30" spans="1:18" s="750" customFormat="1" ht="13.5" customHeight="1">
      <c r="C30" s="233"/>
      <c r="D30" s="233"/>
      <c r="F30" s="233"/>
      <c r="H30" s="751"/>
      <c r="K30" s="234"/>
      <c r="P30" s="725"/>
    </row>
    <row r="31" spans="1:18">
      <c r="P31" s="725" t="str">
        <f>IF(D31='THE-TS'!$D$11,"x","")</f>
        <v/>
      </c>
    </row>
    <row r="32" spans="1:18" ht="13.5" customHeight="1">
      <c r="H32" s="749"/>
      <c r="P32" s="725" t="str">
        <f>IF(D32='THE-TS'!$D$11,"x","")</f>
        <v/>
      </c>
    </row>
    <row r="33" spans="16:16">
      <c r="P33" s="72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52" customWidth="1"/>
    <col min="2" max="2" width="10.140625" style="752" customWidth="1"/>
    <col min="3" max="3" width="11.5703125" style="752" customWidth="1"/>
    <col min="4" max="4" width="28.7109375" style="752" customWidth="1"/>
    <col min="5" max="5" width="13.28515625" style="752" customWidth="1"/>
    <col min="6" max="6" width="9.140625" style="752"/>
    <col min="7" max="7" width="14" style="752" customWidth="1"/>
    <col min="8" max="8" width="14.7109375" style="752" customWidth="1"/>
    <col min="9" max="10" width="9.140625" style="752"/>
    <col min="11" max="11" width="13.85546875" style="752" customWidth="1"/>
    <col min="12" max="16384" width="9.140625" style="752"/>
  </cols>
  <sheetData>
    <row r="1" spans="1:11" hidden="1"/>
    <row r="2" spans="1:11" ht="15">
      <c r="A2" s="753" t="str">
        <f>TH!A1</f>
        <v>Đơn vị: CÔNG TY TNHH SX TM KIM DUNG PHÁT</v>
      </c>
      <c r="B2" s="754"/>
      <c r="C2" s="754"/>
      <c r="D2" s="754"/>
      <c r="E2" s="755"/>
      <c r="F2" s="926" t="s">
        <v>280</v>
      </c>
      <c r="G2" s="926"/>
      <c r="H2" s="926"/>
    </row>
    <row r="3" spans="1:11" ht="15">
      <c r="A3" s="756" t="str">
        <f>TH!A2</f>
        <v>Địa chỉ: 1A227/1 Ấp 1, Phạm Văn Hai, Bình Chánh, TPHCM</v>
      </c>
      <c r="B3" s="754"/>
      <c r="C3" s="754"/>
      <c r="D3" s="754"/>
      <c r="E3" s="746"/>
      <c r="F3" s="92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25"/>
      <c r="H3" s="925"/>
    </row>
    <row r="4" spans="1:11" ht="15">
      <c r="A4" s="529"/>
      <c r="B4" s="529"/>
      <c r="C4" s="746"/>
      <c r="D4" s="746"/>
      <c r="E4" s="746"/>
      <c r="F4" s="925"/>
      <c r="G4" s="925"/>
      <c r="H4" s="925"/>
    </row>
    <row r="5" spans="1:11" ht="15">
      <c r="A5" s="529"/>
      <c r="B5" s="529"/>
      <c r="C5" s="746"/>
      <c r="D5" s="746"/>
      <c r="E5" s="746"/>
      <c r="F5" s="746"/>
      <c r="G5" s="746"/>
      <c r="H5" s="746"/>
    </row>
    <row r="6" spans="1:11" ht="23.25" customHeight="1" thickBot="1">
      <c r="A6" s="868" t="s">
        <v>281</v>
      </c>
      <c r="B6" s="868"/>
      <c r="C6" s="868"/>
      <c r="D6" s="868"/>
      <c r="E6" s="868"/>
      <c r="F6" s="868"/>
      <c r="G6" s="868"/>
      <c r="H6" s="868"/>
    </row>
    <row r="7" spans="1:11" ht="17.25" customHeight="1" thickBot="1">
      <c r="A7" s="869" t="str">
        <f ca="1" xml:space="preserve"> IF(ROWS($1:1)&gt;COUNT(Dong3),"","Số: "&amp;OFFSET('SO-TS'!$G$1,SMALL(Dong3,ROWS($1:1)),))</f>
        <v>Số: SX01/11</v>
      </c>
      <c r="B7" s="869"/>
      <c r="C7" s="869"/>
      <c r="D7" s="869"/>
      <c r="E7" s="869"/>
      <c r="F7" s="869"/>
      <c r="G7" s="869"/>
      <c r="H7" s="869"/>
      <c r="J7" s="394" t="s">
        <v>298</v>
      </c>
      <c r="K7" s="757" t="s">
        <v>303</v>
      </c>
    </row>
    <row r="8" spans="1:11" ht="17.25" customHeight="1">
      <c r="A8" s="86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67"/>
      <c r="C8" s="867"/>
      <c r="D8" s="867"/>
      <c r="E8" s="867"/>
      <c r="F8" s="867"/>
      <c r="G8" s="867"/>
      <c r="H8" s="867"/>
    </row>
    <row r="9" spans="1:11" ht="12" customHeight="1">
      <c r="A9" s="529"/>
      <c r="B9" s="529"/>
      <c r="C9" s="529"/>
      <c r="D9" s="529"/>
      <c r="E9" s="529"/>
      <c r="F9" s="529"/>
      <c r="G9" s="746"/>
      <c r="H9" s="746"/>
    </row>
    <row r="10" spans="1:11" ht="15" customHeight="1">
      <c r="A10" s="526" t="str">
        <f ca="1">"Căn cứ vào biên bản giao nhận TSCĐ "&amp;"  "&amp;A7&amp;"  "&amp;A8</f>
        <v>Căn cứ vào biên bản giao nhận TSCĐ   Số: SX01/11  Ngày   19   tháng   5  năm   2011</v>
      </c>
      <c r="B10" s="526"/>
      <c r="C10" s="526"/>
      <c r="D10" s="526"/>
      <c r="E10" s="526"/>
      <c r="F10" s="526"/>
      <c r="G10" s="526"/>
      <c r="H10" s="526"/>
    </row>
    <row r="11" spans="1:11" ht="15" customHeight="1">
      <c r="A11" s="526" t="s">
        <v>299</v>
      </c>
      <c r="B11" s="526"/>
      <c r="C11" s="526"/>
      <c r="D11" s="526" t="s">
        <v>436</v>
      </c>
      <c r="E11" s="526" t="str">
        <f ca="1" xml:space="preserve"> IF(ROWS($1:1)&gt;COUNT(Dong3),"","Số hiệu TSCĐ:   "&amp;OFFSET('SO-TS'!$G$1,SMALL(Dong3,ROWS($1:1)),))</f>
        <v>Số hiệu TSCĐ:   SX01/11</v>
      </c>
      <c r="F11" s="526"/>
      <c r="H11" s="526"/>
    </row>
    <row r="12" spans="1:11" ht="15" customHeight="1">
      <c r="A12" s="526" t="str">
        <f ca="1" xml:space="preserve"> IF(ROWS($1:1)&gt;COUNT(Dong3),"","Nước sản xuất:   "&amp;OFFSET('SO-TS'!$E$1,SMALL(Dong3,ROWS($1:1)),))</f>
        <v>Nước sản xuất:   Việt Nam</v>
      </c>
      <c r="B12" s="526"/>
      <c r="C12" s="526"/>
      <c r="D12" s="526"/>
      <c r="E12" s="526" t="s">
        <v>300</v>
      </c>
      <c r="F12" s="526"/>
      <c r="G12" s="526"/>
      <c r="H12" s="526"/>
    </row>
    <row r="13" spans="1:11" ht="15" customHeight="1">
      <c r="A13" s="52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6"/>
      <c r="C13" s="526"/>
      <c r="D13" s="526"/>
      <c r="E13" s="526" t="str">
        <f ca="1" xml:space="preserve"> IF(ROWS($1:1)&gt;COUNT(Dong3),"","Tháng, năm đưa vào sử dụng:    "&amp;OFFSET('SO-TS'!$F$1,SMALL(Dong3,ROWS($1:1)),))</f>
        <v>Tháng, năm đưa vào sử dụng:    06/2011</v>
      </c>
      <c r="F13" s="526"/>
      <c r="G13" s="526"/>
      <c r="H13" s="526"/>
    </row>
    <row r="14" spans="1:11" ht="15" customHeight="1">
      <c r="A14" s="526" t="s">
        <v>282</v>
      </c>
      <c r="B14" s="526"/>
      <c r="C14" s="526"/>
      <c r="D14" s="526"/>
      <c r="E14" s="526"/>
      <c r="F14" s="526"/>
      <c r="G14" s="526"/>
      <c r="H14" s="526"/>
    </row>
    <row r="15" spans="1:11" ht="15" customHeight="1">
      <c r="A15" s="526" t="s">
        <v>302</v>
      </c>
      <c r="B15" s="526"/>
      <c r="C15" s="526"/>
      <c r="D15" s="526"/>
      <c r="E15" s="526"/>
      <c r="F15" s="526"/>
      <c r="G15" s="526"/>
      <c r="H15" s="526"/>
    </row>
    <row r="16" spans="1:11" ht="15" customHeight="1">
      <c r="A16" s="758" t="s">
        <v>301</v>
      </c>
      <c r="B16" s="758"/>
      <c r="C16" s="758"/>
      <c r="D16" s="758"/>
      <c r="E16" s="758"/>
      <c r="F16" s="758"/>
      <c r="G16" s="758"/>
      <c r="H16" s="758"/>
    </row>
    <row r="17" spans="1:8" s="759" customFormat="1" ht="18" customHeight="1">
      <c r="A17" s="939" t="s">
        <v>114</v>
      </c>
      <c r="B17" s="940"/>
      <c r="C17" s="943" t="s">
        <v>283</v>
      </c>
      <c r="D17" s="944"/>
      <c r="E17" s="945"/>
      <c r="F17" s="946" t="s">
        <v>284</v>
      </c>
      <c r="G17" s="947"/>
      <c r="H17" s="948"/>
    </row>
    <row r="18" spans="1:8" s="759" customFormat="1" ht="28.5" customHeight="1">
      <c r="A18" s="941"/>
      <c r="B18" s="942"/>
      <c r="C18" s="760" t="s">
        <v>285</v>
      </c>
      <c r="D18" s="760" t="s">
        <v>0</v>
      </c>
      <c r="E18" s="760" t="s">
        <v>286</v>
      </c>
      <c r="F18" s="760" t="s">
        <v>287</v>
      </c>
      <c r="G18" s="760" t="s">
        <v>288</v>
      </c>
      <c r="H18" s="760" t="s">
        <v>289</v>
      </c>
    </row>
    <row r="19" spans="1:8" s="762" customFormat="1">
      <c r="A19" s="949" t="s">
        <v>2</v>
      </c>
      <c r="B19" s="950"/>
      <c r="C19" s="761" t="s">
        <v>3</v>
      </c>
      <c r="D19" s="761" t="s">
        <v>4</v>
      </c>
      <c r="E19" s="761">
        <v>1</v>
      </c>
      <c r="F19" s="761">
        <v>2</v>
      </c>
      <c r="G19" s="761">
        <v>3</v>
      </c>
      <c r="H19" s="761">
        <v>4</v>
      </c>
    </row>
    <row r="20" spans="1:8" ht="17.25" customHeight="1">
      <c r="A20" s="524">
        <f ca="1">IF(B20&lt;&gt;"",ROW()-19,"")</f>
        <v>1</v>
      </c>
      <c r="B20" s="763" t="str">
        <f ca="1" xml:space="preserve"> IF(ROWS($1:1)&gt;COUNT(Dong3),"",OFFSET('SO-TS'!G$1,SMALL(Dong3,ROWS($1:1)),))</f>
        <v>SX01/11</v>
      </c>
      <c r="C20" s="763" t="str">
        <f ca="1" xml:space="preserve"> IF(ROWS($1:1)&gt;COUNT(Dong3),"",OFFSET('SO-TS'!F$1,SMALL(Dong3,ROWS($1:1)),))</f>
        <v>06/2011</v>
      </c>
      <c r="D20" s="764" t="str">
        <f ca="1" xml:space="preserve"> IF(ROWS($1:1)&gt;COUNT(Dong3),"",OFFSET('SO-TS'!D$1,SMALL(Dong3,ROWS($1:1)),))</f>
        <v>Máy chap khe khổ 2m</v>
      </c>
      <c r="E20" s="765">
        <f ca="1" xml:space="preserve"> IF(ROWS($1:1)&gt;COUNT(Dong3),"",OFFSET('SO-TS'!H$1,SMALL(Dong3,ROWS($1:1)),))</f>
        <v>18000000</v>
      </c>
      <c r="F20" s="766" t="str">
        <f ca="1" xml:space="preserve"> IF(ROWS($1:1)&gt;COUNT(Dong3),"",RIGHT(OFFSET('SO-TS'!F$1,SMALL(Dong3,ROWS($1:1)),),4))</f>
        <v>2011</v>
      </c>
      <c r="G20" s="496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96">
        <f ca="1">G20</f>
        <v>2100000</v>
      </c>
    </row>
    <row r="21" spans="1:8" ht="17.25" customHeight="1">
      <c r="A21" s="524" t="str">
        <f t="shared" ref="A21" si="0">IF(B21&lt;&gt;"",ROW()-19,"")</f>
        <v/>
      </c>
      <c r="B21" s="540"/>
      <c r="C21" s="767"/>
      <c r="D21" s="767"/>
      <c r="E21" s="297"/>
      <c r="F21" s="766"/>
      <c r="G21" s="297"/>
      <c r="H21" s="297"/>
    </row>
    <row r="22" spans="1:8" ht="17.25" customHeight="1">
      <c r="A22" s="739"/>
      <c r="B22" s="739" t="s">
        <v>290</v>
      </c>
      <c r="C22" s="768"/>
      <c r="D22" s="768"/>
      <c r="E22" s="714">
        <f ca="1">SUM(E20:E21)</f>
        <v>18000000</v>
      </c>
      <c r="F22" s="768"/>
      <c r="G22" s="714">
        <f ca="1">SUM(G20:G21)</f>
        <v>2100000</v>
      </c>
      <c r="H22" s="714"/>
    </row>
    <row r="23" spans="1:8" ht="17.25" customHeight="1">
      <c r="A23" s="769"/>
      <c r="B23" s="769"/>
      <c r="C23" s="770"/>
      <c r="D23" s="770"/>
      <c r="E23" s="770"/>
      <c r="F23" s="770"/>
      <c r="G23" s="771"/>
      <c r="H23" s="771"/>
    </row>
    <row r="24" spans="1:8" ht="17.25" customHeight="1">
      <c r="A24" s="769"/>
      <c r="B24" s="769"/>
      <c r="C24" s="770"/>
      <c r="D24" s="770"/>
      <c r="E24" s="770"/>
      <c r="F24" s="770"/>
      <c r="G24" s="771"/>
      <c r="H24" s="771"/>
    </row>
    <row r="25" spans="1:8" ht="17.25" customHeight="1">
      <c r="A25" s="951" t="s">
        <v>291</v>
      </c>
      <c r="B25" s="951"/>
      <c r="C25" s="951"/>
      <c r="D25" s="951"/>
      <c r="E25" s="951"/>
      <c r="F25" s="951"/>
      <c r="G25" s="951"/>
      <c r="H25" s="951"/>
    </row>
    <row r="26" spans="1:8" ht="27" customHeight="1">
      <c r="A26" s="739" t="s">
        <v>32</v>
      </c>
      <c r="B26" s="932" t="s">
        <v>292</v>
      </c>
      <c r="C26" s="934"/>
      <c r="D26" s="768" t="s">
        <v>180</v>
      </c>
      <c r="E26" s="768" t="s">
        <v>293</v>
      </c>
      <c r="F26" s="768" t="s">
        <v>294</v>
      </c>
      <c r="G26" s="771"/>
      <c r="H26" s="771"/>
    </row>
    <row r="27" spans="1:8" ht="17.25" customHeight="1">
      <c r="A27" s="739" t="s">
        <v>2</v>
      </c>
      <c r="B27" s="739" t="s">
        <v>3</v>
      </c>
      <c r="C27" s="768"/>
      <c r="D27" s="768" t="s">
        <v>4</v>
      </c>
      <c r="E27" s="768">
        <v>1</v>
      </c>
      <c r="F27" s="768">
        <v>2</v>
      </c>
      <c r="G27" s="771"/>
      <c r="H27" s="771"/>
    </row>
    <row r="28" spans="1:8" ht="17.25" customHeight="1">
      <c r="A28" s="772"/>
      <c r="B28" s="772"/>
      <c r="C28" s="773"/>
      <c r="D28" s="773"/>
      <c r="E28" s="773"/>
      <c r="F28" s="773"/>
      <c r="G28" s="771"/>
      <c r="H28" s="771"/>
    </row>
    <row r="29" spans="1:8" ht="17.25" customHeight="1">
      <c r="A29" s="774"/>
      <c r="B29" s="774"/>
      <c r="C29" s="775"/>
      <c r="D29" s="775"/>
      <c r="E29" s="775"/>
      <c r="F29" s="775"/>
      <c r="G29" s="771"/>
      <c r="H29" s="771"/>
    </row>
    <row r="30" spans="1:8" ht="17.25" customHeight="1">
      <c r="A30" s="774"/>
      <c r="B30" s="774"/>
      <c r="C30" s="775"/>
      <c r="D30" s="775"/>
      <c r="E30" s="775"/>
      <c r="F30" s="775"/>
      <c r="G30" s="771"/>
      <c r="H30" s="771"/>
    </row>
    <row r="31" spans="1:8" ht="17.25" customHeight="1">
      <c r="A31" s="774"/>
      <c r="B31" s="774"/>
      <c r="C31" s="775"/>
      <c r="D31" s="775"/>
      <c r="E31" s="775"/>
      <c r="F31" s="775"/>
      <c r="G31" s="771"/>
      <c r="H31" s="771"/>
    </row>
    <row r="32" spans="1:8" ht="17.25" customHeight="1">
      <c r="A32" s="776"/>
      <c r="B32" s="776"/>
      <c r="C32" s="777"/>
      <c r="D32" s="777"/>
      <c r="E32" s="777"/>
      <c r="F32" s="777"/>
      <c r="G32" s="771"/>
      <c r="H32" s="771"/>
    </row>
    <row r="33" spans="1:8">
      <c r="A33" s="769"/>
      <c r="B33" s="769"/>
      <c r="C33" s="770"/>
      <c r="D33" s="770"/>
      <c r="E33" s="770"/>
      <c r="F33" s="770"/>
      <c r="G33" s="771"/>
      <c r="H33" s="771"/>
    </row>
    <row r="34" spans="1:8" ht="15">
      <c r="A34" s="952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52"/>
      <c r="C34" s="952"/>
      <c r="D34" s="952"/>
      <c r="E34" s="952"/>
      <c r="F34" s="952"/>
      <c r="G34" s="952"/>
      <c r="H34" s="952"/>
    </row>
    <row r="35" spans="1:8" ht="15">
      <c r="A35" s="952" t="str">
        <f ca="1" xml:space="preserve"> IF(ROWS($1:1)&gt;COUNT(Dong3),"","Lý do giảm:   "&amp;OFFSET('SO-TS'!$O$1,SMALL(Dong3,ROWS($1:1)),))</f>
        <v xml:space="preserve">Lý do giảm:   </v>
      </c>
      <c r="B35" s="952"/>
      <c r="C35" s="952"/>
      <c r="D35" s="952"/>
      <c r="E35" s="952"/>
      <c r="F35" s="952"/>
      <c r="G35" s="952"/>
      <c r="H35" s="952"/>
    </row>
    <row r="36" spans="1:8" ht="15">
      <c r="A36" s="233"/>
      <c r="B36" s="233"/>
      <c r="C36" s="386"/>
      <c r="D36" s="386"/>
      <c r="E36" s="938" t="str">
        <f>"Ngày  31  tháng   12  năm   "&amp;YEAR(TH!$C$10)</f>
        <v>Ngày  31  tháng   12  năm   2011</v>
      </c>
      <c r="F36" s="938"/>
      <c r="G36" s="938"/>
      <c r="H36" s="938"/>
    </row>
    <row r="37" spans="1:8">
      <c r="A37" s="869" t="s">
        <v>295</v>
      </c>
      <c r="B37" s="869"/>
      <c r="C37" s="869" t="s">
        <v>12</v>
      </c>
      <c r="D37" s="869"/>
      <c r="E37" s="926" t="s">
        <v>98</v>
      </c>
      <c r="F37" s="926"/>
      <c r="G37" s="926"/>
      <c r="H37" s="926"/>
    </row>
  </sheetData>
  <dataConsolidate/>
  <mergeCells count="17"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  <mergeCell ref="A34:H34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44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2017-02-17T04:38:45Z</cp:lastPrinted>
  <dcterms:created xsi:type="dcterms:W3CDTF">1996-10-14T23:33:28Z</dcterms:created>
  <dcterms:modified xsi:type="dcterms:W3CDTF">2017-03-03T04:22:47Z</dcterms:modified>
</cp:coreProperties>
</file>